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OneDrive - Grupo Unicomer Unicomer Group\Work_Files_optional_recreation\Completed Reports\CC KPI_and_Live Chat\"/>
    </mc:Choice>
  </mc:AlternateContent>
  <xr:revisionPtr revIDLastSave="866" documentId="13_ncr:1_{29175424-C71E-466F-B9F7-DCA08AF22FF2}" xr6:coauthVersionLast="36" xr6:coauthVersionMax="47" xr10:uidLastSave="{BD986E9D-91FD-4633-ADD2-1DA2F8CC8C3B}"/>
  <bookViews>
    <workbookView xWindow="-110" yWindow="-110" windowWidth="19420" windowHeight="10420" firstSheet="3" activeTab="8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Guyana" sheetId="11" r:id="rId5"/>
    <sheet name="OECS" sheetId="12" r:id="rId6"/>
    <sheet name="Jamaica" sheetId="9" r:id="rId7"/>
    <sheet name="Trinidad and Tobago" sheetId="8" r:id="rId8"/>
    <sheet name="Barbados" sheetId="10" r:id="rId9"/>
    <sheet name="Dashboard" sheetId="17" r:id="rId10"/>
    <sheet name="Country_List" sheetId="7" r:id="rId11"/>
    <sheet name="Sheet1" sheetId="18" r:id="rId12"/>
  </sheets>
  <definedNames>
    <definedName name="_xlnm._FilterDatabase" localSheetId="8" hidden="1">Barbados!$A$1:$Q$96</definedName>
    <definedName name="_xlnm._FilterDatabase" localSheetId="5" hidden="1">OECS!$T$1:$T$1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Table3[AU]</definedName>
    <definedName name="AU_BAR">Table3[AU]</definedName>
    <definedName name="AU_GUY" localSheetId="1">Table9[AU]</definedName>
    <definedName name="AU_GUY">Table9[AU]</definedName>
    <definedName name="AU_JAM" localSheetId="1">Table6[AU]</definedName>
    <definedName name="AU_JAM">Table6[AU]</definedName>
    <definedName name="AU_OECS" localSheetId="1">Table2[AU]</definedName>
    <definedName name="AU_OECS">Table2[AU]</definedName>
    <definedName name="AU_TT" localSheetId="1">Table7[AU]</definedName>
    <definedName name="AU_TT">Table7[AU]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Monthly'!ABR_BAR,MATCH(Barbados!$AN$111,'Live Chat KPIs - Monthly'!period_BAR,0)):INDEX('Live Chat KPIs - Monthly'!ABR_BAR,MATCH(Barbados!$AN$112,'Live Chat KPIs - Monthly'!period_BAR,0))</definedName>
    <definedName name="chart_ABR_GUY" localSheetId="1">INDEX('Live Chat KPIs - Monthly'!ABR_GUY,MATCH(Guyana!$AL$110,'Live Chat KPIs - Monthly'!period_GUY,0)):INDEX('Live Chat KPIs - Monthly'!ABR_GUY,MATCH(Guyana!$AL$111,'Live Chat KPIs - Monthly'!period_GUY,0))</definedName>
    <definedName name="chart_ABR_JAM" localSheetId="1">INDEX('Live Chat KPIs - Monthly'!ABR_JAM,MATCH(Jamaica!$AO$108,'Live Chat KPIs - Monthly'!period_JAM,0)):INDEX('Live Chat KPIs - Monthly'!ABR_JAM,MATCH(Jamaica!$AO$109,'Live Chat KPIs - Monthly'!period_JAM,0))</definedName>
    <definedName name="chart_ABR_OECS" localSheetId="1">INDEX('Live Chat KPIs - Monthly'!ABR_OECS,MATCH(OECS!$AL$128,'Live Chat KPIs - Monthly'!period_OECS,0)):INDEX('Live Chat KPIs - Monthly'!ABR_OECS,MATCH(OECS!$AL$129,'Live Chat KPIs - Monthly'!period_OECS,0))</definedName>
    <definedName name="chart_ABR_TT" localSheetId="1">INDEX('Live Chat KPIs - Monthly'!ABR_TT,MATCH('Trinidad and Tobago'!$AL$120,'Live Chat KPIs - Monthly'!period_TT,0)):INDEX('Live Chat KPIs - Monthly'!ABR_TT,MATCH('Trinidad and Tobago'!$AL$121,'Live Chat KPIs - Monthly'!period_TT,0))</definedName>
    <definedName name="chart_ATT">INDEX(ATT_JAM,MATCH(Jamaica!$AT$5,WoW_dates_JAM,0)):INDEX(WoW_dates_JAM,MATCH(Jamaica!$AT$6,WoW_dates_JAM,0))</definedName>
    <definedName name="chart_ATT_BAR">INDEX([0]!ATT_BAR,MATCH(Barbados!$AN$111,'Live Chat KPIs - Monthly'!period_BAR,0)):INDEX([0]!ATT_BAR,MATCH(Barbados!$AN$112,'Live Chat KPIs - Monthly'!period_BAR,0))</definedName>
    <definedName name="chart_ATT_GUY">INDEX([0]!ATT_GUY,MATCH(Guyana!$AL$110,'Live Chat KPIs - Monthly'!period_GUY,0)):INDEX([0]!ATT_GUY,MATCH(Guyana!$AL$111,'Live Chat KPIs - Monthly'!period_GUY,0))</definedName>
    <definedName name="chart_ATT_JAM">INDEX([0]!ATT_JAM,MATCH(Jamaica!$AO$108,'Live Chat KPIs - Monthly'!period_JAM,0)):INDEX([0]!ATT_JAM,MATCH(Jamaica!$AO$109,'Live Chat KPIs - Monthly'!period_JAM,0))</definedName>
    <definedName name="chart_ATT_OECS">INDEX([0]!ATT_OECS,MATCH(OECS!$AL$128,'Live Chat KPIs - Monthly'!period_OECS,0)):INDEX([0]!ATT_OECS,MATCH(OECS!$AL$129,'Live Chat KPIs - Monthly'!period_OECS,0))</definedName>
    <definedName name="chart_ATT_TT">INDEX([0]!ATT_TT,MATCH('Trinidad and Tobago'!$AL$120,'Live Chat KPIs - Monthly'!period_TT,0)):INDEX([0]!ATT_TT,MATCH('Trinidad and Tobago'!$AL$121,'Live Chat KPIs - Monthly'!period_TT,0))</definedName>
    <definedName name="chart_AU_BAR" localSheetId="1">INDEX('Live Chat KPIs - Monthly'!AU_BAR,MATCH(Barbados!$AN$111,'Live Chat KPIs - Monthly'!period_BAR,0)):INDEX('Live Chat KPIs - Monthly'!AU_BAR,MATCH(Barbados!$AN$112,'Live Chat KPIs - Monthly'!period_BAR,0))</definedName>
    <definedName name="chart_AU_GUY" localSheetId="1">INDEX('Live Chat KPIs - Monthly'!AU_GUY,MATCH(Guyana!$AL$110,'Live Chat KPIs - Monthly'!period_GUY,0)):INDEX('Live Chat KPIs - Monthly'!AU_GUY,MATCH(Guyana!$AL$111,'Live Chat KPIs - Monthly'!period_GUY,0))</definedName>
    <definedName name="chart_AU_JAM" localSheetId="1">INDEX('Live Chat KPIs - Monthly'!AU_JAM,MATCH(Jamaica!$AO$108,'Live Chat KPIs - Monthly'!period_JAM,0)):INDEX('Live Chat KPIs - Monthly'!AU_JAM,MATCH(Jamaica!$AO$109,'Live Chat KPIs - Monthly'!period_JAM,0))</definedName>
    <definedName name="chart_AU_OECS" localSheetId="1">INDEX('Live Chat KPIs - Monthly'!AU_OECS,MATCH(OECS!$AL$128,'Live Chat KPIs - Monthly'!period_OECS,0)):INDEX('Live Chat KPIs - Monthly'!AU_OECS,MATCH(OECS!$AL$129,'Live Chat KPIs - Monthly'!period_OECS,0))</definedName>
    <definedName name="chart_AU_TT" localSheetId="1">INDEX('Live Chat KPIs - Monthly'!AU_TT,MATCH('Trinidad and Tobago'!$AL$120,'Live Chat KPIs - Monthly'!period_TT,0)):INDEX('Live Chat KPIs - Monthly'!AU_TT,MATCH('Trinidad and Tobago'!$AL$121,'Live Chat KPIs - Monthly'!period_TT,0))</definedName>
    <definedName name="chart_calls_ans_BAR" localSheetId="1">INDEX('Live Chat KPIs - Monthly'!calls_ans_BAR,MATCH(Barbados!$AN$111,'Live Chat KPIs - Monthly'!period_BAR,0)):INDEX('Live Chat KPIs - Monthly'!calls_ans_BAR,MATCH(Barbados!$AN$112,'Live Chat KPIs - Monthly'!period_BAR,0))</definedName>
    <definedName name="chart_calls_ans_GUY" localSheetId="1">INDEX('Live Chat KPIs - Monthly'!calls_ans_GUY,MATCH(Guyana!$AL$110,'Live Chat KPIs - Monthly'!period_GUY,0)):INDEX('Live Chat KPIs - Monthly'!calls_ans_GUY,MATCH(Guyana!$AL$111,'Live Chat KPIs - Monthly'!period_GUY,0))</definedName>
    <definedName name="chart_calls_ans_JAM" localSheetId="1">INDEX('Live Chat KPIs - Monthly'!calls_ans_JAM,MATCH(Jamaica!$AO$108,'Live Chat KPIs - Monthly'!period_JAM,0)):INDEX('Live Chat KPIs - Monthly'!calls_ans_JAM,MATCH(Jamaica!$AO$109,'Live Chat KPIs - Monthly'!period_JAM,0))</definedName>
    <definedName name="chart_calls_ans_OECS" localSheetId="1">INDEX('Live Chat KPIs - Monthly'!calls_ans_OECS,MATCH(OECS!$AL$128,'Live Chat KPIs - Monthly'!period_OECS,0)):INDEX('Live Chat KPIs - Monthly'!calls_ans_OECS,MATCH(OECS!$AL$129,'Live Chat KPIs - Monthly'!period_OECS,0))</definedName>
    <definedName name="chart_calls_ans_TT" localSheetId="1">INDEX('Live Chat KPIs - Monthly'!calls_ans_TT,MATCH('Trinidad and Tobago'!$AL$120,'Live Chat KPIs - Monthly'!period_TT,0)):INDEX('Live Chat KPIs - Monthly'!calls_ans_TT,MATCH('Trinidad and Tobago'!$AL$121,'Live Chat KPIs - Monthly'!period_TT,0))</definedName>
    <definedName name="chart_calls_off_BAR" localSheetId="1">INDEX('Live Chat KPIs - Monthly'!calls_off_BAR,MATCH(Barbados!$AN$111,'Live Chat KPIs - Monthly'!period_BAR,0)):INDEX('Live Chat KPIs - Monthly'!calls_off_BAR,MATCH(Barbados!$AN$112,'Live Chat KPIs - Monthly'!period_BAR,0))</definedName>
    <definedName name="chart_calls_off_GUY" localSheetId="1">INDEX('Live Chat KPIs - Monthly'!calls_off_GUY,MATCH(Guyana!$AL$110,'Live Chat KPIs - Monthly'!period_GUY,0)):INDEX('Live Chat KPIs - Monthly'!calls_off_GUY,MATCH(Guyana!$AL$111,'Live Chat KPIs - Monthly'!period_GUY,0))</definedName>
    <definedName name="chart_calls_off_JAM" localSheetId="1">INDEX('Live Chat KPIs - Monthly'!calls_off_JAM,MATCH(Jamaica!$AO$108,'Live Chat KPIs - Monthly'!period_JAM,0)):INDEX('Live Chat KPIs - Monthly'!calls_off_JAM,MATCH(Jamaica!$AO$109,'Live Chat KPIs - Monthly'!period_JAM,0))</definedName>
    <definedName name="chart_calls_off_OECS" localSheetId="1">INDEX('Live Chat KPIs - Monthly'!calls_off_OECS,MATCH(OECS!$AL$128,'Live Chat KPIs - Monthly'!period_OECS,0)):INDEX('Live Chat KPIs - Monthly'!calls_off_OECS,MATCH(OECS!$AL$129,'Live Chat KPIs - Monthly'!period_OECS,0))</definedName>
    <definedName name="chart_calls_off_TT" localSheetId="1">INDEX('Live Chat KPIs - Monthly'!calls_off_TT,MATCH('Trinidad and Tobago'!$AL$120,'Live Chat KPIs - Monthly'!period_TT,0)):INDEX('Live Chat KPIs - Monthly'!calls_off_TT,MATCH('Trinidad and Tobago'!$AL$121,'Live Chat KPIs - Monthly'!period_TT,0))</definedName>
    <definedName name="chart_period_ATT_JAM">INDEX([0]!period_JAM,MATCH(Jamaica!$AO$108,'Live Chat KPIs - Monthly'!period_JAM,0)):INDEX([0]!period_JAM,MATCH(Jamaica!$AO$109,'Live Chat KPIs - Monthly'!period_JAM,0))</definedName>
    <definedName name="chart_period_BAR" localSheetId="1">INDEX('Live Chat KPIs - Monthly'!period_BAR,MATCH(Barbados!$AN$111,'Live Chat KPIs - Monthly'!period_BAR,0)):INDEX('Live Chat KPIs - Monthly'!period_BAR,MATCH(Barbados!$AN$112,'Live Chat KPIs - Monthly'!period_BAR,0))</definedName>
    <definedName name="chart_period_GUY" localSheetId="1">INDEX('Live Chat KPIs - Monthly'!period_GUY,MATCH(Guyana!$AL$110,'Live Chat KPIs - Monthly'!period_GUY,0)):INDEX('Live Chat KPIs - Monthly'!period_GUY,MATCH(Guyana!$AL$111,'Live Chat KPIs - Monthly'!period_GUY,0))</definedName>
    <definedName name="chart_period_JAM" localSheetId="1">INDEX('Live Chat KPIs - Monthly'!period_JAM,MATCH(Jamaica!$AO$108,'Live Chat KPIs - Monthly'!period_JAM,0)):INDEX('Live Chat KPIs - Monthly'!period_JAM,MATCH(Jamaica!$AO$109,'Live Chat KPIs - Monthly'!period_JAM,0))</definedName>
    <definedName name="chart_period_OECS" localSheetId="1">INDEX('Live Chat KPIs - Monthly'!period_OECS,MATCH(OECS!$AL$128,'Live Chat KPIs - Monthly'!period_OECS,0)):INDEX('Live Chat KPIs - Monthly'!period_OECS,MATCH(OECS!$AL$129,'Live Chat KPIs - Monthly'!period_OECS,0))</definedName>
    <definedName name="chart_period_TT" localSheetId="1">INDEX('Live Chat KPIs - Monthly'!period_TT,MATCH('Trinidad and Tobago'!$AL$120,'Live Chat KPIs - Monthly'!period_TT,0)):INDEX('Live Chat KPIs - Monthly'!period_TT,MATCH('Trinidad and Tobago'!$AL$121,'Live Chat KPIs - Monthly'!period_TT,0))</definedName>
    <definedName name="chart_period_WoW_BAR" localSheetId="1">INDEX('Live Chat KPIs - Monthly'!WoW_dates_BAR,MATCH(Barbados!$AX$3,'Live Chat KPIs - Monthly'!WoW_dates_BAR,0)):INDEX('Live Chat KPIs - Monthly'!WoW_dates_BAR,MATCH(Barbados!$AX$4,'Live Chat KPIs - Monthly'!WoW_dates_BAR,0))</definedName>
    <definedName name="chart_period_WoW_BAR">INDEX(WoW_dates_BAR,MATCH(Barbados!$AX$3,WoW_dates_BAR,0)):INDEX(WoW_dates_BAR,MATCH(Barbados!$AX$4,WoW_dates_BAR,0))</definedName>
    <definedName name="chart_period_WoW_GUY" localSheetId="1">INDEX('Live Chat KPIs - Monthly'!WoW_dates_GUY,MATCH(Guyana!$AO$3,'Live Chat KPIs - Monthly'!WoW_dates_GUY,0)):INDEX('Live Chat KPIs - Monthly'!WoW_dates_GUY,MATCH(Guyana!$AO$4,'Live Chat KPIs - Monthly'!WoW_dates_GUY,0))</definedName>
    <definedName name="chart_period_WoW_GUY">INDEX(WoW_dates_GUY,MATCH(Guyana!$AO$3,WoW_dates_GUY,0)):INDEX(WoW_dates_GUY,MATCH(Guyana!$AO$4,WoW_dates_GUY,0))</definedName>
    <definedName name="chart_period_WoW_JAM" localSheetId="1">INDEX('Live Chat KPIs - Monthly'!WoW_dates_JAM,MATCH(Jamaica!$AT$5,'Live Chat KPIs - Monthly'!WoW_dates_JAM,0)):INDEX('Live Chat KPIs - Monthly'!WoW_dates_JAM,MATCH(Jamaica!$AT$6,'Live Chat KPIs - Monthly'!WoW_dates_JAM,0))</definedName>
    <definedName name="chart_period_WoW_JAM">INDEX(WoW_dates_JAM,MATCH(Jamaica!$AT$5,WoW_dates_JAM,0)):INDEX(WoW_dates_JAM,MATCH(Jamaica!$AT$6,WoW_dates_JAM,0))</definedName>
    <definedName name="chart_period_WoW_OECS" localSheetId="1">INDEX('Live Chat KPIs - Monthly'!WoW_dates_OECS,MATCH(OECS!$AP$7,'Live Chat KPIs - Monthly'!WoW_dates_OECS,0)):INDEX('Live Chat KPIs - Monthly'!WoW_dates_OECS,MATCH(OECS!$AP$8,'Live Chat KPIs - Monthly'!WoW_dates_OECS,0))</definedName>
    <definedName name="chart_period_WoW_OECS">INDEX(WoW_dates_OECS,MATCH(OECS!$AP$7,WoW_dates_OECS,0)):INDEX(WoW_dates_OECS,MATCH(OECS!$AP$8,WoW_dates_OECS,0))</definedName>
    <definedName name="chart_period_WoW_TT" localSheetId="1">INDEX('Live Chat KPIs - Monthly'!WoW_dates_TT,MATCH('Trinidad and Tobago'!$AO$6,'Live Chat KPIs - Monthly'!WoW_dates_TT,0)):INDEX('Live Chat KPIs - Monthly'!WoW_dates_TT,MATCH('Trinidad and Tobago'!$AO$7,'Live Chat KPIs - Monthly'!WoW_dates_TT,0))</definedName>
    <definedName name="chart_period_WoW_TT">INDEX(WoW_dates_TT,MATCH('Trinidad and Tobago'!$AO$6,WoW_dates_TT,0)):INDEX(WoW_dates_TT,MATCH('Trinidad and Tobago'!$AO$7,WoW_dates_TT,0))</definedName>
    <definedName name="chart_SL_BAR" localSheetId="1">INDEX('Live Chat KPIs - Monthly'!SL_BAR,MATCH(Barbados!$AN$111,'Live Chat KPIs - Monthly'!period_BAR,0)):INDEX('Live Chat KPIs - Monthly'!SL_BAR,MATCH(Barbados!$AN$112,'Live Chat KPIs - Monthly'!period_BAR,0))</definedName>
    <definedName name="chart_SL_GUY" localSheetId="1">INDEX('Live Chat KPIs - Monthly'!SL_GUY,MATCH(Guyana!$AL$110,'Live Chat KPIs - Monthly'!period_GUY,0)):INDEX('Live Chat KPIs - Monthly'!SL_GUY,MATCH(Guyana!$AL$111,'Live Chat KPIs - Monthly'!period_GUY,0))</definedName>
    <definedName name="chart_SL_JAM" localSheetId="1">INDEX('Live Chat KPIs - Monthly'!SL_JAM,MATCH(Jamaica!$AO$108,'Live Chat KPIs - Monthly'!period_JAM,0)):INDEX('Live Chat KPIs - Monthly'!SL_JAM,MATCH(Jamaica!$AO$109,'Live Chat KPIs - Monthly'!period_JAM,0))</definedName>
    <definedName name="chart_SL_OECS" localSheetId="1">INDEX('Live Chat KPIs - Monthly'!SL_OECS,MATCH(OECS!$AL$128,'Live Chat KPIs - Monthly'!period_OECS,0)):INDEX('Live Chat KPIs - Monthly'!SL_OECS,MATCH(OECS!$AL$129,'Live Chat KPIs - Monthly'!period_OECS,0))</definedName>
    <definedName name="chart_SL_TT" localSheetId="1">INDEX('Live Chat KPIs - Monthly'!SL_TT,MATCH('Trinidad and Tobago'!$AL$120,'Live Chat KPIs - Monthly'!period_TT,0)):INDEX('Live Chat KPIs - Monthly'!SL_TT,MATCH('Trinidad and Tobago'!$AL$121,'Live Chat KPIs - Monthly'!period_TT,0))</definedName>
    <definedName name="chart_WFM_BAR" localSheetId="1">INDEX('Live Chat KPIs - Monthly'!period_BAR_WFM,MATCH(Barbados!$AN$111,'Live Chat KPIs - Monthly'!period_BAR,0)):INDEX('Live Chat KPIs - Monthly'!period_BAR_WFM,MATCH(Barbados!$AN$112,'Live Chat KPIs - Monthly'!period_BAR,0))</definedName>
    <definedName name="chart_WFM_GUY">INDEX(period_GUY_WF,MATCH(Guyana!$AL$110,period_GUY,0)):INDEX(period_GUY_WF,MATCH(Guyana!$AL$111,period_GUY,0))</definedName>
    <definedName name="chart_WFM_JAM" localSheetId="1">INDEX('Live Chat KPIs - Monthly'!period_JAM_WFM,MATCH(Jamaica!$AO$108,'Live Chat KPIs - Monthly'!period_JAM,0)):INDEX('Live Chat KPIs - Monthly'!period_JAM_WFM,MATCH(Jamaica!$AO$109,'Live Chat KPIs - Monthly'!period_JAM,0))</definedName>
    <definedName name="chart_WFM_OECS" localSheetId="1">INDEX([0]!period_OECS_WF,MATCH(OECS!$AL$128,'Live Chat KPIs - Monthly'!period_OECS,0)):INDEX([0]!period_OECS_WF,MATCH(OECS!$AL$129,'Live Chat KPIs - Monthly'!period_OECS,0))</definedName>
    <definedName name="chart_WFM_TTO" localSheetId="1">INDEX('Live Chat KPIs - Monthly'!period_TT_WFM,MATCH('Trinidad and Tobago'!$AL$120,'Live Chat KPIs - Monthly'!period_TT,0)):INDEX('Live Chat KPIs - Monthly'!period_TT_WFM,MATCH('Trinidad and Tobago'!$AL$121,'Live Chat KPIs - Monthly'!period_TT,0))</definedName>
    <definedName name="chart_WoW_ans_BAR_percent" localSheetId="1">INDEX('Live Chat KPIs - Monthly'!percent_WoW_ans_BAR,MATCH(Barbados!$AN$111,'Live Chat KPIs - Monthly'!period_BAR,0)):INDEX('Live Chat KPIs - Monthly'!percent_WoW_ans_BAR,MATCH(Barbados!$AN$112,'Live Chat KPIs - Monthly'!period_BAR,0))</definedName>
    <definedName name="chart_WoW_ans_GUY_percent" localSheetId="1">INDEX('Live Chat KPIs - Monthly'!percent_WoW_ans_GUY,MATCH(Guyana!$AL$110,'Live Chat KPIs - Monthly'!period_GUY,0)):INDEX('Live Chat KPIs - Monthly'!percent_WoW_ans_GUY,MATCH(Guyana!$AL$111,'Live Chat KPIs - Monthly'!period_GUY,0))</definedName>
    <definedName name="chart_WoW_ans_JAM_percent" localSheetId="1">INDEX('Live Chat KPIs - Monthly'!percent_WoW_ans_JAM,MATCH(Jamaica!$AO$108,'Live Chat KPIs - Monthly'!period_JAM,0)):INDEX('Live Chat KPIs - Monthly'!percent_WoW_ans_JAM,MATCH(Jamaica!$AO$109,'Live Chat KPIs - Monthly'!period_JAM,0))</definedName>
    <definedName name="chart_WoW_ans_OECS" localSheetId="1">INDEX('Live Chat KPIs - Monthly'!percent_WoW_ans_OECS,MATCH(OECS!$AL$128,'Live Chat KPIs - Monthly'!period_OECS,0)):INDEX('Live Chat KPIs - Monthly'!percent_WoW_ans_OECS,MATCH(OECS!$AL$129,'Live Chat KPIs - Monthly'!period_OECS,0))</definedName>
    <definedName name="chart_WoW_ans_TT_percent" localSheetId="1">INDEX('Live Chat KPIs - Monthly'!percent_WoW_ans_TT,MATCH('Trinidad and Tobago'!$AL$120,'Live Chat KPIs - Monthly'!period_TT,0)):INDEX('Live Chat KPIs - Monthly'!percent_WoW_ans_TT,MATCH('Trinidad and Tobago'!$AL$121,'Live Chat KPIs - Monthly'!period_TT,0))</definedName>
    <definedName name="chart_WoW_off_BAR_percent" localSheetId="1">INDEX('Live Chat KPIs - Monthly'!percent_WoW_off_BAR,MATCH(Barbados!$AN$111,'Live Chat KPIs - Monthly'!period_BAR,0)):INDEX('Live Chat KPIs - Monthly'!percent_WoW_off_BAR,MATCH(Barbados!$AN$112,'Live Chat KPIs - Monthly'!period_BAR,0))</definedName>
    <definedName name="chart_WoW_off_GUY_percent" localSheetId="1">INDEX('Live Chat KPIs - Monthly'!percent_WoW_off_GUY,MATCH(Guyana!$AL$110,'Live Chat KPIs - Monthly'!period_GUY,0)):INDEX('Live Chat KPIs - Monthly'!percent_WoW_off_GUY,MATCH(Guyana!$AL$111,'Live Chat KPIs - Monthly'!period_GUY,0))</definedName>
    <definedName name="chart_WoW_off_JAM_percent" localSheetId="1">INDEX('Live Chat KPIs - Monthly'!percent_WoW_off_JAM,MATCH(Jamaica!$AO$108,'Live Chat KPIs - Monthly'!period_JAM,0)):INDEX('Live Chat KPIs - Monthly'!percent_WoW_off_JAM,MATCH(Jamaica!$AO$109,'Live Chat KPIs - Monthly'!period_JAM,0))</definedName>
    <definedName name="chart_WoW_off_OECS" localSheetId="1">INDEX('Live Chat KPIs - Monthly'!percent_WoW_off_OECS,MATCH(OECS!$AL$128,'Live Chat KPIs - Monthly'!period_OECS,0)):INDEX('Live Chat KPIs - Monthly'!percent_WoW_off_OECS,MATCH(OECS!$AL$129,'Live Chat KPIs - Monthly'!period_OECS,0))</definedName>
    <definedName name="chart_WoW_off_TT_percent" localSheetId="1">INDEX('Live Chat KPIs - Monthly'!percent_WoW_off_TT,MATCH('Trinidad and Tobago'!$AL$120,'Live Chat KPIs - Monthly'!period_TT,0)):INDEX('Live Chat KPIs - Monthly'!percent_WoW_off_TT,MATCH('Trinidad and Tobago'!$AL$121,'Live Chat KPIs - Monthly'!period_TT,0))</definedName>
    <definedName name="percent_WoW_ans_BAR" localSheetId="1">Table3[WoW % change ans]</definedName>
    <definedName name="percent_WoW_ans_BAR">Table3[WoW % change ans]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ans]</definedName>
    <definedName name="percent_WoW_ans_JAM">Table6[WoW % change ans]</definedName>
    <definedName name="percent_WoW_ans_OECS" localSheetId="1">Table2[WoW % change ans]</definedName>
    <definedName name="percent_WoW_ans_OECS">Table2[WoW % change ans]</definedName>
    <definedName name="percent_WoW_ans_TT" localSheetId="1">Table7[WoW % change ans]</definedName>
    <definedName name="percent_WoW_ans_TT">Table7[WoW % change ans]</definedName>
    <definedName name="percent_WoW_off_BAR" localSheetId="1">Table3[WoW % change offer]</definedName>
    <definedName name="percent_WoW_off_BAR">Table3[WoW % change offer]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offer]</definedName>
    <definedName name="percent_WoW_off_JAM">Table6[WoW % change offer]</definedName>
    <definedName name="percent_WoW_off_OECS" localSheetId="1">Table2[WoW % change offer]</definedName>
    <definedName name="percent_WoW_off_OECS">Table2[WoW % change offer]</definedName>
    <definedName name="percent_WoW_off_TT" localSheetId="1">Table7[WoW % change offer]</definedName>
    <definedName name="percent_WoW_off_TT">Table7[WoW % change offer]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>OECS!$T$2:$T$366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Table4[Sum of Calls - Answered]</definedName>
    <definedName name="WoW_calls_ans">Table4[Sum of Calls - Answered]</definedName>
    <definedName name="WoW_calls_off" localSheetId="1">Table4[Sum of Calls - Offered]</definedName>
    <definedName name="WoW_calls_off">Table4[Sum of Calls - Offered]</definedName>
    <definedName name="WoW_dates_BAR" localSheetId="1">Table14[Week of]</definedName>
    <definedName name="WoW_dates_BAR">Table14[Week of]</definedName>
    <definedName name="WoW_dates_GUY" localSheetId="1">Table10[Week of]</definedName>
    <definedName name="WoW_dates_GUY">Table10[Week of]</definedName>
    <definedName name="WoW_dates_JAM" localSheetId="1">Table13[Week of]</definedName>
    <definedName name="WoW_dates_JAM">Table13[Week of]</definedName>
    <definedName name="WoW_dates_OECS" localSheetId="1">Table8[Week Of]</definedName>
    <definedName name="WoW_dates_OECS">Table8[Week Of]</definedName>
    <definedName name="WoW_dates_TT" localSheetId="1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66" i="10" l="1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A11" i="10" l="1"/>
  <c r="AA11" i="8"/>
  <c r="AA11" i="9"/>
  <c r="AA11" i="12"/>
  <c r="AA11" i="11"/>
  <c r="AK9" i="11"/>
  <c r="AK10" i="11"/>
  <c r="AP280" i="11" l="1"/>
  <c r="AQ280" i="11"/>
  <c r="AP281" i="11"/>
  <c r="AQ281" i="11"/>
  <c r="AP282" i="11"/>
  <c r="AQ282" i="11"/>
  <c r="AP283" i="11"/>
  <c r="AQ283" i="11"/>
  <c r="AP284" i="11"/>
  <c r="AQ284" i="11"/>
  <c r="AP285" i="11"/>
  <c r="AQ285" i="11"/>
  <c r="AP286" i="11"/>
  <c r="AQ286" i="11"/>
  <c r="AP287" i="11"/>
  <c r="AQ287" i="11"/>
  <c r="AP288" i="11"/>
  <c r="AQ288" i="11"/>
  <c r="AP289" i="11"/>
  <c r="AQ289" i="11"/>
  <c r="AP290" i="11"/>
  <c r="AQ290" i="11"/>
  <c r="AP291" i="11"/>
  <c r="AQ291" i="11"/>
  <c r="AP292" i="11"/>
  <c r="AQ292" i="11"/>
  <c r="AP293" i="11"/>
  <c r="AQ293" i="11"/>
  <c r="AP294" i="11"/>
  <c r="AQ294" i="11"/>
  <c r="AP295" i="11"/>
  <c r="AQ295" i="11"/>
  <c r="AP296" i="11"/>
  <c r="AQ296" i="11"/>
  <c r="AP297" i="11"/>
  <c r="AQ297" i="11"/>
  <c r="AP298" i="11"/>
  <c r="AQ298" i="11"/>
  <c r="AP299" i="11"/>
  <c r="AQ299" i="11"/>
  <c r="AP300" i="11"/>
  <c r="AQ300" i="11"/>
  <c r="AP301" i="11"/>
  <c r="AQ301" i="11"/>
  <c r="AP302" i="11"/>
  <c r="AQ302" i="11"/>
  <c r="AP303" i="11"/>
  <c r="AQ303" i="11"/>
  <c r="AP304" i="11"/>
  <c r="AQ304" i="11"/>
  <c r="AP305" i="11"/>
  <c r="AQ305" i="11"/>
  <c r="AP306" i="11"/>
  <c r="AQ306" i="11"/>
  <c r="AP307" i="11"/>
  <c r="AQ307" i="11"/>
  <c r="AP308" i="11"/>
  <c r="AQ308" i="11"/>
  <c r="AP309" i="11"/>
  <c r="AQ309" i="11"/>
  <c r="AP310" i="11"/>
  <c r="AQ310" i="11"/>
  <c r="AP311" i="11"/>
  <c r="AQ311" i="11"/>
  <c r="AP312" i="11"/>
  <c r="AQ312" i="11"/>
  <c r="AP313" i="11"/>
  <c r="AQ313" i="11"/>
  <c r="AP314" i="11"/>
  <c r="AQ314" i="11"/>
  <c r="AP315" i="11"/>
  <c r="AQ315" i="11"/>
  <c r="AP316" i="11"/>
  <c r="AQ316" i="11"/>
  <c r="AP317" i="11"/>
  <c r="AQ317" i="11"/>
  <c r="AP318" i="11"/>
  <c r="AQ318" i="11"/>
  <c r="AP319" i="11"/>
  <c r="AQ319" i="11"/>
  <c r="AP320" i="11"/>
  <c r="AQ320" i="11"/>
  <c r="AP321" i="11"/>
  <c r="AQ321" i="11"/>
  <c r="AP322" i="11"/>
  <c r="AQ322" i="11"/>
  <c r="AP323" i="11"/>
  <c r="AQ323" i="11"/>
  <c r="AP324" i="11"/>
  <c r="AQ324" i="11"/>
  <c r="AP325" i="11"/>
  <c r="AQ325" i="11"/>
  <c r="AP326" i="11"/>
  <c r="AQ326" i="11"/>
  <c r="AP327" i="11"/>
  <c r="AQ327" i="11"/>
  <c r="AP328" i="11"/>
  <c r="AQ328" i="11"/>
  <c r="AP329" i="11"/>
  <c r="AQ329" i="11"/>
  <c r="AP330" i="11"/>
  <c r="AQ330" i="11"/>
  <c r="AP331" i="11"/>
  <c r="AQ331" i="11"/>
  <c r="AP332" i="11"/>
  <c r="AQ332" i="11"/>
  <c r="AP333" i="11"/>
  <c r="AQ333" i="11"/>
  <c r="AP334" i="11"/>
  <c r="AQ334" i="11"/>
  <c r="AP335" i="11"/>
  <c r="AQ335" i="11"/>
  <c r="AP336" i="11"/>
  <c r="AQ336" i="11"/>
  <c r="AP337" i="11"/>
  <c r="AQ337" i="11"/>
  <c r="AP338" i="11"/>
  <c r="AQ338" i="11"/>
  <c r="AP339" i="11"/>
  <c r="AQ339" i="11"/>
  <c r="AP340" i="11"/>
  <c r="AQ340" i="11"/>
  <c r="AP341" i="11"/>
  <c r="AQ341" i="11"/>
  <c r="AP342" i="11"/>
  <c r="AQ342" i="11"/>
  <c r="AP343" i="11"/>
  <c r="AQ343" i="11"/>
  <c r="AP344" i="11"/>
  <c r="AQ344" i="11"/>
  <c r="AP345" i="11"/>
  <c r="AQ345" i="11"/>
  <c r="AP346" i="11"/>
  <c r="AQ346" i="11"/>
  <c r="AP347" i="11"/>
  <c r="AQ347" i="11"/>
  <c r="AP348" i="11"/>
  <c r="AQ348" i="11"/>
  <c r="AP349" i="11"/>
  <c r="AQ349" i="11"/>
  <c r="AP350" i="11"/>
  <c r="AQ350" i="11"/>
  <c r="AP351" i="11"/>
  <c r="AQ351" i="11"/>
  <c r="AP352" i="11"/>
  <c r="AQ352" i="11"/>
  <c r="AP353" i="11"/>
  <c r="AQ353" i="11"/>
  <c r="AP354" i="11"/>
  <c r="AQ354" i="11"/>
  <c r="AP355" i="11"/>
  <c r="AQ355" i="11"/>
  <c r="AP356" i="11"/>
  <c r="AQ356" i="11"/>
  <c r="AP357" i="11"/>
  <c r="AQ357" i="11"/>
  <c r="AP358" i="11"/>
  <c r="AQ358" i="11"/>
  <c r="AP359" i="11"/>
  <c r="AQ359" i="11"/>
  <c r="AP360" i="11"/>
  <c r="AQ360" i="11"/>
  <c r="AP361" i="11"/>
  <c r="AQ361" i="11"/>
  <c r="AP362" i="11"/>
  <c r="AQ362" i="11"/>
  <c r="AP363" i="11"/>
  <c r="AQ363" i="11"/>
  <c r="AP364" i="11"/>
  <c r="AQ364" i="11"/>
  <c r="AP365" i="11"/>
  <c r="AQ365" i="11"/>
  <c r="AP366" i="11"/>
  <c r="AQ366" i="11"/>
  <c r="AQ279" i="11"/>
  <c r="AP279" i="11"/>
  <c r="AT300" i="10"/>
  <c r="AU300" i="10"/>
  <c r="AT301" i="10"/>
  <c r="AU301" i="10"/>
  <c r="AT302" i="10"/>
  <c r="AU302" i="10"/>
  <c r="AT303" i="10"/>
  <c r="AU303" i="10"/>
  <c r="AT304" i="10"/>
  <c r="AU304" i="10"/>
  <c r="AT305" i="10"/>
  <c r="AU305" i="10"/>
  <c r="AT306" i="10"/>
  <c r="AU306" i="10"/>
  <c r="AT307" i="10"/>
  <c r="AU307" i="10"/>
  <c r="AT308" i="10"/>
  <c r="AU308" i="10"/>
  <c r="AT309" i="10"/>
  <c r="AU309" i="10"/>
  <c r="AT310" i="10"/>
  <c r="AU310" i="10"/>
  <c r="AT311" i="10"/>
  <c r="AU311" i="10"/>
  <c r="AT312" i="10"/>
  <c r="AU312" i="10"/>
  <c r="AT313" i="10"/>
  <c r="AU313" i="10"/>
  <c r="AT314" i="10"/>
  <c r="AU314" i="10"/>
  <c r="AT316" i="10"/>
  <c r="AU316" i="10"/>
  <c r="AT317" i="10"/>
  <c r="AU317" i="10"/>
  <c r="AT318" i="10"/>
  <c r="AU318" i="10"/>
  <c r="AT319" i="10"/>
  <c r="AU319" i="10"/>
  <c r="AT320" i="10"/>
  <c r="AU320" i="10"/>
  <c r="AT321" i="10"/>
  <c r="AU321" i="10"/>
  <c r="AT322" i="10"/>
  <c r="AU322" i="10"/>
  <c r="AT323" i="10"/>
  <c r="AU323" i="10"/>
  <c r="AT324" i="10"/>
  <c r="AU324" i="10"/>
  <c r="AT325" i="10"/>
  <c r="AU325" i="10"/>
  <c r="AT326" i="10"/>
  <c r="AU326" i="10"/>
  <c r="AT327" i="10"/>
  <c r="AU327" i="10"/>
  <c r="AT328" i="10"/>
  <c r="AU328" i="10"/>
  <c r="AT329" i="10"/>
  <c r="AU329" i="10"/>
  <c r="AT330" i="10"/>
  <c r="AU330" i="10"/>
  <c r="AT331" i="10"/>
  <c r="AU331" i="10"/>
  <c r="AT332" i="10"/>
  <c r="AU332" i="10"/>
  <c r="AT333" i="10"/>
  <c r="AU333" i="10"/>
  <c r="AT334" i="10"/>
  <c r="AU334" i="10"/>
  <c r="AT335" i="10"/>
  <c r="AU335" i="10"/>
  <c r="AT336" i="10"/>
  <c r="AU336" i="10"/>
  <c r="AT337" i="10"/>
  <c r="AU337" i="10"/>
  <c r="AT338" i="10"/>
  <c r="AU338" i="10"/>
  <c r="AT339" i="10"/>
  <c r="AU339" i="10"/>
  <c r="AT340" i="10"/>
  <c r="AU340" i="10"/>
  <c r="AT341" i="10"/>
  <c r="AU341" i="10"/>
  <c r="AT342" i="10"/>
  <c r="AU342" i="10"/>
  <c r="AT343" i="10"/>
  <c r="AU343" i="10"/>
  <c r="AT344" i="10"/>
  <c r="AU344" i="10"/>
  <c r="AT345" i="10"/>
  <c r="AU345" i="10"/>
  <c r="AT346" i="10"/>
  <c r="AU346" i="10"/>
  <c r="AT347" i="10"/>
  <c r="AU347" i="10"/>
  <c r="AT348" i="10"/>
  <c r="AU348" i="10"/>
  <c r="AT349" i="10"/>
  <c r="AU349" i="10"/>
  <c r="AT350" i="10"/>
  <c r="AU350" i="10"/>
  <c r="AT351" i="10"/>
  <c r="AU351" i="10"/>
  <c r="AT352" i="10"/>
  <c r="AU352" i="10"/>
  <c r="AT353" i="10"/>
  <c r="AU353" i="10"/>
  <c r="AT354" i="10"/>
  <c r="AU354" i="10"/>
  <c r="AT355" i="10"/>
  <c r="AU355" i="10"/>
  <c r="AT356" i="10"/>
  <c r="AU356" i="10"/>
  <c r="AT357" i="10"/>
  <c r="AU357" i="10"/>
  <c r="AT358" i="10"/>
  <c r="AU358" i="10"/>
  <c r="AT359" i="10"/>
  <c r="AU359" i="10"/>
  <c r="AT360" i="10"/>
  <c r="AU360" i="10"/>
  <c r="AT361" i="10"/>
  <c r="AU361" i="10"/>
  <c r="AT362" i="10"/>
  <c r="AU362" i="10"/>
  <c r="AT363" i="10"/>
  <c r="AU363" i="10"/>
  <c r="AT364" i="10"/>
  <c r="AU364" i="10"/>
  <c r="AT365" i="10"/>
  <c r="AU365" i="10"/>
  <c r="AT366" i="10"/>
  <c r="AU366" i="10"/>
  <c r="AU315" i="10"/>
  <c r="AT315" i="10"/>
  <c r="AN296" i="8"/>
  <c r="AO296" i="8"/>
  <c r="AN297" i="8"/>
  <c r="AO297" i="8"/>
  <c r="AN298" i="8"/>
  <c r="AO298" i="8"/>
  <c r="AN299" i="8"/>
  <c r="AO299" i="8"/>
  <c r="AN300" i="8"/>
  <c r="AO300" i="8"/>
  <c r="AN301" i="8"/>
  <c r="AO301" i="8"/>
  <c r="AN302" i="8"/>
  <c r="AO302" i="8"/>
  <c r="AN303" i="8"/>
  <c r="AO303" i="8"/>
  <c r="AN304" i="8"/>
  <c r="AO304" i="8"/>
  <c r="AN305" i="8"/>
  <c r="AO305" i="8"/>
  <c r="AN306" i="8"/>
  <c r="AO306" i="8"/>
  <c r="AN307" i="8"/>
  <c r="AO307" i="8"/>
  <c r="AN308" i="8"/>
  <c r="AO308" i="8"/>
  <c r="AN309" i="8"/>
  <c r="AO309" i="8"/>
  <c r="AN310" i="8"/>
  <c r="AO310" i="8"/>
  <c r="AN311" i="8"/>
  <c r="AO311" i="8"/>
  <c r="AN312" i="8"/>
  <c r="AO312" i="8"/>
  <c r="AN313" i="8"/>
  <c r="AO313" i="8"/>
  <c r="AN314" i="8"/>
  <c r="AO314" i="8"/>
  <c r="AN315" i="8"/>
  <c r="AO315" i="8"/>
  <c r="AN316" i="8"/>
  <c r="AO316" i="8"/>
  <c r="AN317" i="8"/>
  <c r="AO317" i="8"/>
  <c r="AN318" i="8"/>
  <c r="AO318" i="8"/>
  <c r="AN319" i="8"/>
  <c r="AO319" i="8"/>
  <c r="AN320" i="8"/>
  <c r="AO320" i="8"/>
  <c r="AN321" i="8"/>
  <c r="AO321" i="8"/>
  <c r="AN322" i="8"/>
  <c r="AO322" i="8"/>
  <c r="AN323" i="8"/>
  <c r="AO323" i="8"/>
  <c r="AN324" i="8"/>
  <c r="AO324" i="8"/>
  <c r="AN325" i="8"/>
  <c r="AO325" i="8"/>
  <c r="AN326" i="8"/>
  <c r="AO326" i="8"/>
  <c r="AN327" i="8"/>
  <c r="AO327" i="8"/>
  <c r="AN328" i="8"/>
  <c r="AO328" i="8"/>
  <c r="AN329" i="8"/>
  <c r="AO329" i="8"/>
  <c r="AN330" i="8"/>
  <c r="AO330" i="8"/>
  <c r="AN331" i="8"/>
  <c r="AO331" i="8"/>
  <c r="AN332" i="8"/>
  <c r="AO332" i="8"/>
  <c r="AN333" i="8"/>
  <c r="AO333" i="8"/>
  <c r="AN334" i="8"/>
  <c r="AO334" i="8"/>
  <c r="AN335" i="8"/>
  <c r="AO335" i="8"/>
  <c r="AN336" i="8"/>
  <c r="AO336" i="8"/>
  <c r="AN337" i="8"/>
  <c r="AO337" i="8"/>
  <c r="AN338" i="8"/>
  <c r="AO338" i="8"/>
  <c r="AN339" i="8"/>
  <c r="AO339" i="8"/>
  <c r="AN340" i="8"/>
  <c r="AO340" i="8"/>
  <c r="AN341" i="8"/>
  <c r="AO341" i="8"/>
  <c r="AN342" i="8"/>
  <c r="AO342" i="8"/>
  <c r="AN343" i="8"/>
  <c r="AO343" i="8"/>
  <c r="AN344" i="8"/>
  <c r="AO344" i="8"/>
  <c r="AN345" i="8"/>
  <c r="AO345" i="8"/>
  <c r="AN346" i="8"/>
  <c r="AO346" i="8"/>
  <c r="AN347" i="8"/>
  <c r="AO347" i="8"/>
  <c r="AN348" i="8"/>
  <c r="AO348" i="8"/>
  <c r="AN349" i="8"/>
  <c r="AO349" i="8"/>
  <c r="AN350" i="8"/>
  <c r="AO350" i="8"/>
  <c r="AN351" i="8"/>
  <c r="AO351" i="8"/>
  <c r="AN352" i="8"/>
  <c r="AO352" i="8"/>
  <c r="AN353" i="8"/>
  <c r="AO353" i="8"/>
  <c r="AN354" i="8"/>
  <c r="AO354" i="8"/>
  <c r="AN355" i="8"/>
  <c r="AO355" i="8"/>
  <c r="AN356" i="8"/>
  <c r="AO356" i="8"/>
  <c r="AN357" i="8"/>
  <c r="AO357" i="8"/>
  <c r="AN358" i="8"/>
  <c r="AO358" i="8"/>
  <c r="AN359" i="8"/>
  <c r="AO359" i="8"/>
  <c r="AN360" i="8"/>
  <c r="AO360" i="8"/>
  <c r="AN361" i="8"/>
  <c r="AO361" i="8"/>
  <c r="AN362" i="8"/>
  <c r="AO362" i="8"/>
  <c r="AN363" i="8"/>
  <c r="AO363" i="8"/>
  <c r="AN364" i="8"/>
  <c r="AO364" i="8"/>
  <c r="AN365" i="8"/>
  <c r="AO365" i="8"/>
  <c r="AN366" i="8"/>
  <c r="AO366" i="8"/>
  <c r="AO295" i="8"/>
  <c r="AN295" i="8"/>
  <c r="AR280" i="9"/>
  <c r="AS280" i="9"/>
  <c r="AR281" i="9"/>
  <c r="AS281" i="9"/>
  <c r="AR282" i="9"/>
  <c r="AS282" i="9"/>
  <c r="AR283" i="9"/>
  <c r="AS283" i="9"/>
  <c r="AR284" i="9"/>
  <c r="AS284" i="9"/>
  <c r="AR285" i="9"/>
  <c r="AS285" i="9"/>
  <c r="AR286" i="9"/>
  <c r="AS286" i="9"/>
  <c r="AR287" i="9"/>
  <c r="AS287" i="9"/>
  <c r="AR288" i="9"/>
  <c r="AS288" i="9"/>
  <c r="AR289" i="9"/>
  <c r="AS289" i="9"/>
  <c r="AR290" i="9"/>
  <c r="AS290" i="9"/>
  <c r="AR291" i="9"/>
  <c r="AS291" i="9"/>
  <c r="AR292" i="9"/>
  <c r="AS292" i="9"/>
  <c r="AR293" i="9"/>
  <c r="AS293" i="9"/>
  <c r="AR294" i="9"/>
  <c r="AS294" i="9"/>
  <c r="AR295" i="9"/>
  <c r="AS295" i="9"/>
  <c r="AR296" i="9"/>
  <c r="AS296" i="9"/>
  <c r="AR297" i="9"/>
  <c r="AS297" i="9"/>
  <c r="AR298" i="9"/>
  <c r="AS298" i="9"/>
  <c r="AR299" i="9"/>
  <c r="AS299" i="9"/>
  <c r="AR300" i="9"/>
  <c r="AS300" i="9"/>
  <c r="AR301" i="9"/>
  <c r="AS301" i="9"/>
  <c r="AR302" i="9"/>
  <c r="AS302" i="9"/>
  <c r="AR303" i="9"/>
  <c r="AS303" i="9"/>
  <c r="AR304" i="9"/>
  <c r="AS304" i="9"/>
  <c r="AR305" i="9"/>
  <c r="AS305" i="9"/>
  <c r="AR306" i="9"/>
  <c r="AS306" i="9"/>
  <c r="AR307" i="9"/>
  <c r="AS307" i="9"/>
  <c r="AR308" i="9"/>
  <c r="AS308" i="9"/>
  <c r="AR309" i="9"/>
  <c r="AS309" i="9"/>
  <c r="AR310" i="9"/>
  <c r="AS310" i="9"/>
  <c r="AR311" i="9"/>
  <c r="AS311" i="9"/>
  <c r="AR312" i="9"/>
  <c r="AS312" i="9"/>
  <c r="AR313" i="9"/>
  <c r="AS313" i="9"/>
  <c r="AR314" i="9"/>
  <c r="AS314" i="9"/>
  <c r="AR315" i="9"/>
  <c r="AS315" i="9"/>
  <c r="AR316" i="9"/>
  <c r="AS316" i="9"/>
  <c r="AR317" i="9"/>
  <c r="AS317" i="9"/>
  <c r="AR318" i="9"/>
  <c r="AS318" i="9"/>
  <c r="AR319" i="9"/>
  <c r="AS319" i="9"/>
  <c r="AR320" i="9"/>
  <c r="AS320" i="9"/>
  <c r="AR321" i="9"/>
  <c r="AS321" i="9"/>
  <c r="AR322" i="9"/>
  <c r="AS322" i="9"/>
  <c r="AR323" i="9"/>
  <c r="AS323" i="9"/>
  <c r="AR324" i="9"/>
  <c r="AS324" i="9"/>
  <c r="AR325" i="9"/>
  <c r="AS325" i="9"/>
  <c r="AR326" i="9"/>
  <c r="AS326" i="9"/>
  <c r="AR327" i="9"/>
  <c r="AS327" i="9"/>
  <c r="AR328" i="9"/>
  <c r="AS328" i="9"/>
  <c r="AR329" i="9"/>
  <c r="AS329" i="9"/>
  <c r="AR330" i="9"/>
  <c r="AS330" i="9"/>
  <c r="AR331" i="9"/>
  <c r="AS331" i="9"/>
  <c r="AR332" i="9"/>
  <c r="AS332" i="9"/>
  <c r="AR333" i="9"/>
  <c r="AS333" i="9"/>
  <c r="AR334" i="9"/>
  <c r="AS334" i="9"/>
  <c r="AR335" i="9"/>
  <c r="AS335" i="9"/>
  <c r="AR336" i="9"/>
  <c r="AS336" i="9"/>
  <c r="AR337" i="9"/>
  <c r="AS337" i="9"/>
  <c r="AR338" i="9"/>
  <c r="AS338" i="9"/>
  <c r="AR339" i="9"/>
  <c r="AS339" i="9"/>
  <c r="AR340" i="9"/>
  <c r="AS340" i="9"/>
  <c r="AR341" i="9"/>
  <c r="AS341" i="9"/>
  <c r="AR342" i="9"/>
  <c r="AS342" i="9"/>
  <c r="AR343" i="9"/>
  <c r="AS343" i="9"/>
  <c r="AR344" i="9"/>
  <c r="AS344" i="9"/>
  <c r="AR345" i="9"/>
  <c r="AS345" i="9"/>
  <c r="AR346" i="9"/>
  <c r="AS346" i="9"/>
  <c r="AR347" i="9"/>
  <c r="AS347" i="9"/>
  <c r="AR348" i="9"/>
  <c r="AS348" i="9"/>
  <c r="AR349" i="9"/>
  <c r="AS349" i="9"/>
  <c r="AR350" i="9"/>
  <c r="AS350" i="9"/>
  <c r="AR351" i="9"/>
  <c r="AS351" i="9"/>
  <c r="AR352" i="9"/>
  <c r="AS352" i="9"/>
  <c r="AR353" i="9"/>
  <c r="AS353" i="9"/>
  <c r="AR354" i="9"/>
  <c r="AS354" i="9"/>
  <c r="AR355" i="9"/>
  <c r="AS355" i="9"/>
  <c r="AR356" i="9"/>
  <c r="AS356" i="9"/>
  <c r="AR357" i="9"/>
  <c r="AS357" i="9"/>
  <c r="AR358" i="9"/>
  <c r="AS358" i="9"/>
  <c r="AR359" i="9"/>
  <c r="AS359" i="9"/>
  <c r="AR360" i="9"/>
  <c r="AS360" i="9"/>
  <c r="AR361" i="9"/>
  <c r="AS361" i="9"/>
  <c r="AR362" i="9"/>
  <c r="AS362" i="9"/>
  <c r="AR363" i="9"/>
  <c r="AS363" i="9"/>
  <c r="AR364" i="9"/>
  <c r="AS364" i="9"/>
  <c r="AR365" i="9"/>
  <c r="AS365" i="9"/>
  <c r="AR366" i="9"/>
  <c r="AS366" i="9"/>
  <c r="AS279" i="9"/>
  <c r="AR279" i="9"/>
  <c r="AK302" i="12"/>
  <c r="AL302" i="12"/>
  <c r="AK303" i="12"/>
  <c r="AL303" i="12"/>
  <c r="AK304" i="12"/>
  <c r="AL304" i="12"/>
  <c r="AK305" i="12"/>
  <c r="AL305" i="12"/>
  <c r="AK306" i="12"/>
  <c r="AL306" i="12"/>
  <c r="AK307" i="12"/>
  <c r="AL307" i="12"/>
  <c r="AK308" i="12"/>
  <c r="AL308" i="12"/>
  <c r="AK309" i="12"/>
  <c r="AL309" i="12"/>
  <c r="AK310" i="12"/>
  <c r="AL310" i="12"/>
  <c r="AK311" i="12"/>
  <c r="AL311" i="12"/>
  <c r="AK312" i="12"/>
  <c r="AL312" i="12"/>
  <c r="AK313" i="12"/>
  <c r="AL313" i="12"/>
  <c r="AK314" i="12"/>
  <c r="AL314" i="12"/>
  <c r="AK315" i="12"/>
  <c r="AL315" i="12"/>
  <c r="AK316" i="12"/>
  <c r="AL316" i="12"/>
  <c r="AK317" i="12"/>
  <c r="AL317" i="12"/>
  <c r="AK318" i="12"/>
  <c r="AL318" i="12"/>
  <c r="AK319" i="12"/>
  <c r="AL319" i="12"/>
  <c r="AK320" i="12"/>
  <c r="AL320" i="12"/>
  <c r="AK321" i="12"/>
  <c r="AL321" i="12"/>
  <c r="AK322" i="12"/>
  <c r="AL322" i="12"/>
  <c r="AK323" i="12"/>
  <c r="AL323" i="12"/>
  <c r="AK324" i="12"/>
  <c r="AL324" i="12"/>
  <c r="AK325" i="12"/>
  <c r="AL325" i="12"/>
  <c r="AK326" i="12"/>
  <c r="AL326" i="12"/>
  <c r="AK327" i="12"/>
  <c r="AL327" i="12"/>
  <c r="AK328" i="12"/>
  <c r="AL328" i="12"/>
  <c r="AK329" i="12"/>
  <c r="AL329" i="12"/>
  <c r="AK330" i="12"/>
  <c r="AL330" i="12"/>
  <c r="AK331" i="12"/>
  <c r="AL331" i="12"/>
  <c r="AK332" i="12"/>
  <c r="AL332" i="12"/>
  <c r="AK333" i="12"/>
  <c r="AL333" i="12"/>
  <c r="AK334" i="12"/>
  <c r="AL334" i="12"/>
  <c r="AK335" i="12"/>
  <c r="AL335" i="12"/>
  <c r="AK336" i="12"/>
  <c r="AL336" i="12"/>
  <c r="AK337" i="12"/>
  <c r="AL337" i="12"/>
  <c r="AK338" i="12"/>
  <c r="AL338" i="12"/>
  <c r="AK339" i="12"/>
  <c r="AL339" i="12"/>
  <c r="AK340" i="12"/>
  <c r="AL340" i="12"/>
  <c r="AK341" i="12"/>
  <c r="AL341" i="12"/>
  <c r="AK342" i="12"/>
  <c r="AL342" i="12"/>
  <c r="AK343" i="12"/>
  <c r="AL343" i="12"/>
  <c r="AK344" i="12"/>
  <c r="AL344" i="12"/>
  <c r="AK345" i="12"/>
  <c r="AL345" i="12"/>
  <c r="AK346" i="12"/>
  <c r="AL346" i="12"/>
  <c r="AK347" i="12"/>
  <c r="AL347" i="12"/>
  <c r="AK348" i="12"/>
  <c r="AL348" i="12"/>
  <c r="AK349" i="12"/>
  <c r="AL349" i="12"/>
  <c r="AK350" i="12"/>
  <c r="AL350" i="12"/>
  <c r="AK351" i="12"/>
  <c r="AL351" i="12"/>
  <c r="AK352" i="12"/>
  <c r="AL352" i="12"/>
  <c r="AK353" i="12"/>
  <c r="AL353" i="12"/>
  <c r="AK354" i="12"/>
  <c r="AL354" i="12"/>
  <c r="AK355" i="12"/>
  <c r="AL355" i="12"/>
  <c r="AK356" i="12"/>
  <c r="AL356" i="12"/>
  <c r="AK357" i="12"/>
  <c r="AL357" i="12"/>
  <c r="AK358" i="12"/>
  <c r="AL358" i="12"/>
  <c r="AK359" i="12"/>
  <c r="AL359" i="12"/>
  <c r="AK360" i="12"/>
  <c r="AL360" i="12"/>
  <c r="AK361" i="12"/>
  <c r="AL361" i="12"/>
  <c r="AK362" i="12"/>
  <c r="AL362" i="12"/>
  <c r="AK363" i="12"/>
  <c r="AL363" i="12"/>
  <c r="AK364" i="12"/>
  <c r="AL364" i="12"/>
  <c r="AK365" i="12"/>
  <c r="AL365" i="12"/>
  <c r="AK366" i="12"/>
  <c r="AL366" i="12"/>
  <c r="AL301" i="12"/>
  <c r="AK301" i="12"/>
  <c r="AM242" i="10" l="1"/>
  <c r="AN284" i="9"/>
  <c r="AJ258" i="12"/>
  <c r="AL258" i="11"/>
  <c r="AD22" i="15" l="1"/>
  <c r="AC22" i="15"/>
  <c r="AH11" i="15" l="1"/>
  <c r="AG11" i="15"/>
  <c r="AD11" i="15"/>
  <c r="AC11" i="15"/>
  <c r="AE11" i="15" s="1"/>
  <c r="AF11" i="15" s="1"/>
  <c r="AB11" i="15"/>
  <c r="AE9" i="15"/>
  <c r="AF9" i="15" s="1"/>
  <c r="AE8" i="15"/>
  <c r="AF8" i="15" s="1"/>
  <c r="AE7" i="15"/>
  <c r="AF7" i="15" s="1"/>
  <c r="AE6" i="15"/>
  <c r="AF6" i="15" s="1"/>
  <c r="AE5" i="15"/>
  <c r="AF5" i="15" s="1"/>
  <c r="J21" i="18" l="1"/>
  <c r="J20" i="18" l="1"/>
  <c r="J19" i="18"/>
  <c r="K19" i="18"/>
  <c r="K20" i="18"/>
  <c r="K21" i="18" s="1"/>
  <c r="N20" i="18"/>
  <c r="M20" i="18"/>
  <c r="L20" i="18"/>
  <c r="I20" i="18"/>
  <c r="O20" i="18" l="1"/>
  <c r="AH239" i="8" l="1"/>
  <c r="J12" i="18"/>
  <c r="K12" i="18"/>
  <c r="L12" i="18"/>
  <c r="M12" i="18"/>
  <c r="I12" i="18"/>
  <c r="J93" i="10" l="1"/>
  <c r="J94" i="10" s="1"/>
  <c r="J96" i="10" s="1"/>
  <c r="J97" i="10" s="1"/>
  <c r="J100" i="10" s="1"/>
  <c r="J101" i="10" s="1"/>
  <c r="J103" i="10" s="1"/>
  <c r="J104" i="10" s="1"/>
  <c r="J105" i="10" s="1"/>
  <c r="J106" i="10" s="1"/>
  <c r="J107" i="10" s="1"/>
  <c r="J108" i="10" s="1"/>
  <c r="J110" i="10" s="1"/>
  <c r="J111" i="10" s="1"/>
  <c r="J112" i="10" s="1"/>
  <c r="J113" i="10" s="1"/>
  <c r="J114" i="10" s="1"/>
  <c r="J115" i="10" s="1"/>
  <c r="J117" i="10" s="1"/>
  <c r="J118" i="10" s="1"/>
  <c r="J119" i="10" s="1"/>
  <c r="J120" i="10" s="1"/>
  <c r="J121" i="10" s="1"/>
  <c r="J122" i="10" s="1"/>
  <c r="I93" i="10"/>
  <c r="I94" i="10" s="1"/>
  <c r="I96" i="10" s="1"/>
  <c r="I97" i="10" s="1"/>
  <c r="I100" i="10" s="1"/>
  <c r="I101" i="10" s="1"/>
  <c r="I103" i="10" s="1"/>
  <c r="I104" i="10" s="1"/>
  <c r="I105" i="10" s="1"/>
  <c r="I106" i="10" s="1"/>
  <c r="I107" i="10" s="1"/>
  <c r="I108" i="10" s="1"/>
  <c r="I110" i="10" s="1"/>
  <c r="I111" i="10" s="1"/>
  <c r="I112" i="10" s="1"/>
  <c r="I113" i="10" s="1"/>
  <c r="I114" i="10" s="1"/>
  <c r="I115" i="10" s="1"/>
  <c r="I117" i="10" s="1"/>
  <c r="I118" i="10" s="1"/>
  <c r="I119" i="10" s="1"/>
  <c r="I120" i="10" s="1"/>
  <c r="I121" i="10" s="1"/>
  <c r="I122" i="10" s="1"/>
  <c r="J89" i="10"/>
  <c r="J90" i="10" s="1"/>
  <c r="J91" i="10" s="1"/>
  <c r="J92" i="10" s="1"/>
  <c r="I89" i="10"/>
  <c r="I90" i="10" s="1"/>
  <c r="I91" i="10" s="1"/>
  <c r="I92" i="10" s="1"/>
  <c r="J93" i="11"/>
  <c r="I93" i="11"/>
  <c r="I94" i="11" s="1"/>
  <c r="I97" i="11" s="1"/>
  <c r="I98" i="11" s="1"/>
  <c r="I99" i="11" s="1"/>
  <c r="I100" i="11" s="1"/>
  <c r="I103" i="11" s="1"/>
  <c r="I104" i="11" s="1"/>
  <c r="I105" i="11" s="1"/>
  <c r="I106" i="11" s="1"/>
  <c r="I107" i="11" s="1"/>
  <c r="I108" i="11" s="1"/>
  <c r="I110" i="11" s="1"/>
  <c r="I111" i="11" s="1"/>
  <c r="I112" i="11" s="1"/>
  <c r="I113" i="11" s="1"/>
  <c r="I114" i="11" s="1"/>
  <c r="I115" i="11" s="1"/>
  <c r="I117" i="11" s="1"/>
  <c r="I118" i="11" s="1"/>
  <c r="I119" i="11" s="1"/>
  <c r="I120" i="11" s="1"/>
  <c r="I121" i="11" s="1"/>
  <c r="I122" i="11" s="1"/>
  <c r="J90" i="11"/>
  <c r="J91" i="11" s="1"/>
  <c r="J92" i="11" s="1"/>
  <c r="I90" i="11"/>
  <c r="I91" i="11" s="1"/>
  <c r="I92" i="11" s="1"/>
  <c r="J94" i="11" l="1"/>
  <c r="J97" i="11" s="1"/>
  <c r="J98" i="11" s="1"/>
  <c r="J99" i="11" s="1"/>
  <c r="J100" i="11" s="1"/>
  <c r="J103" i="11" s="1"/>
  <c r="J104" i="11" s="1"/>
  <c r="J105" i="11" s="1"/>
  <c r="J106" i="11" s="1"/>
  <c r="J107" i="11" s="1"/>
  <c r="J108" i="11" s="1"/>
  <c r="J110" i="11" s="1"/>
  <c r="J111" i="11" s="1"/>
  <c r="J112" i="11" s="1"/>
  <c r="J113" i="11" s="1"/>
  <c r="J114" i="11" s="1"/>
  <c r="J115" i="11" s="1"/>
  <c r="J117" i="11" s="1"/>
  <c r="J118" i="11" s="1"/>
  <c r="J119" i="11" s="1"/>
  <c r="J120" i="11" s="1"/>
  <c r="J121" i="11" s="1"/>
  <c r="J122" i="11" s="1"/>
  <c r="AL60" i="11" a="1"/>
  <c r="AL60" i="11" s="1"/>
  <c r="AM60" i="11" a="1"/>
  <c r="AM60" i="11" s="1"/>
  <c r="R45" i="15"/>
  <c r="S45" i="15" s="1"/>
  <c r="R41" i="15"/>
  <c r="S41" i="15" s="1"/>
  <c r="R44" i="15"/>
  <c r="S44" i="15" s="1"/>
  <c r="R42" i="15"/>
  <c r="S42" i="15" s="1"/>
  <c r="AJ273" i="12"/>
  <c r="R43" i="15"/>
  <c r="S43" i="15" s="1"/>
  <c r="P43" i="15"/>
  <c r="U47" i="15"/>
  <c r="T47" i="15"/>
  <c r="Q47" i="15"/>
  <c r="N47" i="15"/>
  <c r="R47" i="15" s="1"/>
  <c r="S47" i="15" s="1"/>
  <c r="M47" i="15"/>
  <c r="P45" i="15"/>
  <c r="O45" i="15"/>
  <c r="P44" i="15"/>
  <c r="O44" i="15"/>
  <c r="O43" i="15"/>
  <c r="P42" i="15"/>
  <c r="O42" i="15"/>
  <c r="P41" i="15"/>
  <c r="O41" i="15"/>
  <c r="E18" i="16"/>
  <c r="B18" i="16"/>
  <c r="F18" i="16"/>
  <c r="G18" i="16"/>
  <c r="D18" i="16"/>
  <c r="C18" i="16"/>
  <c r="AL66" i="8"/>
  <c r="AM66" i="8"/>
  <c r="H366" i="10"/>
  <c r="G366" i="10"/>
  <c r="H365" i="10"/>
  <c r="G365" i="10"/>
  <c r="H364" i="10"/>
  <c r="G364" i="10"/>
  <c r="H363" i="10"/>
  <c r="G363" i="10"/>
  <c r="H362" i="10"/>
  <c r="G362" i="10"/>
  <c r="H360" i="10"/>
  <c r="G360" i="10"/>
  <c r="H359" i="10"/>
  <c r="G359" i="10"/>
  <c r="H358" i="10"/>
  <c r="G358" i="10"/>
  <c r="G366" i="8" l="1"/>
  <c r="L366" i="8"/>
  <c r="K366" i="8"/>
  <c r="H366" i="8"/>
  <c r="H359" i="8"/>
  <c r="H364" i="8"/>
  <c r="G364" i="8"/>
  <c r="H363" i="8"/>
  <c r="G363" i="8"/>
  <c r="H362" i="8"/>
  <c r="G362" i="8"/>
  <c r="H360" i="8"/>
  <c r="G360" i="8"/>
  <c r="G359" i="8"/>
  <c r="H358" i="8"/>
  <c r="G358" i="8"/>
  <c r="H366" i="9"/>
  <c r="G366" i="9"/>
  <c r="H365" i="9"/>
  <c r="G365" i="9"/>
  <c r="H364" i="9"/>
  <c r="G364" i="9"/>
  <c r="H363" i="9"/>
  <c r="G363" i="9"/>
  <c r="H362" i="9"/>
  <c r="G362" i="9"/>
  <c r="H360" i="9"/>
  <c r="G360" i="9"/>
  <c r="H359" i="9"/>
  <c r="G359" i="9"/>
  <c r="H358" i="9"/>
  <c r="G358" i="9"/>
  <c r="H366" i="11" l="1"/>
  <c r="G366" i="11"/>
  <c r="H365" i="11"/>
  <c r="G365" i="11"/>
  <c r="H364" i="11"/>
  <c r="G364" i="11"/>
  <c r="H363" i="11"/>
  <c r="G363" i="11"/>
  <c r="H362" i="11"/>
  <c r="G362" i="11"/>
  <c r="H360" i="11"/>
  <c r="G360" i="11"/>
  <c r="H359" i="11"/>
  <c r="G359" i="11"/>
  <c r="H358" i="11"/>
  <c r="G358" i="11"/>
  <c r="H366" i="12"/>
  <c r="G366" i="12"/>
  <c r="G365" i="12"/>
  <c r="H365" i="12"/>
  <c r="H364" i="12"/>
  <c r="G364" i="12"/>
  <c r="H363" i="12"/>
  <c r="G363" i="12"/>
  <c r="H362" i="12"/>
  <c r="G362" i="12"/>
  <c r="H360" i="12"/>
  <c r="G360" i="12"/>
  <c r="H359" i="12"/>
  <c r="G359" i="12"/>
  <c r="H358" i="12"/>
  <c r="G358" i="12"/>
  <c r="AJ179" i="12"/>
  <c r="AL167" i="11"/>
  <c r="AN244" i="9"/>
  <c r="AK167" i="8"/>
  <c r="F11" i="13"/>
  <c r="E11" i="13"/>
  <c r="F5" i="13"/>
  <c r="F6" i="13"/>
  <c r="F7" i="13"/>
  <c r="F8" i="13"/>
  <c r="F9" i="13"/>
  <c r="E6" i="13"/>
  <c r="E7" i="13"/>
  <c r="E8" i="13"/>
  <c r="E9" i="13"/>
  <c r="E5" i="13"/>
  <c r="K25" i="13"/>
  <c r="J25" i="13"/>
  <c r="G25" i="13"/>
  <c r="D25" i="13"/>
  <c r="C25" i="13"/>
  <c r="H23" i="13"/>
  <c r="I23" i="13" s="1"/>
  <c r="H22" i="13"/>
  <c r="I22" i="13" s="1"/>
  <c r="H21" i="13"/>
  <c r="I21" i="13" s="1"/>
  <c r="H20" i="13"/>
  <c r="I20" i="13" s="1"/>
  <c r="H19" i="13"/>
  <c r="H25" i="13" s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H11" i="13" s="1"/>
  <c r="AN174" i="10"/>
  <c r="D11" i="13"/>
  <c r="C11" i="13"/>
  <c r="H357" i="10"/>
  <c r="G357" i="10"/>
  <c r="H356" i="10"/>
  <c r="G356" i="10"/>
  <c r="H357" i="8"/>
  <c r="G357" i="8"/>
  <c r="H356" i="8"/>
  <c r="G356" i="8"/>
  <c r="H357" i="9"/>
  <c r="G357" i="9"/>
  <c r="H356" i="9"/>
  <c r="G356" i="9"/>
  <c r="I5" i="13" l="1"/>
  <c r="I11" i="13" s="1"/>
  <c r="I19" i="13"/>
  <c r="I25" i="13" s="1"/>
  <c r="H357" i="11"/>
  <c r="G357" i="11"/>
  <c r="H356" i="11"/>
  <c r="G356" i="11"/>
  <c r="H355" i="11"/>
  <c r="G355" i="11"/>
  <c r="H357" i="12"/>
  <c r="G357" i="12"/>
  <c r="H356" i="12"/>
  <c r="G356" i="12"/>
  <c r="H355" i="10"/>
  <c r="G355" i="10"/>
  <c r="H353" i="10"/>
  <c r="G353" i="10"/>
  <c r="H352" i="10"/>
  <c r="G352" i="10"/>
  <c r="H351" i="10"/>
  <c r="G351" i="10"/>
  <c r="H350" i="10"/>
  <c r="G350" i="10"/>
  <c r="H349" i="10"/>
  <c r="G349" i="10"/>
  <c r="H355" i="8"/>
  <c r="G355" i="8"/>
  <c r="H353" i="8"/>
  <c r="G353" i="8"/>
  <c r="H352" i="8"/>
  <c r="G352" i="8"/>
  <c r="H351" i="8"/>
  <c r="G351" i="8"/>
  <c r="H355" i="9"/>
  <c r="G355" i="9"/>
  <c r="H353" i="9"/>
  <c r="G353" i="9"/>
  <c r="H352" i="9"/>
  <c r="G352" i="9"/>
  <c r="H351" i="9"/>
  <c r="G351" i="9"/>
  <c r="H350" i="9"/>
  <c r="G350" i="9"/>
  <c r="H353" i="11" l="1"/>
  <c r="G353" i="11"/>
  <c r="H352" i="11"/>
  <c r="G352" i="11"/>
  <c r="H351" i="11"/>
  <c r="G351" i="11"/>
  <c r="H350" i="11"/>
  <c r="G350" i="11"/>
  <c r="J336" i="12"/>
  <c r="H355" i="12"/>
  <c r="G355" i="12"/>
  <c r="H353" i="12"/>
  <c r="G353" i="12"/>
  <c r="H352" i="12"/>
  <c r="G352" i="12"/>
  <c r="H351" i="12"/>
  <c r="G351" i="12"/>
  <c r="H350" i="12"/>
  <c r="G350" i="12"/>
  <c r="F18" i="2"/>
  <c r="B18" i="2"/>
  <c r="H348" i="10"/>
  <c r="G348" i="10"/>
  <c r="H346" i="10"/>
  <c r="G346" i="10"/>
  <c r="H345" i="10"/>
  <c r="G345" i="10"/>
  <c r="H344" i="10"/>
  <c r="G344" i="10"/>
  <c r="H343" i="10"/>
  <c r="G343" i="10"/>
  <c r="H342" i="10"/>
  <c r="G342" i="10"/>
  <c r="H350" i="8"/>
  <c r="G350" i="8"/>
  <c r="H349" i="8"/>
  <c r="G349" i="8"/>
  <c r="H348" i="8"/>
  <c r="G348" i="8"/>
  <c r="H346" i="8"/>
  <c r="G346" i="8"/>
  <c r="H345" i="8"/>
  <c r="G345" i="8"/>
  <c r="H344" i="8"/>
  <c r="G344" i="8"/>
  <c r="H343" i="8"/>
  <c r="G343" i="8"/>
  <c r="H342" i="8"/>
  <c r="G342" i="8"/>
  <c r="H348" i="9"/>
  <c r="G348" i="9"/>
  <c r="G349" i="9"/>
  <c r="H349" i="9"/>
  <c r="H346" i="9"/>
  <c r="G346" i="9"/>
  <c r="H345" i="9"/>
  <c r="G345" i="9"/>
  <c r="H344" i="9"/>
  <c r="G344" i="9"/>
  <c r="H343" i="9"/>
  <c r="G343" i="9"/>
  <c r="H342" i="9"/>
  <c r="G342" i="9"/>
  <c r="H349" i="11" l="1"/>
  <c r="G349" i="11"/>
  <c r="H348" i="11"/>
  <c r="G348" i="11"/>
  <c r="H346" i="11"/>
  <c r="G346" i="11"/>
  <c r="H345" i="11"/>
  <c r="G345" i="11"/>
  <c r="H344" i="11"/>
  <c r="G344" i="11"/>
  <c r="H343" i="11"/>
  <c r="G343" i="11"/>
  <c r="H349" i="12"/>
  <c r="G349" i="12"/>
  <c r="H348" i="12"/>
  <c r="G348" i="12"/>
  <c r="H346" i="12"/>
  <c r="G346" i="12"/>
  <c r="H345" i="12"/>
  <c r="G345" i="12"/>
  <c r="H344" i="12"/>
  <c r="G344" i="12"/>
  <c r="H343" i="12"/>
  <c r="G343" i="12"/>
  <c r="H342" i="12"/>
  <c r="G342" i="12"/>
  <c r="AO345" i="9" a="1"/>
  <c r="AO345" i="9" s="1"/>
  <c r="AN256" i="9"/>
  <c r="AN151" i="9"/>
  <c r="AH150" i="8"/>
  <c r="AN134" i="9"/>
  <c r="AH161" i="8"/>
  <c r="AN276" i="9"/>
  <c r="H341" i="12" l="1"/>
  <c r="G341" i="12"/>
  <c r="H339" i="12"/>
  <c r="G339" i="12"/>
  <c r="H338" i="12"/>
  <c r="G338" i="12"/>
  <c r="H337" i="12"/>
  <c r="G337" i="12"/>
  <c r="J337" i="12"/>
  <c r="J338" i="12" s="1"/>
  <c r="J339" i="12" s="1"/>
  <c r="J341" i="12" s="1"/>
  <c r="J342" i="12" s="1"/>
  <c r="J343" i="12" s="1"/>
  <c r="J344" i="12" s="1"/>
  <c r="J345" i="12" s="1"/>
  <c r="J346" i="12" s="1"/>
  <c r="J348" i="12" s="1"/>
  <c r="J349" i="12" s="1"/>
  <c r="J350" i="12" s="1"/>
  <c r="J351" i="12" s="1"/>
  <c r="J352" i="12" s="1"/>
  <c r="J353" i="12" s="1"/>
  <c r="J355" i="12" s="1"/>
  <c r="J356" i="12" s="1"/>
  <c r="J357" i="12" s="1"/>
  <c r="J358" i="12" s="1"/>
  <c r="J359" i="12" s="1"/>
  <c r="J360" i="12" s="1"/>
  <c r="J362" i="12" s="1"/>
  <c r="J363" i="12" s="1"/>
  <c r="J364" i="12" s="1"/>
  <c r="J365" i="12" s="1"/>
  <c r="J366" i="12" s="1"/>
  <c r="I336" i="12"/>
  <c r="I337" i="12" s="1"/>
  <c r="H336" i="12"/>
  <c r="G336" i="12"/>
  <c r="H341" i="9"/>
  <c r="G341" i="9"/>
  <c r="J336" i="9"/>
  <c r="J337" i="9" s="1"/>
  <c r="J338" i="9" s="1"/>
  <c r="J339" i="9" s="1"/>
  <c r="J341" i="9" s="1"/>
  <c r="J342" i="9" s="1"/>
  <c r="J343" i="9" s="1"/>
  <c r="J344" i="9" s="1"/>
  <c r="J345" i="9" s="1"/>
  <c r="J346" i="9" s="1"/>
  <c r="J348" i="9" s="1"/>
  <c r="J349" i="9" s="1"/>
  <c r="J350" i="9" s="1"/>
  <c r="J351" i="9" s="1"/>
  <c r="J352" i="9" s="1"/>
  <c r="J353" i="9" s="1"/>
  <c r="J355" i="9" s="1"/>
  <c r="J356" i="9" s="1"/>
  <c r="J357" i="9" s="1"/>
  <c r="J358" i="9" s="1"/>
  <c r="J359" i="9" s="1"/>
  <c r="J360" i="9" s="1"/>
  <c r="J362" i="9" s="1"/>
  <c r="J363" i="9" s="1"/>
  <c r="J364" i="9" s="1"/>
  <c r="J365" i="9" s="1"/>
  <c r="J366" i="9" s="1"/>
  <c r="I336" i="9"/>
  <c r="I337" i="9" s="1"/>
  <c r="I338" i="9" s="1"/>
  <c r="I339" i="9" s="1"/>
  <c r="I341" i="9" s="1"/>
  <c r="I342" i="9" s="1"/>
  <c r="I343" i="9" s="1"/>
  <c r="I344" i="9" s="1"/>
  <c r="I345" i="9" s="1"/>
  <c r="I346" i="9" s="1"/>
  <c r="I348" i="9" s="1"/>
  <c r="I349" i="9" s="1"/>
  <c r="I350" i="9" s="1"/>
  <c r="I351" i="9" s="1"/>
  <c r="I352" i="9" s="1"/>
  <c r="I353" i="9" s="1"/>
  <c r="I355" i="9" s="1"/>
  <c r="I356" i="9" s="1"/>
  <c r="I357" i="9" s="1"/>
  <c r="I358" i="9" s="1"/>
  <c r="I359" i="9" s="1"/>
  <c r="I360" i="9" s="1"/>
  <c r="I362" i="9" s="1"/>
  <c r="I363" i="9" s="1"/>
  <c r="I364" i="9" s="1"/>
  <c r="I365" i="9" s="1"/>
  <c r="I366" i="9" s="1"/>
  <c r="H339" i="9"/>
  <c r="G339" i="9"/>
  <c r="H338" i="9"/>
  <c r="G338" i="9"/>
  <c r="H337" i="9"/>
  <c r="G337" i="9"/>
  <c r="H336" i="9"/>
  <c r="G336" i="9"/>
  <c r="I338" i="12" l="1"/>
  <c r="I339" i="12" s="1"/>
  <c r="I341" i="12" s="1"/>
  <c r="I342" i="12" s="1"/>
  <c r="I343" i="12" s="1"/>
  <c r="I344" i="12" s="1"/>
  <c r="I345" i="12" s="1"/>
  <c r="I346" i="12" s="1"/>
  <c r="I348" i="12" s="1"/>
  <c r="I349" i="12" s="1"/>
  <c r="I350" i="12" s="1"/>
  <c r="I351" i="12" s="1"/>
  <c r="I352" i="12" s="1"/>
  <c r="I353" i="12" s="1"/>
  <c r="I355" i="12" s="1"/>
  <c r="I356" i="12" s="1"/>
  <c r="I357" i="12" s="1"/>
  <c r="I358" i="12" s="1"/>
  <c r="I359" i="12" s="1"/>
  <c r="I360" i="12" s="1"/>
  <c r="I362" i="12" s="1"/>
  <c r="I363" i="12" s="1"/>
  <c r="I364" i="12" s="1"/>
  <c r="I365" i="12" s="1"/>
  <c r="I366" i="12" s="1"/>
  <c r="H341" i="8"/>
  <c r="G341" i="8"/>
  <c r="J336" i="8"/>
  <c r="J337" i="8" s="1"/>
  <c r="J338" i="8" s="1"/>
  <c r="J339" i="8" s="1"/>
  <c r="J341" i="8" s="1"/>
  <c r="J342" i="8" s="1"/>
  <c r="J343" i="8" s="1"/>
  <c r="J344" i="8" s="1"/>
  <c r="J345" i="8" s="1"/>
  <c r="J346" i="8" s="1"/>
  <c r="J348" i="8" s="1"/>
  <c r="J349" i="8" s="1"/>
  <c r="J350" i="8" s="1"/>
  <c r="J351" i="8" s="1"/>
  <c r="J352" i="8" s="1"/>
  <c r="J353" i="8" s="1"/>
  <c r="J355" i="8" s="1"/>
  <c r="J356" i="8" s="1"/>
  <c r="J357" i="8" s="1"/>
  <c r="J358" i="8" s="1"/>
  <c r="J359" i="8" s="1"/>
  <c r="J360" i="8" s="1"/>
  <c r="J362" i="8" s="1"/>
  <c r="J363" i="8" s="1"/>
  <c r="J364" i="8" s="1"/>
  <c r="J366" i="8" s="1"/>
  <c r="I336" i="8"/>
  <c r="I337" i="8" s="1"/>
  <c r="I338" i="8" s="1"/>
  <c r="I339" i="8" s="1"/>
  <c r="I341" i="8" s="1"/>
  <c r="I342" i="8" s="1"/>
  <c r="I343" i="8" s="1"/>
  <c r="I344" i="8" s="1"/>
  <c r="I345" i="8" s="1"/>
  <c r="I346" i="8" s="1"/>
  <c r="I348" i="8" s="1"/>
  <c r="I349" i="8" s="1"/>
  <c r="I350" i="8" s="1"/>
  <c r="I351" i="8" s="1"/>
  <c r="I352" i="8" s="1"/>
  <c r="I353" i="8" s="1"/>
  <c r="I355" i="8" s="1"/>
  <c r="I356" i="8" s="1"/>
  <c r="I357" i="8" s="1"/>
  <c r="I358" i="8" s="1"/>
  <c r="I359" i="8" s="1"/>
  <c r="I360" i="8" s="1"/>
  <c r="I362" i="8" s="1"/>
  <c r="I363" i="8" s="1"/>
  <c r="I364" i="8" s="1"/>
  <c r="I366" i="8" s="1"/>
  <c r="H339" i="8"/>
  <c r="G339" i="8"/>
  <c r="H338" i="8"/>
  <c r="G338" i="8"/>
  <c r="H337" i="8"/>
  <c r="G337" i="8"/>
  <c r="H336" i="8"/>
  <c r="G336" i="8"/>
  <c r="J336" i="10"/>
  <c r="J337" i="10" s="1"/>
  <c r="J338" i="10" s="1"/>
  <c r="J339" i="10" s="1"/>
  <c r="J341" i="10" s="1"/>
  <c r="J342" i="10" s="1"/>
  <c r="J343" i="10" s="1"/>
  <c r="J344" i="10" s="1"/>
  <c r="I336" i="10"/>
  <c r="I337" i="10" s="1"/>
  <c r="I338" i="10" s="1"/>
  <c r="I339" i="10" s="1"/>
  <c r="I341" i="10" s="1"/>
  <c r="I342" i="10" s="1"/>
  <c r="I343" i="10" s="1"/>
  <c r="I344" i="10" s="1"/>
  <c r="H341" i="10"/>
  <c r="G341" i="10"/>
  <c r="H340" i="10"/>
  <c r="G340" i="10"/>
  <c r="H339" i="10"/>
  <c r="G339" i="10"/>
  <c r="H338" i="10"/>
  <c r="G338" i="10"/>
  <c r="H337" i="10"/>
  <c r="G337" i="10"/>
  <c r="H336" i="10"/>
  <c r="G336" i="10"/>
  <c r="H341" i="11"/>
  <c r="G341" i="11"/>
  <c r="J336" i="11"/>
  <c r="J337" i="11" s="1"/>
  <c r="J338" i="11" s="1"/>
  <c r="J339" i="11" s="1"/>
  <c r="J341" i="11" s="1"/>
  <c r="J343" i="11" s="1"/>
  <c r="J344" i="11" s="1"/>
  <c r="J345" i="11" s="1"/>
  <c r="J346" i="11" s="1"/>
  <c r="J348" i="11" s="1"/>
  <c r="I336" i="11"/>
  <c r="I337" i="11" s="1"/>
  <c r="I338" i="11" s="1"/>
  <c r="I339" i="11" s="1"/>
  <c r="I341" i="11" s="1"/>
  <c r="I343" i="11" s="1"/>
  <c r="I344" i="11" s="1"/>
  <c r="I345" i="11" s="1"/>
  <c r="I346" i="11" s="1"/>
  <c r="I348" i="11" s="1"/>
  <c r="H339" i="11"/>
  <c r="G339" i="11"/>
  <c r="H338" i="11"/>
  <c r="G338" i="11"/>
  <c r="H337" i="11"/>
  <c r="G337" i="11"/>
  <c r="H336" i="11"/>
  <c r="G336" i="11"/>
  <c r="H335" i="10"/>
  <c r="G335" i="10"/>
  <c r="O30" i="15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M35" i="15"/>
  <c r="R33" i="15"/>
  <c r="S33" i="15" s="1"/>
  <c r="R32" i="15"/>
  <c r="S32" i="15" s="1"/>
  <c r="R31" i="15"/>
  <c r="S31" i="15" s="1"/>
  <c r="R30" i="15"/>
  <c r="S30" i="15" s="1"/>
  <c r="R29" i="15"/>
  <c r="S29" i="15" s="1"/>
  <c r="H335" i="9"/>
  <c r="G335" i="9"/>
  <c r="O47" i="15" l="1"/>
  <c r="R35" i="15"/>
  <c r="S35" i="15" s="1"/>
  <c r="P47" i="15"/>
  <c r="J349" i="11"/>
  <c r="J350" i="11"/>
  <c r="I349" i="11"/>
  <c r="I350" i="11"/>
  <c r="I346" i="10"/>
  <c r="I348" i="10" s="1"/>
  <c r="I349" i="10" s="1"/>
  <c r="I350" i="10" s="1"/>
  <c r="I351" i="10" s="1"/>
  <c r="I345" i="10"/>
  <c r="J346" i="10"/>
  <c r="J348" i="10" s="1"/>
  <c r="J349" i="10" s="1"/>
  <c r="J350" i="10" s="1"/>
  <c r="J351" i="10" s="1"/>
  <c r="J345" i="10"/>
  <c r="J352" i="10" l="1"/>
  <c r="J353" i="10"/>
  <c r="J355" i="10" s="1"/>
  <c r="J356" i="10" s="1"/>
  <c r="J357" i="10" s="1"/>
  <c r="J358" i="10" s="1"/>
  <c r="I352" i="10"/>
  <c r="I353" i="10"/>
  <c r="I355" i="10" s="1"/>
  <c r="I356" i="10" s="1"/>
  <c r="I357" i="10" s="1"/>
  <c r="I358" i="10" s="1"/>
  <c r="I352" i="11"/>
  <c r="I353" i="11" s="1"/>
  <c r="I355" i="11" s="1"/>
  <c r="I351" i="11"/>
  <c r="J352" i="11"/>
  <c r="J353" i="11" s="1"/>
  <c r="J355" i="11" s="1"/>
  <c r="J351" i="11"/>
  <c r="H335" i="8"/>
  <c r="G335" i="8"/>
  <c r="H335" i="12"/>
  <c r="G335" i="12"/>
  <c r="I359" i="10" l="1"/>
  <c r="I360" i="10"/>
  <c r="I362" i="10" s="1"/>
  <c r="I363" i="10" s="1"/>
  <c r="I364" i="10" s="1"/>
  <c r="I365" i="10" s="1"/>
  <c r="I366" i="10" s="1"/>
  <c r="J360" i="10"/>
  <c r="J362" i="10" s="1"/>
  <c r="J363" i="10" s="1"/>
  <c r="J364" i="10" s="1"/>
  <c r="J365" i="10" s="1"/>
  <c r="J366" i="10" s="1"/>
  <c r="J359" i="10"/>
  <c r="J356" i="11"/>
  <c r="J357" i="11"/>
  <c r="I356" i="11"/>
  <c r="I357" i="11"/>
  <c r="H335" i="11"/>
  <c r="G335" i="11"/>
  <c r="H334" i="11"/>
  <c r="G334" i="11"/>
  <c r="G329" i="11"/>
  <c r="J359" i="11" l="1"/>
  <c r="J360" i="11" s="1"/>
  <c r="J362" i="11" s="1"/>
  <c r="J358" i="11"/>
  <c r="I359" i="11"/>
  <c r="I360" i="11" s="1"/>
  <c r="I362" i="11" s="1"/>
  <c r="I358" i="11"/>
  <c r="H332" i="11"/>
  <c r="G332" i="11"/>
  <c r="H331" i="11"/>
  <c r="G331" i="11"/>
  <c r="H329" i="11"/>
  <c r="H328" i="11"/>
  <c r="G328" i="11"/>
  <c r="H327" i="11"/>
  <c r="G327" i="11"/>
  <c r="I363" i="11" l="1"/>
  <c r="I364" i="11"/>
  <c r="J363" i="11"/>
  <c r="J364" i="11"/>
  <c r="H334" i="9"/>
  <c r="G334" i="9"/>
  <c r="J366" i="11" l="1"/>
  <c r="J365" i="11"/>
  <c r="I366" i="11"/>
  <c r="I365" i="11"/>
  <c r="H334" i="8"/>
  <c r="G334" i="8"/>
  <c r="H332" i="8"/>
  <c r="G332" i="8"/>
  <c r="H331" i="8"/>
  <c r="G331" i="8"/>
  <c r="H330" i="8"/>
  <c r="G330" i="8"/>
  <c r="H329" i="8"/>
  <c r="G329" i="8"/>
  <c r="H334" i="10"/>
  <c r="G334" i="10"/>
  <c r="G332" i="10"/>
  <c r="H332" i="10"/>
  <c r="H333" i="10"/>
  <c r="G333" i="10"/>
  <c r="H331" i="10"/>
  <c r="G331" i="10"/>
  <c r="H330" i="10"/>
  <c r="G330" i="10"/>
  <c r="H329" i="10"/>
  <c r="G329" i="10"/>
  <c r="H328" i="10"/>
  <c r="G328" i="10"/>
  <c r="H332" i="9"/>
  <c r="G332" i="9"/>
  <c r="H331" i="9"/>
  <c r="G331" i="9"/>
  <c r="H330" i="9"/>
  <c r="G330" i="9"/>
  <c r="H329" i="9"/>
  <c r="G329" i="9"/>
  <c r="H328" i="9"/>
  <c r="G328" i="9"/>
  <c r="H327" i="9"/>
  <c r="G327" i="9"/>
  <c r="H334" i="12" l="1"/>
  <c r="G334" i="12"/>
  <c r="H332" i="12"/>
  <c r="G332" i="12"/>
  <c r="H331" i="12"/>
  <c r="G331" i="12"/>
  <c r="H330" i="12"/>
  <c r="G330" i="12"/>
  <c r="H329" i="12"/>
  <c r="G329" i="12"/>
  <c r="H328" i="12"/>
  <c r="G328" i="12"/>
  <c r="F20" i="2"/>
  <c r="AM147" i="8" a="1"/>
  <c r="AM147" i="8" s="1"/>
  <c r="AM139" i="11" a="1"/>
  <c r="AM139" i="11" s="1"/>
  <c r="BD140" i="12" a="1"/>
  <c r="BD140" i="12" s="1"/>
  <c r="AP321" i="9" a="1"/>
  <c r="AP321" i="9" s="1"/>
  <c r="H327" i="10"/>
  <c r="G327" i="10"/>
  <c r="J315" i="10"/>
  <c r="I315" i="10"/>
  <c r="H325" i="10"/>
  <c r="G325" i="10"/>
  <c r="H324" i="10"/>
  <c r="G324" i="10"/>
  <c r="H323" i="10"/>
  <c r="G323" i="10"/>
  <c r="J322" i="10"/>
  <c r="J323" i="10" s="1"/>
  <c r="J324" i="10" s="1"/>
  <c r="J325" i="10" s="1"/>
  <c r="J327" i="10" s="1"/>
  <c r="J328" i="10" s="1"/>
  <c r="J329" i="10" s="1"/>
  <c r="J330" i="10" s="1"/>
  <c r="J331" i="10" s="1"/>
  <c r="J332" i="10" s="1"/>
  <c r="J334" i="10" s="1"/>
  <c r="J335" i="10" s="1"/>
  <c r="I322" i="10"/>
  <c r="I323" i="10" s="1"/>
  <c r="I324" i="10" s="1"/>
  <c r="I325" i="10" s="1"/>
  <c r="I327" i="10" s="1"/>
  <c r="I328" i="10" s="1"/>
  <c r="I329" i="10" s="1"/>
  <c r="I330" i="10" s="1"/>
  <c r="I331" i="10" s="1"/>
  <c r="I332" i="10" s="1"/>
  <c r="I334" i="10" s="1"/>
  <c r="I335" i="10" s="1"/>
  <c r="H322" i="10"/>
  <c r="G322" i="10"/>
  <c r="J308" i="8"/>
  <c r="I308" i="8"/>
  <c r="H325" i="8"/>
  <c r="G325" i="8"/>
  <c r="H324" i="8"/>
  <c r="G324" i="8"/>
  <c r="H323" i="8"/>
  <c r="G323" i="8"/>
  <c r="H322" i="8"/>
  <c r="G322" i="8"/>
  <c r="H321" i="8"/>
  <c r="G321" i="8"/>
  <c r="G326" i="9"/>
  <c r="H326" i="9"/>
  <c r="H325" i="9"/>
  <c r="G325" i="9"/>
  <c r="H324" i="9"/>
  <c r="G324" i="9"/>
  <c r="H323" i="9"/>
  <c r="G323" i="9"/>
  <c r="H322" i="9"/>
  <c r="G322" i="9"/>
  <c r="H321" i="9"/>
  <c r="G321" i="9"/>
  <c r="H325" i="11" l="1"/>
  <c r="G325" i="11"/>
  <c r="H324" i="11"/>
  <c r="G324" i="11"/>
  <c r="H323" i="11"/>
  <c r="G323" i="11"/>
  <c r="H322" i="11"/>
  <c r="G322" i="11"/>
  <c r="H321" i="11"/>
  <c r="G321" i="11"/>
  <c r="H327" i="12"/>
  <c r="G327" i="12"/>
  <c r="H325" i="12"/>
  <c r="G325" i="12"/>
  <c r="H324" i="12"/>
  <c r="G324" i="12"/>
  <c r="H323" i="12"/>
  <c r="G323" i="12"/>
  <c r="H322" i="12"/>
  <c r="G322" i="12"/>
  <c r="H321" i="12"/>
  <c r="G321" i="12"/>
  <c r="H320" i="10" l="1"/>
  <c r="G320" i="10"/>
  <c r="H318" i="10"/>
  <c r="G318" i="10"/>
  <c r="H317" i="10"/>
  <c r="G317" i="10"/>
  <c r="H316" i="10"/>
  <c r="G316" i="10"/>
  <c r="H315" i="10"/>
  <c r="G315" i="10"/>
  <c r="L312" i="10"/>
  <c r="K312" i="10"/>
  <c r="J312" i="10"/>
  <c r="I312" i="10"/>
  <c r="L309" i="10"/>
  <c r="K309" i="10"/>
  <c r="J309" i="10"/>
  <c r="I309" i="10"/>
  <c r="H305" i="10"/>
  <c r="G305" i="10"/>
  <c r="H304" i="10"/>
  <c r="G304" i="10"/>
  <c r="H303" i="10"/>
  <c r="G303" i="10"/>
  <c r="H302" i="10"/>
  <c r="G302" i="10"/>
  <c r="H320" i="8"/>
  <c r="G320" i="8"/>
  <c r="H318" i="8"/>
  <c r="G318" i="8"/>
  <c r="H317" i="8"/>
  <c r="G317" i="8"/>
  <c r="H316" i="8"/>
  <c r="G316" i="8"/>
  <c r="H315" i="8"/>
  <c r="G315" i="8"/>
  <c r="H314" i="8"/>
  <c r="G314" i="8"/>
  <c r="H313" i="8"/>
  <c r="G313" i="8"/>
  <c r="H311" i="8"/>
  <c r="G311" i="8"/>
  <c r="H310" i="8"/>
  <c r="G310" i="8"/>
  <c r="H309" i="8"/>
  <c r="G309" i="8"/>
  <c r="H308" i="8"/>
  <c r="G308" i="8"/>
  <c r="H320" i="11" l="1"/>
  <c r="G320" i="11"/>
  <c r="J308" i="9"/>
  <c r="J309" i="9" s="1"/>
  <c r="J310" i="9" s="1"/>
  <c r="J311" i="9" s="1"/>
  <c r="J313" i="9" s="1"/>
  <c r="J314" i="9" s="1"/>
  <c r="J315" i="9" s="1"/>
  <c r="J316" i="9" s="1"/>
  <c r="J317" i="9" s="1"/>
  <c r="J318" i="9" s="1"/>
  <c r="J320" i="9" s="1"/>
  <c r="J321" i="9" s="1"/>
  <c r="J322" i="9" s="1"/>
  <c r="J323" i="9" s="1"/>
  <c r="J324" i="9" s="1"/>
  <c r="J325" i="9" s="1"/>
  <c r="I308" i="9"/>
  <c r="I309" i="9" s="1"/>
  <c r="I310" i="9" s="1"/>
  <c r="I311" i="9" s="1"/>
  <c r="I313" i="9" s="1"/>
  <c r="I314" i="9" s="1"/>
  <c r="I315" i="9" s="1"/>
  <c r="I316" i="9" s="1"/>
  <c r="I317" i="9" s="1"/>
  <c r="I318" i="9" s="1"/>
  <c r="I320" i="9" s="1"/>
  <c r="I321" i="9" s="1"/>
  <c r="I322" i="9" s="1"/>
  <c r="I323" i="9" s="1"/>
  <c r="I324" i="9" s="1"/>
  <c r="I325" i="9" s="1"/>
  <c r="H320" i="9"/>
  <c r="G320" i="9"/>
  <c r="H318" i="9"/>
  <c r="G318" i="9"/>
  <c r="H317" i="9"/>
  <c r="G317" i="9"/>
  <c r="H316" i="9"/>
  <c r="G316" i="9"/>
  <c r="H315" i="9"/>
  <c r="G315" i="9"/>
  <c r="H314" i="9"/>
  <c r="G314" i="9"/>
  <c r="H313" i="9"/>
  <c r="G313" i="9"/>
  <c r="H311" i="9"/>
  <c r="G311" i="9"/>
  <c r="H310" i="9"/>
  <c r="G310" i="9"/>
  <c r="H309" i="9"/>
  <c r="G309" i="9"/>
  <c r="H308" i="9"/>
  <c r="G308" i="9"/>
  <c r="J326" i="9" l="1"/>
  <c r="J327" i="9"/>
  <c r="J328" i="9" s="1"/>
  <c r="J329" i="9" s="1"/>
  <c r="J330" i="9" s="1"/>
  <c r="J331" i="9" s="1"/>
  <c r="J332" i="9" s="1"/>
  <c r="J334" i="9" s="1"/>
  <c r="J335" i="9" s="1"/>
  <c r="I326" i="9"/>
  <c r="I327" i="9"/>
  <c r="I328" i="9" s="1"/>
  <c r="I329" i="9" s="1"/>
  <c r="I330" i="9" s="1"/>
  <c r="I331" i="9" s="1"/>
  <c r="I332" i="9" s="1"/>
  <c r="I334" i="9" s="1"/>
  <c r="I335" i="9" s="1"/>
  <c r="H318" i="11"/>
  <c r="G318" i="11"/>
  <c r="H317" i="11"/>
  <c r="G317" i="11"/>
  <c r="H316" i="11"/>
  <c r="G316" i="11"/>
  <c r="H315" i="11"/>
  <c r="G315" i="11"/>
  <c r="H314" i="11"/>
  <c r="G314" i="11"/>
  <c r="H313" i="11"/>
  <c r="G313" i="11"/>
  <c r="J308" i="11" l="1"/>
  <c r="I308" i="11"/>
  <c r="G318" i="12"/>
  <c r="H318" i="12"/>
  <c r="H320" i="12"/>
  <c r="G320" i="12"/>
  <c r="H317" i="12"/>
  <c r="G317" i="12"/>
  <c r="H316" i="12"/>
  <c r="G316" i="12"/>
  <c r="H315" i="12"/>
  <c r="G315" i="12"/>
  <c r="H314" i="12"/>
  <c r="G314" i="12"/>
  <c r="H313" i="12"/>
  <c r="G313" i="12"/>
  <c r="J308" i="12"/>
  <c r="I308" i="12"/>
  <c r="H311" i="12"/>
  <c r="G311" i="12"/>
  <c r="H310" i="12"/>
  <c r="G310" i="12"/>
  <c r="H309" i="12"/>
  <c r="G309" i="12"/>
  <c r="H308" i="12"/>
  <c r="G308" i="12"/>
  <c r="H307" i="12"/>
  <c r="G307" i="12"/>
  <c r="H306" i="12"/>
  <c r="G306" i="12"/>
  <c r="H311" i="11"/>
  <c r="G311" i="11"/>
  <c r="H310" i="11"/>
  <c r="G310" i="11"/>
  <c r="H309" i="11"/>
  <c r="G309" i="11"/>
  <c r="H308" i="11"/>
  <c r="G308" i="11"/>
  <c r="H307" i="11"/>
  <c r="G307" i="11"/>
  <c r="H306" i="11"/>
  <c r="G306" i="11"/>
  <c r="H304" i="11" l="1"/>
  <c r="G304" i="11"/>
  <c r="H303" i="11"/>
  <c r="G303" i="11"/>
  <c r="H302" i="11"/>
  <c r="G302" i="11"/>
  <c r="H301" i="11"/>
  <c r="G301" i="11"/>
  <c r="H300" i="11"/>
  <c r="G300" i="11"/>
  <c r="H299" i="11"/>
  <c r="G299" i="11"/>
  <c r="H297" i="11" l="1"/>
  <c r="G297" i="11"/>
  <c r="H296" i="11"/>
  <c r="G296" i="11"/>
  <c r="H295" i="11"/>
  <c r="G295" i="11"/>
  <c r="H294" i="11"/>
  <c r="G294" i="11"/>
  <c r="H293" i="11"/>
  <c r="G293" i="11"/>
  <c r="H292" i="11"/>
  <c r="G292" i="11"/>
  <c r="G285" i="11" l="1"/>
  <c r="H290" i="11"/>
  <c r="G290" i="11"/>
  <c r="H289" i="11"/>
  <c r="G289" i="11"/>
  <c r="H288" i="11"/>
  <c r="G288" i="11"/>
  <c r="H287" i="11"/>
  <c r="G287" i="11"/>
  <c r="H286" i="11"/>
  <c r="G286" i="11"/>
  <c r="H285" i="11"/>
  <c r="J279" i="11"/>
  <c r="J280" i="11" s="1"/>
  <c r="J281" i="11" s="1"/>
  <c r="J282" i="11" s="1"/>
  <c r="J283" i="11" s="1"/>
  <c r="J285" i="11" s="1"/>
  <c r="J286" i="11" s="1"/>
  <c r="J287" i="11" s="1"/>
  <c r="J288" i="11" s="1"/>
  <c r="J289" i="11" s="1"/>
  <c r="J290" i="11" s="1"/>
  <c r="J292" i="11" s="1"/>
  <c r="J293" i="11" s="1"/>
  <c r="J294" i="11" s="1"/>
  <c r="J295" i="11" s="1"/>
  <c r="J296" i="11" s="1"/>
  <c r="J297" i="11" s="1"/>
  <c r="J299" i="11" s="1"/>
  <c r="J300" i="11" s="1"/>
  <c r="J301" i="11" s="1"/>
  <c r="J302" i="11" s="1"/>
  <c r="J303" i="11" s="1"/>
  <c r="J304" i="11" s="1"/>
  <c r="J306" i="11" s="1"/>
  <c r="J307" i="11" s="1"/>
  <c r="J309" i="11" s="1"/>
  <c r="J310" i="11" s="1"/>
  <c r="J311" i="11" s="1"/>
  <c r="J313" i="11" s="1"/>
  <c r="J314" i="11" s="1"/>
  <c r="J315" i="11" s="1"/>
  <c r="J316" i="11" s="1"/>
  <c r="J317" i="11" s="1"/>
  <c r="J318" i="11" s="1"/>
  <c r="J320" i="11" s="1"/>
  <c r="J321" i="11" s="1"/>
  <c r="J322" i="11" s="1"/>
  <c r="J323" i="11" s="1"/>
  <c r="J324" i="11" s="1"/>
  <c r="J325" i="11" s="1"/>
  <c r="J327" i="11" s="1"/>
  <c r="J328" i="11" s="1"/>
  <c r="J329" i="11" s="1"/>
  <c r="I279" i="11"/>
  <c r="I280" i="11" s="1"/>
  <c r="I281" i="11" s="1"/>
  <c r="I282" i="11" s="1"/>
  <c r="I283" i="11" s="1"/>
  <c r="I285" i="11" s="1"/>
  <c r="I286" i="11" s="1"/>
  <c r="I287" i="11" s="1"/>
  <c r="I288" i="11" s="1"/>
  <c r="I289" i="11" s="1"/>
  <c r="I290" i="11" s="1"/>
  <c r="I292" i="11" s="1"/>
  <c r="I293" i="11" s="1"/>
  <c r="I294" i="11" s="1"/>
  <c r="I295" i="11" s="1"/>
  <c r="I296" i="11" s="1"/>
  <c r="I297" i="11" s="1"/>
  <c r="I299" i="11" s="1"/>
  <c r="I300" i="11" s="1"/>
  <c r="I301" i="11" s="1"/>
  <c r="I302" i="11" s="1"/>
  <c r="I303" i="11" s="1"/>
  <c r="I304" i="11" s="1"/>
  <c r="I306" i="11" s="1"/>
  <c r="I307" i="11" s="1"/>
  <c r="I309" i="11" s="1"/>
  <c r="I310" i="11" s="1"/>
  <c r="I311" i="11" s="1"/>
  <c r="I313" i="11" s="1"/>
  <c r="I314" i="11" s="1"/>
  <c r="I315" i="11" s="1"/>
  <c r="I316" i="11" s="1"/>
  <c r="I317" i="11" s="1"/>
  <c r="I318" i="11" s="1"/>
  <c r="I320" i="11" s="1"/>
  <c r="I321" i="11" s="1"/>
  <c r="I322" i="11" s="1"/>
  <c r="I323" i="11" s="1"/>
  <c r="I324" i="11" s="1"/>
  <c r="I325" i="11" s="1"/>
  <c r="I327" i="11" s="1"/>
  <c r="I328" i="11" s="1"/>
  <c r="I329" i="11" s="1"/>
  <c r="H283" i="11"/>
  <c r="G283" i="11"/>
  <c r="H282" i="11"/>
  <c r="G282" i="11"/>
  <c r="H281" i="11"/>
  <c r="G281" i="11"/>
  <c r="H280" i="11"/>
  <c r="G280" i="11"/>
  <c r="H279" i="11"/>
  <c r="G279" i="11"/>
  <c r="J331" i="11" l="1"/>
  <c r="J332" i="11" s="1"/>
  <c r="J334" i="11" s="1"/>
  <c r="J335" i="11" s="1"/>
  <c r="I331" i="11"/>
  <c r="I332" i="11" s="1"/>
  <c r="I334" i="11" s="1"/>
  <c r="I335" i="11" s="1"/>
  <c r="P6" i="15"/>
  <c r="O6" i="15"/>
  <c r="E18" i="15"/>
  <c r="D18" i="15"/>
  <c r="R20" i="15"/>
  <c r="S20" i="15" s="1"/>
  <c r="H307" i="8" l="1"/>
  <c r="G307" i="8"/>
  <c r="H306" i="8"/>
  <c r="G306" i="8"/>
  <c r="H307" i="9" l="1"/>
  <c r="G307" i="9"/>
  <c r="H306" i="9"/>
  <c r="G306" i="9"/>
  <c r="U23" i="15" l="1"/>
  <c r="T23" i="15"/>
  <c r="Q23" i="15"/>
  <c r="N23" i="15"/>
  <c r="P35" i="15" s="1"/>
  <c r="M23" i="15"/>
  <c r="O35" i="15" s="1"/>
  <c r="R21" i="15"/>
  <c r="S21" i="15" s="1"/>
  <c r="R19" i="15"/>
  <c r="S19" i="15" s="1"/>
  <c r="R18" i="15"/>
  <c r="S18" i="15" s="1"/>
  <c r="R17" i="15"/>
  <c r="S17" i="15" s="1"/>
  <c r="R23" i="15" l="1"/>
  <c r="S23" i="15" s="1"/>
  <c r="H276" i="11"/>
  <c r="G276" i="11"/>
  <c r="H275" i="11"/>
  <c r="G275" i="11"/>
  <c r="H274" i="11"/>
  <c r="G274" i="11"/>
  <c r="H273" i="11"/>
  <c r="G273" i="11"/>
  <c r="G269" i="11"/>
  <c r="H269" i="11"/>
  <c r="G268" i="11"/>
  <c r="H268" i="11"/>
  <c r="G267" i="11"/>
  <c r="H267" i="11"/>
  <c r="G266" i="11"/>
  <c r="H266" i="11"/>
  <c r="G265" i="11"/>
  <c r="H265" i="11"/>
  <c r="G264" i="11"/>
  <c r="H264" i="11"/>
  <c r="G263" i="11" l="1"/>
  <c r="H263" i="11"/>
  <c r="G262" i="11"/>
  <c r="H262" i="11"/>
  <c r="G261" i="11"/>
  <c r="H261" i="11"/>
  <c r="G260" i="11"/>
  <c r="H260" i="11"/>
  <c r="G259" i="11"/>
  <c r="H259" i="11"/>
  <c r="G258" i="11"/>
  <c r="H258" i="11"/>
  <c r="G257" i="11"/>
  <c r="H257" i="11"/>
  <c r="G256" i="11"/>
  <c r="H256" i="11"/>
  <c r="G255" i="11"/>
  <c r="H255" i="11"/>
  <c r="G254" i="11"/>
  <c r="H254" i="11"/>
  <c r="H304" i="8" l="1"/>
  <c r="G304" i="8"/>
  <c r="H301" i="10"/>
  <c r="G301" i="10"/>
  <c r="G300" i="10"/>
  <c r="H300" i="10"/>
  <c r="H299" i="10"/>
  <c r="G299" i="10"/>
  <c r="G296" i="10"/>
  <c r="H296" i="10"/>
  <c r="G295" i="10"/>
  <c r="H295" i="10"/>
  <c r="G294" i="10"/>
  <c r="H294" i="10"/>
  <c r="G293" i="10"/>
  <c r="H293" i="10"/>
  <c r="H292" i="10"/>
  <c r="G292" i="10"/>
  <c r="H303" i="8"/>
  <c r="G303" i="8"/>
  <c r="H302" i="8"/>
  <c r="G302" i="8"/>
  <c r="H301" i="8"/>
  <c r="G301" i="8"/>
  <c r="H300" i="8"/>
  <c r="G300" i="8"/>
  <c r="H299" i="8"/>
  <c r="G299" i="8"/>
  <c r="H297" i="8"/>
  <c r="G297" i="8"/>
  <c r="H296" i="8"/>
  <c r="G296" i="8"/>
  <c r="H295" i="8"/>
  <c r="G295" i="8"/>
  <c r="H294" i="8"/>
  <c r="G294" i="8"/>
  <c r="H293" i="8"/>
  <c r="G293" i="8"/>
  <c r="H292" i="8"/>
  <c r="G292" i="8"/>
  <c r="H287" i="8"/>
  <c r="H286" i="8"/>
  <c r="H285" i="8"/>
  <c r="G285" i="8"/>
  <c r="H290" i="8"/>
  <c r="G290" i="8"/>
  <c r="H289" i="8"/>
  <c r="G289" i="8"/>
  <c r="H288" i="8"/>
  <c r="G288" i="8"/>
  <c r="G287" i="8"/>
  <c r="G286" i="8"/>
  <c r="G283" i="8"/>
  <c r="H283" i="8"/>
  <c r="G282" i="8"/>
  <c r="H282" i="8"/>
  <c r="G281" i="8"/>
  <c r="H281" i="8"/>
  <c r="J279" i="8"/>
  <c r="J280" i="8" s="1"/>
  <c r="J281" i="8" s="1"/>
  <c r="J282" i="8" s="1"/>
  <c r="J283" i="8" s="1"/>
  <c r="J285" i="8" s="1"/>
  <c r="J286" i="8" s="1"/>
  <c r="I279" i="8"/>
  <c r="I280" i="8" s="1"/>
  <c r="I281" i="8" s="1"/>
  <c r="I282" i="8" s="1"/>
  <c r="I283" i="8" s="1"/>
  <c r="I285" i="8" s="1"/>
  <c r="I286" i="8" s="1"/>
  <c r="G280" i="8"/>
  <c r="H280" i="8"/>
  <c r="H279" i="8"/>
  <c r="G279" i="8"/>
  <c r="H304" i="9"/>
  <c r="G304" i="9"/>
  <c r="H303" i="9"/>
  <c r="G303" i="9"/>
  <c r="H302" i="9"/>
  <c r="G302" i="9"/>
  <c r="H301" i="9"/>
  <c r="G301" i="9"/>
  <c r="H300" i="9"/>
  <c r="G300" i="9"/>
  <c r="H299" i="9"/>
  <c r="G299" i="9"/>
  <c r="H297" i="9"/>
  <c r="G297" i="9"/>
  <c r="H296" i="9"/>
  <c r="G296" i="9"/>
  <c r="H295" i="9"/>
  <c r="G295" i="9"/>
  <c r="H294" i="9"/>
  <c r="G294" i="9"/>
  <c r="H293" i="9"/>
  <c r="G293" i="9"/>
  <c r="I287" i="8" l="1"/>
  <c r="I288" i="8" s="1"/>
  <c r="I289" i="8" s="1"/>
  <c r="I290" i="8" s="1"/>
  <c r="I292" i="8" s="1"/>
  <c r="I293" i="8" s="1"/>
  <c r="I294" i="8" s="1"/>
  <c r="I295" i="8" s="1"/>
  <c r="I296" i="8" s="1"/>
  <c r="I297" i="8" s="1"/>
  <c r="I299" i="8" s="1"/>
  <c r="I300" i="8" s="1"/>
  <c r="I301" i="8" s="1"/>
  <c r="I302" i="8" s="1"/>
  <c r="I303" i="8" s="1"/>
  <c r="I304" i="8" s="1"/>
  <c r="I306" i="8" s="1"/>
  <c r="I307" i="8" s="1"/>
  <c r="I309" i="8" s="1"/>
  <c r="I310" i="8" s="1"/>
  <c r="I311" i="8" s="1"/>
  <c r="I313" i="8" s="1"/>
  <c r="I314" i="8" s="1"/>
  <c r="I315" i="8" s="1"/>
  <c r="I316" i="8" s="1"/>
  <c r="I317" i="8" s="1"/>
  <c r="I318" i="8" s="1"/>
  <c r="I320" i="8" s="1"/>
  <c r="I321" i="8" s="1"/>
  <c r="I322" i="8" s="1"/>
  <c r="I323" i="8" s="1"/>
  <c r="I324" i="8" s="1"/>
  <c r="I325" i="8" s="1"/>
  <c r="I329" i="8" s="1"/>
  <c r="I330" i="8" s="1"/>
  <c r="I331" i="8" s="1"/>
  <c r="I332" i="8" s="1"/>
  <c r="I334" i="8" s="1"/>
  <c r="I335" i="8" s="1"/>
  <c r="J287" i="8"/>
  <c r="J288" i="8" s="1"/>
  <c r="J289" i="8" s="1"/>
  <c r="J290" i="8" s="1"/>
  <c r="J292" i="8" s="1"/>
  <c r="J293" i="8" s="1"/>
  <c r="J294" i="8" s="1"/>
  <c r="J295" i="8" s="1"/>
  <c r="J296" i="8" s="1"/>
  <c r="J297" i="8" s="1"/>
  <c r="J299" i="8" s="1"/>
  <c r="J300" i="8" s="1"/>
  <c r="J301" i="8" s="1"/>
  <c r="J302" i="8" s="1"/>
  <c r="J303" i="8" s="1"/>
  <c r="J304" i="8" s="1"/>
  <c r="J306" i="8" s="1"/>
  <c r="J307" i="8" s="1"/>
  <c r="J309" i="8" s="1"/>
  <c r="J310" i="8" s="1"/>
  <c r="J311" i="8" s="1"/>
  <c r="J313" i="8" s="1"/>
  <c r="J314" i="8" s="1"/>
  <c r="J315" i="8" s="1"/>
  <c r="J316" i="8" s="1"/>
  <c r="J317" i="8" s="1"/>
  <c r="J318" i="8" s="1"/>
  <c r="J320" i="8" s="1"/>
  <c r="J321" i="8" s="1"/>
  <c r="J322" i="8" s="1"/>
  <c r="J323" i="8" s="1"/>
  <c r="J324" i="8" s="1"/>
  <c r="J325" i="8" s="1"/>
  <c r="J329" i="8" s="1"/>
  <c r="J330" i="8" s="1"/>
  <c r="J331" i="8" s="1"/>
  <c r="J332" i="8" s="1"/>
  <c r="J334" i="8" s="1"/>
  <c r="J335" i="8" s="1"/>
  <c r="H304" i="12"/>
  <c r="G304" i="12"/>
  <c r="H303" i="12"/>
  <c r="G303" i="12"/>
  <c r="H302" i="12"/>
  <c r="G302" i="12"/>
  <c r="H301" i="12"/>
  <c r="G301" i="12"/>
  <c r="H300" i="12"/>
  <c r="G300" i="12"/>
  <c r="H299" i="12"/>
  <c r="G299" i="12"/>
  <c r="H297" i="12"/>
  <c r="G297" i="12"/>
  <c r="H296" i="12"/>
  <c r="G296" i="12"/>
  <c r="H295" i="12"/>
  <c r="G295" i="12"/>
  <c r="H294" i="12"/>
  <c r="G294" i="12"/>
  <c r="H293" i="12"/>
  <c r="G293" i="12"/>
  <c r="H292" i="12"/>
  <c r="G292" i="12"/>
  <c r="O9" i="15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G276" i="8"/>
  <c r="H276" i="8"/>
  <c r="H275" i="8"/>
  <c r="G275" i="8"/>
  <c r="G274" i="8"/>
  <c r="H274" i="8"/>
  <c r="H273" i="8"/>
  <c r="G273" i="8"/>
  <c r="H269" i="8"/>
  <c r="G269" i="8"/>
  <c r="G268" i="8"/>
  <c r="H268" i="8"/>
  <c r="G267" i="8"/>
  <c r="H267" i="8"/>
  <c r="G266" i="8"/>
  <c r="H266" i="8"/>
  <c r="G265" i="8"/>
  <c r="H265" i="8"/>
  <c r="L264" i="8"/>
  <c r="L265" i="8" s="1"/>
  <c r="L266" i="8" s="1"/>
  <c r="L267" i="8" s="1"/>
  <c r="L268" i="8" s="1"/>
  <c r="L269" i="8" s="1"/>
  <c r="L273" i="8" s="1"/>
  <c r="L274" i="8" s="1"/>
  <c r="L275" i="8" s="1"/>
  <c r="L276" i="8" s="1"/>
  <c r="L279" i="8" s="1"/>
  <c r="L280" i="8" s="1"/>
  <c r="L281" i="8" s="1"/>
  <c r="L282" i="8" s="1"/>
  <c r="L283" i="8" s="1"/>
  <c r="L285" i="8" s="1"/>
  <c r="L286" i="8" s="1"/>
  <c r="L287" i="8" s="1"/>
  <c r="L288" i="8" s="1"/>
  <c r="L289" i="8" s="1"/>
  <c r="L290" i="8" s="1"/>
  <c r="L292" i="8" s="1"/>
  <c r="L293" i="8" s="1"/>
  <c r="L294" i="8" s="1"/>
  <c r="L295" i="8" s="1"/>
  <c r="L296" i="8" s="1"/>
  <c r="L297" i="8" s="1"/>
  <c r="L299" i="8" s="1"/>
  <c r="L300" i="8" s="1"/>
  <c r="L301" i="8" s="1"/>
  <c r="L302" i="8" s="1"/>
  <c r="L303" i="8" s="1"/>
  <c r="L304" i="8" s="1"/>
  <c r="L306" i="8" s="1"/>
  <c r="L307" i="8" s="1"/>
  <c r="L308" i="8" s="1"/>
  <c r="L309" i="8" s="1"/>
  <c r="L310" i="8" s="1"/>
  <c r="L311" i="8" s="1"/>
  <c r="L313" i="8" s="1"/>
  <c r="L314" i="8" s="1"/>
  <c r="L315" i="8" s="1"/>
  <c r="L316" i="8" s="1"/>
  <c r="L317" i="8" s="1"/>
  <c r="L318" i="8" s="1"/>
  <c r="L320" i="8" s="1"/>
  <c r="L321" i="8" s="1"/>
  <c r="L322" i="8" s="1"/>
  <c r="L323" i="8" s="1"/>
  <c r="L324" i="8" s="1"/>
  <c r="L325" i="8" s="1"/>
  <c r="L329" i="8" s="1"/>
  <c r="L330" i="8" s="1"/>
  <c r="L331" i="8" s="1"/>
  <c r="L332" i="8" s="1"/>
  <c r="L334" i="8" s="1"/>
  <c r="L335" i="8" s="1"/>
  <c r="L336" i="8" s="1"/>
  <c r="L337" i="8" s="1"/>
  <c r="L338" i="8" s="1"/>
  <c r="L339" i="8" s="1"/>
  <c r="L341" i="8" s="1"/>
  <c r="L342" i="8" s="1"/>
  <c r="L343" i="8" s="1"/>
  <c r="L344" i="8" s="1"/>
  <c r="L345" i="8" s="1"/>
  <c r="L346" i="8" s="1"/>
  <c r="L348" i="8" s="1"/>
  <c r="L349" i="8" s="1"/>
  <c r="L350" i="8" s="1"/>
  <c r="L351" i="8" s="1"/>
  <c r="L352" i="8" s="1"/>
  <c r="L353" i="8" s="1"/>
  <c r="L355" i="8" s="1"/>
  <c r="L356" i="8" s="1"/>
  <c r="L357" i="8" s="1"/>
  <c r="L358" i="8" s="1"/>
  <c r="L359" i="8" s="1"/>
  <c r="L360" i="8" s="1"/>
  <c r="L362" i="8" s="1"/>
  <c r="L363" i="8" s="1"/>
  <c r="L364" i="8" s="1"/>
  <c r="K264" i="8"/>
  <c r="K265" i="8" s="1"/>
  <c r="K266" i="8" s="1"/>
  <c r="K267" i="8" s="1"/>
  <c r="K268" i="8" s="1"/>
  <c r="K269" i="8" s="1"/>
  <c r="K273" i="8" s="1"/>
  <c r="K274" i="8" s="1"/>
  <c r="K275" i="8" s="1"/>
  <c r="K276" i="8" s="1"/>
  <c r="K279" i="8" s="1"/>
  <c r="K280" i="8" s="1"/>
  <c r="K281" i="8" s="1"/>
  <c r="K282" i="8" s="1"/>
  <c r="K283" i="8" s="1"/>
  <c r="K285" i="8" s="1"/>
  <c r="K286" i="8" s="1"/>
  <c r="J264" i="8"/>
  <c r="J265" i="8" s="1"/>
  <c r="J266" i="8" s="1"/>
  <c r="J267" i="8" s="1"/>
  <c r="J268" i="8" s="1"/>
  <c r="J269" i="8" s="1"/>
  <c r="J273" i="8" s="1"/>
  <c r="J274" i="8" s="1"/>
  <c r="J275" i="8" s="1"/>
  <c r="J276" i="8" s="1"/>
  <c r="I264" i="8"/>
  <c r="I265" i="8" s="1"/>
  <c r="I266" i="8" s="1"/>
  <c r="I267" i="8" s="1"/>
  <c r="I268" i="8" s="1"/>
  <c r="I269" i="8" s="1"/>
  <c r="I273" i="8" s="1"/>
  <c r="I274" i="8" s="1"/>
  <c r="I275" i="8" s="1"/>
  <c r="I276" i="8" s="1"/>
  <c r="H264" i="8"/>
  <c r="G264" i="8"/>
  <c r="G180" i="12"/>
  <c r="G289" i="10"/>
  <c r="H289" i="10"/>
  <c r="G288" i="10"/>
  <c r="H288" i="10"/>
  <c r="G287" i="10"/>
  <c r="H287" i="10"/>
  <c r="L286" i="10"/>
  <c r="L287" i="10" s="1"/>
  <c r="L288" i="10" s="1"/>
  <c r="L289" i="10" s="1"/>
  <c r="L292" i="10" s="1"/>
  <c r="L293" i="10" s="1"/>
  <c r="L294" i="10" s="1"/>
  <c r="L295" i="10" s="1"/>
  <c r="L296" i="10" s="1"/>
  <c r="L299" i="10" s="1"/>
  <c r="K286" i="10"/>
  <c r="K287" i="10" s="1"/>
  <c r="K288" i="10" s="1"/>
  <c r="K289" i="10" s="1"/>
  <c r="K292" i="10" s="1"/>
  <c r="K293" i="10" s="1"/>
  <c r="K294" i="10" s="1"/>
  <c r="K295" i="10" s="1"/>
  <c r="K296" i="10" s="1"/>
  <c r="K299" i="10" s="1"/>
  <c r="J286" i="10"/>
  <c r="J287" i="10" s="1"/>
  <c r="J288" i="10" s="1"/>
  <c r="J289" i="10" s="1"/>
  <c r="J292" i="10" s="1"/>
  <c r="J293" i="10" s="1"/>
  <c r="J294" i="10" s="1"/>
  <c r="J295" i="10" s="1"/>
  <c r="J296" i="10" s="1"/>
  <c r="J299" i="10" s="1"/>
  <c r="I286" i="10"/>
  <c r="I287" i="10" s="1"/>
  <c r="I288" i="10" s="1"/>
  <c r="I289" i="10" s="1"/>
  <c r="I292" i="10" s="1"/>
  <c r="I293" i="10" s="1"/>
  <c r="I294" i="10" s="1"/>
  <c r="I295" i="10" s="1"/>
  <c r="I296" i="10" s="1"/>
  <c r="I299" i="10" s="1"/>
  <c r="H286" i="10"/>
  <c r="G286" i="10"/>
  <c r="G283" i="10"/>
  <c r="H283" i="10"/>
  <c r="G282" i="10"/>
  <c r="H282" i="10"/>
  <c r="G281" i="10"/>
  <c r="H281" i="10"/>
  <c r="G280" i="10"/>
  <c r="H280" i="10"/>
  <c r="J279" i="10"/>
  <c r="J280" i="10" s="1"/>
  <c r="J281" i="10" s="1"/>
  <c r="J282" i="10" s="1"/>
  <c r="J283" i="10" s="1"/>
  <c r="I279" i="10"/>
  <c r="I280" i="10" s="1"/>
  <c r="I281" i="10" s="1"/>
  <c r="I282" i="10" s="1"/>
  <c r="I283" i="10" s="1"/>
  <c r="H279" i="10"/>
  <c r="G279" i="10"/>
  <c r="G276" i="10"/>
  <c r="H276" i="10"/>
  <c r="G275" i="10"/>
  <c r="H275" i="10"/>
  <c r="G274" i="10"/>
  <c r="H274" i="10"/>
  <c r="H273" i="10"/>
  <c r="G273" i="10"/>
  <c r="G269" i="10"/>
  <c r="H269" i="10"/>
  <c r="G268" i="10"/>
  <c r="H268" i="10"/>
  <c r="G267" i="10"/>
  <c r="H267" i="10"/>
  <c r="G266" i="10"/>
  <c r="H266" i="10"/>
  <c r="G265" i="10"/>
  <c r="H265" i="10"/>
  <c r="G264" i="10"/>
  <c r="H264" i="10"/>
  <c r="G263" i="10"/>
  <c r="H263" i="10"/>
  <c r="G262" i="10"/>
  <c r="H262" i="10"/>
  <c r="G261" i="10"/>
  <c r="H261" i="10"/>
  <c r="L260" i="10"/>
  <c r="L261" i="10" s="1"/>
  <c r="L262" i="10" s="1"/>
  <c r="L263" i="10" s="1"/>
  <c r="L264" i="10" s="1"/>
  <c r="L265" i="10" s="1"/>
  <c r="L266" i="10" s="1"/>
  <c r="L267" i="10" s="1"/>
  <c r="L268" i="10" s="1"/>
  <c r="L269" i="10" s="1"/>
  <c r="L273" i="10" s="1"/>
  <c r="L274" i="10" s="1"/>
  <c r="L275" i="10" s="1"/>
  <c r="L276" i="10" s="1"/>
  <c r="L279" i="10" s="1"/>
  <c r="L280" i="10" s="1"/>
  <c r="L281" i="10" s="1"/>
  <c r="L282" i="10" s="1"/>
  <c r="L283" i="10" s="1"/>
  <c r="K260" i="10"/>
  <c r="K261" i="10" s="1"/>
  <c r="K262" i="10" s="1"/>
  <c r="K263" i="10" s="1"/>
  <c r="K264" i="10" s="1"/>
  <c r="K265" i="10" s="1"/>
  <c r="K266" i="10" s="1"/>
  <c r="K267" i="10" s="1"/>
  <c r="K268" i="10" s="1"/>
  <c r="K269" i="10" s="1"/>
  <c r="K273" i="10" s="1"/>
  <c r="K274" i="10" s="1"/>
  <c r="K275" i="10" s="1"/>
  <c r="K276" i="10" s="1"/>
  <c r="K279" i="10" s="1"/>
  <c r="K280" i="10" s="1"/>
  <c r="K281" i="10" s="1"/>
  <c r="K282" i="10" s="1"/>
  <c r="K283" i="10" s="1"/>
  <c r="J260" i="10"/>
  <c r="J261" i="10" s="1"/>
  <c r="J262" i="10" s="1"/>
  <c r="J263" i="10" s="1"/>
  <c r="J264" i="10" s="1"/>
  <c r="J265" i="10" s="1"/>
  <c r="J266" i="10" s="1"/>
  <c r="J267" i="10" s="1"/>
  <c r="J268" i="10" s="1"/>
  <c r="J269" i="10" s="1"/>
  <c r="J273" i="10" s="1"/>
  <c r="J274" i="10" s="1"/>
  <c r="J275" i="10" s="1"/>
  <c r="J276" i="10" s="1"/>
  <c r="I260" i="10"/>
  <c r="I261" i="10" s="1"/>
  <c r="I262" i="10" s="1"/>
  <c r="I263" i="10" s="1"/>
  <c r="I264" i="10" s="1"/>
  <c r="I265" i="10" s="1"/>
  <c r="I266" i="10" s="1"/>
  <c r="I267" i="10" s="1"/>
  <c r="I268" i="10" s="1"/>
  <c r="I269" i="10" s="1"/>
  <c r="I273" i="10" s="1"/>
  <c r="I274" i="10" s="1"/>
  <c r="I275" i="10" s="1"/>
  <c r="I276" i="10" s="1"/>
  <c r="H260" i="10"/>
  <c r="G260" i="10"/>
  <c r="H292" i="9"/>
  <c r="G292" i="9"/>
  <c r="G290" i="9"/>
  <c r="H290" i="9"/>
  <c r="G289" i="9"/>
  <c r="H289" i="9"/>
  <c r="G288" i="9"/>
  <c r="H288" i="9"/>
  <c r="G287" i="9"/>
  <c r="H287" i="9"/>
  <c r="G286" i="9"/>
  <c r="H286" i="9"/>
  <c r="H285" i="9"/>
  <c r="G285" i="9"/>
  <c r="G283" i="9"/>
  <c r="H283" i="9"/>
  <c r="G282" i="9"/>
  <c r="H282" i="9"/>
  <c r="G281" i="9"/>
  <c r="H281" i="9"/>
  <c r="G280" i="9"/>
  <c r="H280" i="9"/>
  <c r="J279" i="9"/>
  <c r="J280" i="9" s="1"/>
  <c r="J281" i="9" s="1"/>
  <c r="J282" i="9" s="1"/>
  <c r="J283" i="9" s="1"/>
  <c r="J285" i="9" s="1"/>
  <c r="J286" i="9" s="1"/>
  <c r="J287" i="9" s="1"/>
  <c r="J288" i="9" s="1"/>
  <c r="J289" i="9" s="1"/>
  <c r="J290" i="9" s="1"/>
  <c r="J292" i="9" s="1"/>
  <c r="J293" i="9" s="1"/>
  <c r="J294" i="9" s="1"/>
  <c r="J295" i="9" s="1"/>
  <c r="J296" i="9" s="1"/>
  <c r="J297" i="9" s="1"/>
  <c r="J299" i="9" s="1"/>
  <c r="J300" i="9" s="1"/>
  <c r="J301" i="9" s="1"/>
  <c r="J302" i="9" s="1"/>
  <c r="J303" i="9" s="1"/>
  <c r="J304" i="9" s="1"/>
  <c r="J306" i="9" s="1"/>
  <c r="J307" i="9" s="1"/>
  <c r="I279" i="9"/>
  <c r="I280" i="9" s="1"/>
  <c r="I281" i="9" s="1"/>
  <c r="I282" i="9" s="1"/>
  <c r="I283" i="9" s="1"/>
  <c r="I285" i="9" s="1"/>
  <c r="I286" i="9" s="1"/>
  <c r="I287" i="9" s="1"/>
  <c r="I288" i="9" s="1"/>
  <c r="I289" i="9" s="1"/>
  <c r="I290" i="9" s="1"/>
  <c r="I292" i="9" s="1"/>
  <c r="I293" i="9" s="1"/>
  <c r="I294" i="9" s="1"/>
  <c r="I295" i="9" s="1"/>
  <c r="I296" i="9" s="1"/>
  <c r="I297" i="9" s="1"/>
  <c r="I299" i="9" s="1"/>
  <c r="I300" i="9" s="1"/>
  <c r="I301" i="9" s="1"/>
  <c r="I302" i="9" s="1"/>
  <c r="I303" i="9" s="1"/>
  <c r="I304" i="9" s="1"/>
  <c r="I306" i="9" s="1"/>
  <c r="I307" i="9" s="1"/>
  <c r="H279" i="9"/>
  <c r="G279" i="9"/>
  <c r="AE5" i="8" l="1"/>
  <c r="AE4" i="8"/>
  <c r="AA10" i="8"/>
  <c r="AA9" i="8"/>
  <c r="AH4" i="8"/>
  <c r="AE11" i="8"/>
  <c r="AE10" i="8"/>
  <c r="AE9" i="8"/>
  <c r="AH5" i="8"/>
  <c r="AE5" i="10"/>
  <c r="AE4" i="10"/>
  <c r="AA9" i="10"/>
  <c r="AA10" i="10"/>
  <c r="AE11" i="10"/>
  <c r="AH4" i="10"/>
  <c r="AH5" i="10"/>
  <c r="AE10" i="10"/>
  <c r="AE9" i="10"/>
  <c r="J300" i="10"/>
  <c r="J301" i="10" s="1"/>
  <c r="J302" i="10"/>
  <c r="J303" i="10" s="1"/>
  <c r="J304" i="10" s="1"/>
  <c r="K300" i="10"/>
  <c r="K301" i="10" s="1"/>
  <c r="K302" i="10"/>
  <c r="K303" i="10" s="1"/>
  <c r="K304" i="10" s="1"/>
  <c r="L300" i="10"/>
  <c r="L301" i="10" s="1"/>
  <c r="L302" i="10"/>
  <c r="L303" i="10" s="1"/>
  <c r="L304" i="10" s="1"/>
  <c r="I300" i="10"/>
  <c r="I301" i="10" s="1"/>
  <c r="I302" i="10"/>
  <c r="I303" i="10" s="1"/>
  <c r="I304" i="10" s="1"/>
  <c r="G23" i="15"/>
  <c r="H23" i="15" s="1"/>
  <c r="K287" i="8"/>
  <c r="K288" i="8" s="1"/>
  <c r="K289" i="8" s="1"/>
  <c r="K290" i="8" s="1"/>
  <c r="K292" i="8" s="1"/>
  <c r="K293" i="8" s="1"/>
  <c r="K294" i="8" s="1"/>
  <c r="K295" i="8" s="1"/>
  <c r="K296" i="8" s="1"/>
  <c r="K297" i="8" s="1"/>
  <c r="K299" i="8" s="1"/>
  <c r="K300" i="8" s="1"/>
  <c r="K301" i="8" s="1"/>
  <c r="K302" i="8" s="1"/>
  <c r="K303" i="8" s="1"/>
  <c r="K304" i="8" s="1"/>
  <c r="K306" i="8" s="1"/>
  <c r="K307" i="8" s="1"/>
  <c r="K308" i="8" s="1"/>
  <c r="K309" i="8" s="1"/>
  <c r="K310" i="8" s="1"/>
  <c r="K311" i="8" s="1"/>
  <c r="K313" i="8" s="1"/>
  <c r="K314" i="8" s="1"/>
  <c r="K315" i="8" s="1"/>
  <c r="K316" i="8" s="1"/>
  <c r="K317" i="8" s="1"/>
  <c r="K318" i="8" s="1"/>
  <c r="K320" i="8" s="1"/>
  <c r="K321" i="8" s="1"/>
  <c r="K322" i="8" s="1"/>
  <c r="K323" i="8" s="1"/>
  <c r="K324" i="8" s="1"/>
  <c r="K325" i="8" s="1"/>
  <c r="K329" i="8" s="1"/>
  <c r="K330" i="8" s="1"/>
  <c r="K331" i="8" s="1"/>
  <c r="K332" i="8" s="1"/>
  <c r="K334" i="8" s="1"/>
  <c r="K335" i="8" s="1"/>
  <c r="K336" i="8" s="1"/>
  <c r="K337" i="8" s="1"/>
  <c r="K338" i="8" s="1"/>
  <c r="K339" i="8" s="1"/>
  <c r="K341" i="8" s="1"/>
  <c r="K342" i="8" s="1"/>
  <c r="K343" i="8" s="1"/>
  <c r="K344" i="8" s="1"/>
  <c r="K345" i="8" s="1"/>
  <c r="K346" i="8" s="1"/>
  <c r="K348" i="8" s="1"/>
  <c r="K349" i="8" s="1"/>
  <c r="K350" i="8" s="1"/>
  <c r="K351" i="8" s="1"/>
  <c r="K352" i="8" s="1"/>
  <c r="K353" i="8" s="1"/>
  <c r="K355" i="8" s="1"/>
  <c r="K356" i="8" s="1"/>
  <c r="K357" i="8" s="1"/>
  <c r="K358" i="8" s="1"/>
  <c r="K359" i="8" s="1"/>
  <c r="K360" i="8" s="1"/>
  <c r="K362" i="8" s="1"/>
  <c r="K363" i="8" s="1"/>
  <c r="K364" i="8" s="1"/>
  <c r="G276" i="9"/>
  <c r="H276" i="9"/>
  <c r="G275" i="9"/>
  <c r="H275" i="9"/>
  <c r="G274" i="9"/>
  <c r="H274" i="9"/>
  <c r="H273" i="9"/>
  <c r="G273" i="9"/>
  <c r="G269" i="9"/>
  <c r="H269" i="9"/>
  <c r="G268" i="9"/>
  <c r="H268" i="9"/>
  <c r="G267" i="9"/>
  <c r="H267" i="9"/>
  <c r="G266" i="9"/>
  <c r="H266" i="9"/>
  <c r="G265" i="9"/>
  <c r="H265" i="9"/>
  <c r="L264" i="9"/>
  <c r="L265" i="9" s="1"/>
  <c r="L266" i="9" s="1"/>
  <c r="L267" i="9" s="1"/>
  <c r="L268" i="9" s="1"/>
  <c r="L269" i="9" s="1"/>
  <c r="L273" i="9" s="1"/>
  <c r="L274" i="9" s="1"/>
  <c r="L275" i="9" s="1"/>
  <c r="L276" i="9" s="1"/>
  <c r="L279" i="9" s="1"/>
  <c r="L280" i="9" s="1"/>
  <c r="L281" i="9" s="1"/>
  <c r="L282" i="9" s="1"/>
  <c r="L283" i="9" s="1"/>
  <c r="L285" i="9" s="1"/>
  <c r="L286" i="9" s="1"/>
  <c r="L287" i="9" s="1"/>
  <c r="L288" i="9" s="1"/>
  <c r="L289" i="9" s="1"/>
  <c r="L290" i="9" s="1"/>
  <c r="L292" i="9" s="1"/>
  <c r="L293" i="9" s="1"/>
  <c r="L294" i="9" s="1"/>
  <c r="L295" i="9" s="1"/>
  <c r="L296" i="9" s="1"/>
  <c r="L297" i="9" s="1"/>
  <c r="L299" i="9" s="1"/>
  <c r="L300" i="9" s="1"/>
  <c r="L301" i="9" s="1"/>
  <c r="L302" i="9" s="1"/>
  <c r="L303" i="9" s="1"/>
  <c r="L304" i="9" s="1"/>
  <c r="L306" i="9" s="1"/>
  <c r="L307" i="9" s="1"/>
  <c r="L308" i="9" s="1"/>
  <c r="L309" i="9" s="1"/>
  <c r="L310" i="9" s="1"/>
  <c r="L311" i="9" s="1"/>
  <c r="L313" i="9" s="1"/>
  <c r="L314" i="9" s="1"/>
  <c r="L315" i="9" s="1"/>
  <c r="L316" i="9" s="1"/>
  <c r="L317" i="9" s="1"/>
  <c r="L318" i="9" s="1"/>
  <c r="L320" i="9" s="1"/>
  <c r="L321" i="9" s="1"/>
  <c r="L322" i="9" s="1"/>
  <c r="L323" i="9" s="1"/>
  <c r="L324" i="9" s="1"/>
  <c r="L325" i="9" s="1"/>
  <c r="K264" i="9"/>
  <c r="K265" i="9" s="1"/>
  <c r="K266" i="9" s="1"/>
  <c r="K267" i="9" s="1"/>
  <c r="K268" i="9" s="1"/>
  <c r="K269" i="9" s="1"/>
  <c r="K273" i="9" s="1"/>
  <c r="K274" i="9" s="1"/>
  <c r="K275" i="9" s="1"/>
  <c r="K276" i="9" s="1"/>
  <c r="K279" i="9" s="1"/>
  <c r="K280" i="9" s="1"/>
  <c r="K281" i="9" s="1"/>
  <c r="K282" i="9" s="1"/>
  <c r="K283" i="9" s="1"/>
  <c r="K285" i="9" s="1"/>
  <c r="K286" i="9" s="1"/>
  <c r="K287" i="9" s="1"/>
  <c r="K288" i="9" s="1"/>
  <c r="K289" i="9" s="1"/>
  <c r="K290" i="9" s="1"/>
  <c r="K292" i="9" s="1"/>
  <c r="K293" i="9" s="1"/>
  <c r="K294" i="9" s="1"/>
  <c r="K295" i="9" s="1"/>
  <c r="K296" i="9" s="1"/>
  <c r="K297" i="9" s="1"/>
  <c r="K299" i="9" s="1"/>
  <c r="K300" i="9" s="1"/>
  <c r="K301" i="9" s="1"/>
  <c r="K302" i="9" s="1"/>
  <c r="K303" i="9" s="1"/>
  <c r="K304" i="9" s="1"/>
  <c r="K306" i="9" s="1"/>
  <c r="K307" i="9" s="1"/>
  <c r="K308" i="9" s="1"/>
  <c r="K309" i="9" s="1"/>
  <c r="K310" i="9" s="1"/>
  <c r="K311" i="9" s="1"/>
  <c r="K313" i="9" s="1"/>
  <c r="K314" i="9" s="1"/>
  <c r="K315" i="9" s="1"/>
  <c r="K316" i="9" s="1"/>
  <c r="K317" i="9" s="1"/>
  <c r="K318" i="9" s="1"/>
  <c r="K320" i="9" s="1"/>
  <c r="K321" i="9" s="1"/>
  <c r="K322" i="9" s="1"/>
  <c r="K323" i="9" s="1"/>
  <c r="K324" i="9" s="1"/>
  <c r="K325" i="9" s="1"/>
  <c r="J264" i="9"/>
  <c r="J265" i="9" s="1"/>
  <c r="J266" i="9" s="1"/>
  <c r="J267" i="9" s="1"/>
  <c r="J268" i="9" s="1"/>
  <c r="J269" i="9" s="1"/>
  <c r="J273" i="9" s="1"/>
  <c r="J274" i="9" s="1"/>
  <c r="J275" i="9" s="1"/>
  <c r="J276" i="9" s="1"/>
  <c r="I264" i="9"/>
  <c r="I265" i="9" s="1"/>
  <c r="I266" i="9" s="1"/>
  <c r="I267" i="9" s="1"/>
  <c r="I268" i="9" s="1"/>
  <c r="I269" i="9" s="1"/>
  <c r="I273" i="9" s="1"/>
  <c r="I274" i="9" s="1"/>
  <c r="I275" i="9" s="1"/>
  <c r="I276" i="9" s="1"/>
  <c r="H264" i="9"/>
  <c r="G264" i="9"/>
  <c r="AE6" i="8" l="1"/>
  <c r="AB5" i="8" s="1"/>
  <c r="AH6" i="8"/>
  <c r="AA6" i="8" s="1"/>
  <c r="AB6" i="8"/>
  <c r="V366" i="8" s="1"/>
  <c r="X366" i="8" s="1"/>
  <c r="AH6" i="10"/>
  <c r="AB6" i="10" s="1"/>
  <c r="AE6" i="10"/>
  <c r="AB5" i="10" s="1"/>
  <c r="AA10" i="9"/>
  <c r="AA9" i="9"/>
  <c r="AE4" i="9"/>
  <c r="AE5" i="9"/>
  <c r="AE10" i="9"/>
  <c r="AE9" i="9"/>
  <c r="AH5" i="9"/>
  <c r="AH4" i="9"/>
  <c r="AE11" i="9"/>
  <c r="L326" i="9"/>
  <c r="L327" i="9"/>
  <c r="L328" i="9" s="1"/>
  <c r="L329" i="9" s="1"/>
  <c r="L330" i="9" s="1"/>
  <c r="L331" i="9" s="1"/>
  <c r="L332" i="9" s="1"/>
  <c r="L334" i="9" s="1"/>
  <c r="L335" i="9" s="1"/>
  <c r="L336" i="9" s="1"/>
  <c r="L337" i="9" s="1"/>
  <c r="L338" i="9" s="1"/>
  <c r="L339" i="9" s="1"/>
  <c r="L341" i="9" s="1"/>
  <c r="L342" i="9" s="1"/>
  <c r="L343" i="9" s="1"/>
  <c r="L344" i="9" s="1"/>
  <c r="L345" i="9" s="1"/>
  <c r="L346" i="9" s="1"/>
  <c r="L348" i="9" s="1"/>
  <c r="L349" i="9" s="1"/>
  <c r="L350" i="9" s="1"/>
  <c r="L351" i="9" s="1"/>
  <c r="L352" i="9" s="1"/>
  <c r="L353" i="9" s="1"/>
  <c r="L355" i="9" s="1"/>
  <c r="L356" i="9" s="1"/>
  <c r="L357" i="9" s="1"/>
  <c r="L358" i="9" s="1"/>
  <c r="L359" i="9" s="1"/>
  <c r="L360" i="9" s="1"/>
  <c r="L362" i="9" s="1"/>
  <c r="L363" i="9" s="1"/>
  <c r="L364" i="9" s="1"/>
  <c r="L365" i="9" s="1"/>
  <c r="L366" i="9" s="1"/>
  <c r="K326" i="9"/>
  <c r="K327" i="9"/>
  <c r="K328" i="9" s="1"/>
  <c r="K329" i="9" s="1"/>
  <c r="K330" i="9" s="1"/>
  <c r="K331" i="9" s="1"/>
  <c r="K332" i="9" s="1"/>
  <c r="K334" i="9" s="1"/>
  <c r="K335" i="9" s="1"/>
  <c r="K336" i="9" s="1"/>
  <c r="K337" i="9" s="1"/>
  <c r="K338" i="9" s="1"/>
  <c r="K339" i="9" s="1"/>
  <c r="K341" i="9" s="1"/>
  <c r="K342" i="9" s="1"/>
  <c r="K343" i="9" s="1"/>
  <c r="K344" i="9" s="1"/>
  <c r="K345" i="9" s="1"/>
  <c r="K346" i="9" s="1"/>
  <c r="K348" i="9" s="1"/>
  <c r="K349" i="9" s="1"/>
  <c r="K350" i="9" s="1"/>
  <c r="K351" i="9" s="1"/>
  <c r="K352" i="9" s="1"/>
  <c r="K353" i="9" s="1"/>
  <c r="K355" i="9" s="1"/>
  <c r="K356" i="9" s="1"/>
  <c r="K357" i="9" s="1"/>
  <c r="K358" i="9" s="1"/>
  <c r="K359" i="9" s="1"/>
  <c r="K360" i="9" s="1"/>
  <c r="K362" i="9" s="1"/>
  <c r="K363" i="9" s="1"/>
  <c r="K364" i="9" s="1"/>
  <c r="K365" i="9" s="1"/>
  <c r="K366" i="9" s="1"/>
  <c r="K306" i="10"/>
  <c r="K315" i="10"/>
  <c r="K316" i="10" s="1"/>
  <c r="K317" i="10" s="1"/>
  <c r="K318" i="10" s="1"/>
  <c r="K320" i="10" s="1"/>
  <c r="K321" i="10" s="1"/>
  <c r="K322" i="10" s="1"/>
  <c r="K323" i="10" s="1"/>
  <c r="K324" i="10" s="1"/>
  <c r="K325" i="10" s="1"/>
  <c r="K327" i="10" s="1"/>
  <c r="K328" i="10" s="1"/>
  <c r="K329" i="10" s="1"/>
  <c r="K330" i="10" s="1"/>
  <c r="K331" i="10" s="1"/>
  <c r="K332" i="10" s="1"/>
  <c r="K334" i="10" s="1"/>
  <c r="K335" i="10" s="1"/>
  <c r="K336" i="10" s="1"/>
  <c r="K337" i="10" s="1"/>
  <c r="K338" i="10" s="1"/>
  <c r="K339" i="10" s="1"/>
  <c r="K341" i="10" s="1"/>
  <c r="K342" i="10" s="1"/>
  <c r="K343" i="10" s="1"/>
  <c r="K344" i="10" s="1"/>
  <c r="I306" i="10"/>
  <c r="I316" i="10"/>
  <c r="I317" i="10" s="1"/>
  <c r="I318" i="10" s="1"/>
  <c r="I320" i="10" s="1"/>
  <c r="I321" i="10" s="1"/>
  <c r="J306" i="10"/>
  <c r="J316" i="10"/>
  <c r="J317" i="10" s="1"/>
  <c r="J318" i="10" s="1"/>
  <c r="J320" i="10" s="1"/>
  <c r="J321" i="10" s="1"/>
  <c r="L306" i="10"/>
  <c r="L315" i="10"/>
  <c r="L316" i="10" s="1"/>
  <c r="L317" i="10" s="1"/>
  <c r="L318" i="10" s="1"/>
  <c r="L320" i="10" s="1"/>
  <c r="L321" i="10" s="1"/>
  <c r="L322" i="10" s="1"/>
  <c r="L323" i="10" s="1"/>
  <c r="L324" i="10" s="1"/>
  <c r="L325" i="10" s="1"/>
  <c r="L327" i="10" s="1"/>
  <c r="L328" i="10" s="1"/>
  <c r="L329" i="10" s="1"/>
  <c r="L330" i="10" s="1"/>
  <c r="L331" i="10" s="1"/>
  <c r="L332" i="10" s="1"/>
  <c r="L334" i="10" s="1"/>
  <c r="L335" i="10" s="1"/>
  <c r="L336" i="10" s="1"/>
  <c r="L337" i="10" s="1"/>
  <c r="L338" i="10" s="1"/>
  <c r="L339" i="10" s="1"/>
  <c r="L341" i="10" s="1"/>
  <c r="L342" i="10" s="1"/>
  <c r="L343" i="10" s="1"/>
  <c r="L344" i="10" s="1"/>
  <c r="G253" i="11"/>
  <c r="H253" i="11"/>
  <c r="G252" i="11"/>
  <c r="H252" i="11"/>
  <c r="G251" i="11"/>
  <c r="H251" i="11"/>
  <c r="G250" i="11"/>
  <c r="H250" i="11"/>
  <c r="G249" i="11"/>
  <c r="H249" i="11"/>
  <c r="G248" i="11"/>
  <c r="H248" i="11"/>
  <c r="H247" i="11"/>
  <c r="G247" i="11"/>
  <c r="J246" i="1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3" i="11" s="1"/>
  <c r="J274" i="11" s="1"/>
  <c r="J275" i="11" s="1"/>
  <c r="J276" i="11" s="1"/>
  <c r="I246" i="1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I263" i="11" s="1"/>
  <c r="I264" i="11" s="1"/>
  <c r="I265" i="11" s="1"/>
  <c r="I266" i="11" s="1"/>
  <c r="I267" i="11" s="1"/>
  <c r="I268" i="11" s="1"/>
  <c r="I269" i="11" s="1"/>
  <c r="I273" i="11" s="1"/>
  <c r="I274" i="11" s="1"/>
  <c r="I275" i="11" s="1"/>
  <c r="I276" i="11" s="1"/>
  <c r="G246" i="11"/>
  <c r="H246" i="11"/>
  <c r="G245" i="11"/>
  <c r="H245" i="11"/>
  <c r="G244" i="11"/>
  <c r="H244" i="11"/>
  <c r="G243" i="11"/>
  <c r="H243" i="11"/>
  <c r="G242" i="11"/>
  <c r="H242" i="11"/>
  <c r="G241" i="11"/>
  <c r="H241" i="11"/>
  <c r="G240" i="11"/>
  <c r="H240" i="11"/>
  <c r="G239" i="11"/>
  <c r="H239" i="11"/>
  <c r="G238" i="11"/>
  <c r="H238" i="11"/>
  <c r="G237" i="11"/>
  <c r="H237" i="11"/>
  <c r="G236" i="11"/>
  <c r="H236" i="11"/>
  <c r="L235" i="11"/>
  <c r="L236" i="11" s="1"/>
  <c r="L237" i="11" s="1"/>
  <c r="L238" i="11" s="1"/>
  <c r="L239" i="11" s="1"/>
  <c r="L240" i="11" s="1"/>
  <c r="L241" i="11" s="1"/>
  <c r="L242" i="11" s="1"/>
  <c r="L243" i="11" s="1"/>
  <c r="L244" i="11" s="1"/>
  <c r="L245" i="11" s="1"/>
  <c r="L246" i="11" s="1"/>
  <c r="L247" i="11" s="1"/>
  <c r="L248" i="11" s="1"/>
  <c r="L249" i="11" s="1"/>
  <c r="L250" i="11" s="1"/>
  <c r="L251" i="11" s="1"/>
  <c r="L252" i="11" s="1"/>
  <c r="L253" i="11" s="1"/>
  <c r="L254" i="11" s="1"/>
  <c r="L255" i="11" s="1"/>
  <c r="L256" i="11" s="1"/>
  <c r="L257" i="11" s="1"/>
  <c r="L258" i="11" s="1"/>
  <c r="L259" i="11" s="1"/>
  <c r="L260" i="11" s="1"/>
  <c r="L261" i="11" s="1"/>
  <c r="L262" i="11" s="1"/>
  <c r="L263" i="11" s="1"/>
  <c r="L264" i="11" s="1"/>
  <c r="L265" i="11" s="1"/>
  <c r="L266" i="11" s="1"/>
  <c r="L267" i="11" s="1"/>
  <c r="L268" i="11" s="1"/>
  <c r="L269" i="11" s="1"/>
  <c r="L273" i="11" s="1"/>
  <c r="L274" i="11" s="1"/>
  <c r="L275" i="11" s="1"/>
  <c r="L276" i="11" s="1"/>
  <c r="L279" i="11" s="1"/>
  <c r="L280" i="11" s="1"/>
  <c r="L281" i="11" s="1"/>
  <c r="L282" i="11" s="1"/>
  <c r="L283" i="11" s="1"/>
  <c r="L285" i="11" s="1"/>
  <c r="L286" i="11" s="1"/>
  <c r="L287" i="11" s="1"/>
  <c r="L288" i="11" s="1"/>
  <c r="L289" i="11" s="1"/>
  <c r="L290" i="11" s="1"/>
  <c r="L292" i="11" s="1"/>
  <c r="L293" i="11" s="1"/>
  <c r="L294" i="11" s="1"/>
  <c r="L295" i="11" s="1"/>
  <c r="L296" i="11" s="1"/>
  <c r="L297" i="11" s="1"/>
  <c r="L299" i="11" s="1"/>
  <c r="L300" i="11" s="1"/>
  <c r="L301" i="11" s="1"/>
  <c r="L302" i="11" s="1"/>
  <c r="L303" i="11" s="1"/>
  <c r="L304" i="11" s="1"/>
  <c r="L306" i="11" s="1"/>
  <c r="L307" i="11" s="1"/>
  <c r="L308" i="11" s="1"/>
  <c r="L309" i="11" s="1"/>
  <c r="L310" i="11" s="1"/>
  <c r="L311" i="11" s="1"/>
  <c r="L313" i="11" s="1"/>
  <c r="L314" i="11" s="1"/>
  <c r="L315" i="11" s="1"/>
  <c r="L316" i="11" s="1"/>
  <c r="L317" i="11" s="1"/>
  <c r="L318" i="11" s="1"/>
  <c r="L320" i="11" s="1"/>
  <c r="L321" i="11" s="1"/>
  <c r="L322" i="11" s="1"/>
  <c r="L323" i="11" s="1"/>
  <c r="L324" i="11" s="1"/>
  <c r="L325" i="11" s="1"/>
  <c r="L327" i="11" s="1"/>
  <c r="L328" i="11" s="1"/>
  <c r="L329" i="11" s="1"/>
  <c r="K235" i="11"/>
  <c r="K236" i="11" s="1"/>
  <c r="K237" i="11" s="1"/>
  <c r="K238" i="11" s="1"/>
  <c r="K239" i="11" s="1"/>
  <c r="K240" i="11" s="1"/>
  <c r="K241" i="11" s="1"/>
  <c r="K242" i="11" s="1"/>
  <c r="K243" i="11" s="1"/>
  <c r="K244" i="11" s="1"/>
  <c r="K245" i="11" s="1"/>
  <c r="K246" i="11" s="1"/>
  <c r="K247" i="11" s="1"/>
  <c r="K248" i="11" s="1"/>
  <c r="K249" i="11" s="1"/>
  <c r="K250" i="11" s="1"/>
  <c r="K251" i="11" s="1"/>
  <c r="K252" i="11" s="1"/>
  <c r="K253" i="11" s="1"/>
  <c r="K254" i="11" s="1"/>
  <c r="K255" i="11" s="1"/>
  <c r="K256" i="11" s="1"/>
  <c r="K257" i="11" s="1"/>
  <c r="K258" i="11" s="1"/>
  <c r="K259" i="11" s="1"/>
  <c r="K260" i="11" s="1"/>
  <c r="K261" i="11" s="1"/>
  <c r="K262" i="11" s="1"/>
  <c r="K263" i="11" s="1"/>
  <c r="K264" i="11" s="1"/>
  <c r="K265" i="11" s="1"/>
  <c r="K266" i="11" s="1"/>
  <c r="K267" i="11" s="1"/>
  <c r="K268" i="11" s="1"/>
  <c r="K269" i="11" s="1"/>
  <c r="K273" i="11" s="1"/>
  <c r="K274" i="11" s="1"/>
  <c r="K275" i="11" s="1"/>
  <c r="K276" i="11" s="1"/>
  <c r="K279" i="11" s="1"/>
  <c r="K280" i="11" s="1"/>
  <c r="K281" i="11" s="1"/>
  <c r="K282" i="11" s="1"/>
  <c r="K283" i="11" s="1"/>
  <c r="K285" i="11" s="1"/>
  <c r="K286" i="11" s="1"/>
  <c r="K287" i="11" s="1"/>
  <c r="K288" i="11" s="1"/>
  <c r="K289" i="11" s="1"/>
  <c r="K290" i="11" s="1"/>
  <c r="K292" i="11" s="1"/>
  <c r="K293" i="11" s="1"/>
  <c r="K294" i="11" s="1"/>
  <c r="K295" i="11" s="1"/>
  <c r="K296" i="11" s="1"/>
  <c r="K297" i="11" s="1"/>
  <c r="K299" i="11" s="1"/>
  <c r="K300" i="11" s="1"/>
  <c r="K301" i="11" s="1"/>
  <c r="K302" i="11" s="1"/>
  <c r="K303" i="11" s="1"/>
  <c r="K304" i="11" s="1"/>
  <c r="K306" i="11" s="1"/>
  <c r="K307" i="11" s="1"/>
  <c r="K308" i="11" s="1"/>
  <c r="K309" i="11" s="1"/>
  <c r="K310" i="11" s="1"/>
  <c r="K311" i="11" s="1"/>
  <c r="K313" i="11" s="1"/>
  <c r="K314" i="11" s="1"/>
  <c r="K315" i="11" s="1"/>
  <c r="K316" i="11" s="1"/>
  <c r="K317" i="11" s="1"/>
  <c r="K318" i="11" s="1"/>
  <c r="K320" i="11" s="1"/>
  <c r="K321" i="11" s="1"/>
  <c r="K322" i="11" s="1"/>
  <c r="K323" i="11" s="1"/>
  <c r="K324" i="11" s="1"/>
  <c r="K325" i="11" s="1"/>
  <c r="K327" i="11" s="1"/>
  <c r="K328" i="11" s="1"/>
  <c r="K329" i="11" s="1"/>
  <c r="J235" i="1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I235" i="1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H235" i="11"/>
  <c r="G235" i="11"/>
  <c r="G290" i="12"/>
  <c r="H290" i="12"/>
  <c r="G289" i="12"/>
  <c r="H289" i="12"/>
  <c r="G288" i="12"/>
  <c r="H288" i="12"/>
  <c r="G287" i="12"/>
  <c r="H287" i="12"/>
  <c r="G286" i="12"/>
  <c r="H286" i="12"/>
  <c r="H285" i="12"/>
  <c r="G285" i="12"/>
  <c r="G282" i="12"/>
  <c r="H282" i="12"/>
  <c r="G283" i="12"/>
  <c r="H283" i="12"/>
  <c r="G281" i="12"/>
  <c r="H281" i="12"/>
  <c r="J279" i="12"/>
  <c r="J280" i="12" s="1"/>
  <c r="J281" i="12" s="1"/>
  <c r="J282" i="12" s="1"/>
  <c r="J283" i="12" s="1"/>
  <c r="J285" i="12" s="1"/>
  <c r="J286" i="12" s="1"/>
  <c r="J287" i="12" s="1"/>
  <c r="J288" i="12" s="1"/>
  <c r="J289" i="12" s="1"/>
  <c r="J290" i="12" s="1"/>
  <c r="J292" i="12" s="1"/>
  <c r="J293" i="12" s="1"/>
  <c r="J294" i="12" s="1"/>
  <c r="J295" i="12" s="1"/>
  <c r="J296" i="12" s="1"/>
  <c r="J297" i="12" s="1"/>
  <c r="J299" i="12" s="1"/>
  <c r="J300" i="12" s="1"/>
  <c r="J301" i="12" s="1"/>
  <c r="J302" i="12" s="1"/>
  <c r="J303" i="12" s="1"/>
  <c r="J304" i="12" s="1"/>
  <c r="J306" i="12" s="1"/>
  <c r="J307" i="12" s="1"/>
  <c r="J309" i="12" s="1"/>
  <c r="J310" i="12" s="1"/>
  <c r="J311" i="12" s="1"/>
  <c r="J313" i="12" s="1"/>
  <c r="J314" i="12" s="1"/>
  <c r="J315" i="12" s="1"/>
  <c r="J316" i="12" s="1"/>
  <c r="J317" i="12" s="1"/>
  <c r="I279" i="12"/>
  <c r="I280" i="12" s="1"/>
  <c r="I281" i="12" s="1"/>
  <c r="I282" i="12" s="1"/>
  <c r="I283" i="12" s="1"/>
  <c r="I285" i="12" s="1"/>
  <c r="I286" i="12" s="1"/>
  <c r="I287" i="12" s="1"/>
  <c r="I288" i="12" s="1"/>
  <c r="I289" i="12" s="1"/>
  <c r="I290" i="12" s="1"/>
  <c r="I292" i="12" s="1"/>
  <c r="I293" i="12" s="1"/>
  <c r="I294" i="12" s="1"/>
  <c r="I295" i="12" s="1"/>
  <c r="I296" i="12" s="1"/>
  <c r="I297" i="12" s="1"/>
  <c r="I299" i="12" s="1"/>
  <c r="I300" i="12" s="1"/>
  <c r="I301" i="12" s="1"/>
  <c r="I302" i="12" s="1"/>
  <c r="I303" i="12" s="1"/>
  <c r="I304" i="12" s="1"/>
  <c r="I306" i="12" s="1"/>
  <c r="I307" i="12" s="1"/>
  <c r="I309" i="12" s="1"/>
  <c r="I310" i="12" s="1"/>
  <c r="I311" i="12" s="1"/>
  <c r="I313" i="12" s="1"/>
  <c r="I314" i="12" s="1"/>
  <c r="I315" i="12" s="1"/>
  <c r="I316" i="12" s="1"/>
  <c r="I317" i="12" s="1"/>
  <c r="G280" i="12"/>
  <c r="H280" i="12"/>
  <c r="H279" i="12"/>
  <c r="G279" i="12"/>
  <c r="G276" i="12"/>
  <c r="H276" i="12"/>
  <c r="G275" i="12"/>
  <c r="H275" i="12"/>
  <c r="G274" i="12"/>
  <c r="H274" i="12"/>
  <c r="H273" i="12"/>
  <c r="G273" i="12"/>
  <c r="G269" i="12"/>
  <c r="H269" i="12"/>
  <c r="G268" i="12"/>
  <c r="H268" i="12"/>
  <c r="G267" i="12"/>
  <c r="H267" i="12"/>
  <c r="G266" i="12"/>
  <c r="H266" i="12"/>
  <c r="G265" i="12"/>
  <c r="H265" i="12"/>
  <c r="L264" i="12"/>
  <c r="L265" i="12" s="1"/>
  <c r="L266" i="12" s="1"/>
  <c r="L267" i="12" s="1"/>
  <c r="L268" i="12" s="1"/>
  <c r="L269" i="12" s="1"/>
  <c r="L273" i="12" s="1"/>
  <c r="L274" i="12" s="1"/>
  <c r="L275" i="12" s="1"/>
  <c r="L276" i="12" s="1"/>
  <c r="L279" i="12" s="1"/>
  <c r="L280" i="12" s="1"/>
  <c r="L281" i="12" s="1"/>
  <c r="L282" i="12" s="1"/>
  <c r="L283" i="12" s="1"/>
  <c r="L285" i="12" s="1"/>
  <c r="L286" i="12" s="1"/>
  <c r="L287" i="12" s="1"/>
  <c r="L288" i="12" s="1"/>
  <c r="L289" i="12" s="1"/>
  <c r="L290" i="12" s="1"/>
  <c r="L292" i="12" s="1"/>
  <c r="L293" i="12" s="1"/>
  <c r="L294" i="12" s="1"/>
  <c r="L295" i="12" s="1"/>
  <c r="L296" i="12" s="1"/>
  <c r="L297" i="12" s="1"/>
  <c r="L299" i="12" s="1"/>
  <c r="L300" i="12" s="1"/>
  <c r="L301" i="12" s="1"/>
  <c r="L302" i="12" s="1"/>
  <c r="L303" i="12" s="1"/>
  <c r="L304" i="12" s="1"/>
  <c r="L306" i="12" s="1"/>
  <c r="L307" i="12" s="1"/>
  <c r="L308" i="12" s="1"/>
  <c r="L309" i="12" s="1"/>
  <c r="L310" i="12" s="1"/>
  <c r="L311" i="12" s="1"/>
  <c r="L313" i="12" s="1"/>
  <c r="L314" i="12" s="1"/>
  <c r="L315" i="12" s="1"/>
  <c r="L316" i="12" s="1"/>
  <c r="L317" i="12" s="1"/>
  <c r="K264" i="12"/>
  <c r="K265" i="12" s="1"/>
  <c r="K266" i="12" s="1"/>
  <c r="K267" i="12" s="1"/>
  <c r="K268" i="12" s="1"/>
  <c r="K269" i="12" s="1"/>
  <c r="K273" i="12" s="1"/>
  <c r="K274" i="12" s="1"/>
  <c r="K275" i="12" s="1"/>
  <c r="K276" i="12" s="1"/>
  <c r="K279" i="12" s="1"/>
  <c r="K280" i="12" s="1"/>
  <c r="K281" i="12" s="1"/>
  <c r="K282" i="12" s="1"/>
  <c r="K283" i="12" s="1"/>
  <c r="K285" i="12" s="1"/>
  <c r="K286" i="12" s="1"/>
  <c r="K287" i="12" s="1"/>
  <c r="K288" i="12" s="1"/>
  <c r="K289" i="12" s="1"/>
  <c r="K290" i="12" s="1"/>
  <c r="K292" i="12" s="1"/>
  <c r="K293" i="12" s="1"/>
  <c r="K294" i="12" s="1"/>
  <c r="K295" i="12" s="1"/>
  <c r="K296" i="12" s="1"/>
  <c r="K297" i="12" s="1"/>
  <c r="K299" i="12" s="1"/>
  <c r="K300" i="12" s="1"/>
  <c r="K301" i="12" s="1"/>
  <c r="K302" i="12" s="1"/>
  <c r="K303" i="12" s="1"/>
  <c r="K304" i="12" s="1"/>
  <c r="K306" i="12" s="1"/>
  <c r="K307" i="12" s="1"/>
  <c r="K308" i="12" s="1"/>
  <c r="K309" i="12" s="1"/>
  <c r="K310" i="12" s="1"/>
  <c r="K311" i="12" s="1"/>
  <c r="K313" i="12" s="1"/>
  <c r="K314" i="12" s="1"/>
  <c r="K315" i="12" s="1"/>
  <c r="K316" i="12" s="1"/>
  <c r="K317" i="12" s="1"/>
  <c r="J264" i="12"/>
  <c r="J265" i="12" s="1"/>
  <c r="J266" i="12" s="1"/>
  <c r="J267" i="12" s="1"/>
  <c r="J268" i="12" s="1"/>
  <c r="J269" i="12" s="1"/>
  <c r="J273" i="12" s="1"/>
  <c r="J274" i="12" s="1"/>
  <c r="J275" i="12" s="1"/>
  <c r="J276" i="12" s="1"/>
  <c r="I264" i="12"/>
  <c r="I265" i="12" s="1"/>
  <c r="I266" i="12" s="1"/>
  <c r="I267" i="12" s="1"/>
  <c r="I268" i="12" s="1"/>
  <c r="I269" i="12" s="1"/>
  <c r="I273" i="12" s="1"/>
  <c r="I274" i="12" s="1"/>
  <c r="I275" i="12" s="1"/>
  <c r="I276" i="12" s="1"/>
  <c r="H264" i="12"/>
  <c r="G264" i="12"/>
  <c r="D20" i="16"/>
  <c r="B20" i="16"/>
  <c r="V172" i="8" l="1"/>
  <c r="X172" i="8" s="1"/>
  <c r="V365" i="8"/>
  <c r="X365" i="8" s="1"/>
  <c r="V198" i="8"/>
  <c r="X198" i="8" s="1"/>
  <c r="V212" i="8"/>
  <c r="X212" i="8" s="1"/>
  <c r="V133" i="8"/>
  <c r="X133" i="8" s="1"/>
  <c r="V235" i="8"/>
  <c r="X235" i="8" s="1"/>
  <c r="V4" i="8"/>
  <c r="X4" i="8" s="1"/>
  <c r="V194" i="8"/>
  <c r="X194" i="8" s="1"/>
  <c r="V225" i="8"/>
  <c r="X225" i="8" s="1"/>
  <c r="V99" i="8"/>
  <c r="X99" i="8" s="1"/>
  <c r="V22" i="8"/>
  <c r="X22" i="8" s="1"/>
  <c r="V64" i="8"/>
  <c r="X64" i="8" s="1"/>
  <c r="V150" i="8"/>
  <c r="X150" i="8" s="1"/>
  <c r="V81" i="8"/>
  <c r="X81" i="8" s="1"/>
  <c r="V218" i="8"/>
  <c r="X218" i="8" s="1"/>
  <c r="V152" i="8"/>
  <c r="X152" i="8" s="1"/>
  <c r="V25" i="8"/>
  <c r="X25" i="8" s="1"/>
  <c r="V328" i="8"/>
  <c r="X328" i="8" s="1"/>
  <c r="V253" i="8"/>
  <c r="X253" i="8" s="1"/>
  <c r="V57" i="8"/>
  <c r="X57" i="8" s="1"/>
  <c r="V184" i="8"/>
  <c r="X184" i="8" s="1"/>
  <c r="V161" i="8"/>
  <c r="X161" i="8" s="1"/>
  <c r="V190" i="8"/>
  <c r="X190" i="8" s="1"/>
  <c r="V165" i="8"/>
  <c r="X165" i="8" s="1"/>
  <c r="V108" i="8"/>
  <c r="X108" i="8" s="1"/>
  <c r="V181" i="8"/>
  <c r="X181" i="8" s="1"/>
  <c r="V129" i="8"/>
  <c r="X129" i="8" s="1"/>
  <c r="V312" i="8"/>
  <c r="X312" i="8" s="1"/>
  <c r="V195" i="8"/>
  <c r="X195" i="8" s="1"/>
  <c r="V27" i="8"/>
  <c r="X27" i="8" s="1"/>
  <c r="V213" i="8"/>
  <c r="X213" i="8" s="1"/>
  <c r="V259" i="8"/>
  <c r="X259" i="8" s="1"/>
  <c r="V65" i="8"/>
  <c r="X65" i="8" s="1"/>
  <c r="V72" i="8"/>
  <c r="X72" i="8" s="1"/>
  <c r="V347" i="8"/>
  <c r="X347" i="8" s="1"/>
  <c r="V39" i="8"/>
  <c r="X39" i="8" s="1"/>
  <c r="V109" i="8"/>
  <c r="X109" i="8" s="1"/>
  <c r="V210" i="8"/>
  <c r="X210" i="8" s="1"/>
  <c r="V11" i="8"/>
  <c r="X11" i="8" s="1"/>
  <c r="V38" i="8"/>
  <c r="X38" i="8" s="1"/>
  <c r="V128" i="8"/>
  <c r="X128" i="8" s="1"/>
  <c r="V333" i="8"/>
  <c r="X333" i="8" s="1"/>
  <c r="V166" i="8"/>
  <c r="X166" i="8" s="1"/>
  <c r="V136" i="8"/>
  <c r="X136" i="8" s="1"/>
  <c r="V61" i="8"/>
  <c r="X61" i="8" s="1"/>
  <c r="V170" i="8"/>
  <c r="X170" i="8" s="1"/>
  <c r="V202" i="8"/>
  <c r="X202" i="8" s="1"/>
  <c r="V123" i="8"/>
  <c r="X123" i="8" s="1"/>
  <c r="V156" i="8"/>
  <c r="X156" i="8" s="1"/>
  <c r="V86" i="8"/>
  <c r="X86" i="8" s="1"/>
  <c r="V137" i="8"/>
  <c r="X137" i="8" s="1"/>
  <c r="V23" i="8"/>
  <c r="X23" i="8" s="1"/>
  <c r="V19" i="8"/>
  <c r="X19" i="8" s="1"/>
  <c r="V132" i="8"/>
  <c r="X132" i="8" s="1"/>
  <c r="V340" i="8"/>
  <c r="X340" i="8" s="1"/>
  <c r="V76" i="8"/>
  <c r="X76" i="8" s="1"/>
  <c r="V56" i="8"/>
  <c r="X56" i="8" s="1"/>
  <c r="V205" i="8"/>
  <c r="X205" i="8" s="1"/>
  <c r="V102" i="8"/>
  <c r="X102" i="8" s="1"/>
  <c r="V13" i="8"/>
  <c r="X13" i="8" s="1"/>
  <c r="V147" i="8"/>
  <c r="X147" i="8" s="1"/>
  <c r="V119" i="8"/>
  <c r="X119" i="8" s="1"/>
  <c r="V157" i="8"/>
  <c r="X157" i="8" s="1"/>
  <c r="V117" i="8"/>
  <c r="X117" i="8" s="1"/>
  <c r="V40" i="8"/>
  <c r="X40" i="8" s="1"/>
  <c r="V164" i="8"/>
  <c r="X164" i="8" s="1"/>
  <c r="V271" i="8"/>
  <c r="X271" i="8" s="1"/>
  <c r="V63" i="8"/>
  <c r="X63" i="8" s="1"/>
  <c r="V85" i="8"/>
  <c r="X85" i="8" s="1"/>
  <c r="V244" i="8"/>
  <c r="X244" i="8" s="1"/>
  <c r="V118" i="8"/>
  <c r="X118" i="8" s="1"/>
  <c r="V327" i="8"/>
  <c r="X327" i="8" s="1"/>
  <c r="V17" i="8"/>
  <c r="X17" i="8" s="1"/>
  <c r="V78" i="8"/>
  <c r="X78" i="8" s="1"/>
  <c r="V238" i="8"/>
  <c r="X238" i="8" s="1"/>
  <c r="V208" i="8"/>
  <c r="X208" i="8" s="1"/>
  <c r="V211" i="8"/>
  <c r="X211" i="8" s="1"/>
  <c r="V263" i="8"/>
  <c r="X263" i="8" s="1"/>
  <c r="V51" i="8"/>
  <c r="X51" i="8" s="1"/>
  <c r="V60" i="8"/>
  <c r="X60" i="8" s="1"/>
  <c r="V258" i="8"/>
  <c r="X258" i="8" s="1"/>
  <c r="V6" i="8"/>
  <c r="X6" i="8" s="1"/>
  <c r="V55" i="8"/>
  <c r="X55" i="8" s="1"/>
  <c r="V142" i="8"/>
  <c r="X142" i="8" s="1"/>
  <c r="V217" i="8"/>
  <c r="X217" i="8" s="1"/>
  <c r="V15" i="8"/>
  <c r="X15" i="8" s="1"/>
  <c r="V14" i="8"/>
  <c r="X14" i="8" s="1"/>
  <c r="V196" i="8"/>
  <c r="X196" i="8" s="1"/>
  <c r="V131" i="8"/>
  <c r="X131" i="8" s="1"/>
  <c r="V236" i="8"/>
  <c r="X236" i="8" s="1"/>
  <c r="V249" i="8"/>
  <c r="X249" i="8" s="1"/>
  <c r="V229" i="8"/>
  <c r="X229" i="8" s="1"/>
  <c r="V34" i="8"/>
  <c r="X34" i="8" s="1"/>
  <c r="V2" i="8"/>
  <c r="X2" i="8" s="1"/>
  <c r="V110" i="8"/>
  <c r="X110" i="8" s="1"/>
  <c r="V42" i="8"/>
  <c r="X42" i="8" s="1"/>
  <c r="V114" i="8"/>
  <c r="X114" i="8" s="1"/>
  <c r="V193" i="8"/>
  <c r="X193" i="8" s="1"/>
  <c r="V167" i="8"/>
  <c r="X167" i="8" s="1"/>
  <c r="V270" i="8"/>
  <c r="X270" i="8" s="1"/>
  <c r="V231" i="8"/>
  <c r="X231" i="8" s="1"/>
  <c r="V21" i="8"/>
  <c r="X21" i="8" s="1"/>
  <c r="V168" i="8"/>
  <c r="X168" i="8" s="1"/>
  <c r="V246" i="8"/>
  <c r="X246" i="8" s="1"/>
  <c r="V16" i="8"/>
  <c r="X16" i="8" s="1"/>
  <c r="V144" i="8"/>
  <c r="X144" i="8" s="1"/>
  <c r="V94" i="8"/>
  <c r="X94" i="8" s="1"/>
  <c r="V239" i="8"/>
  <c r="X239" i="8" s="1"/>
  <c r="V58" i="8"/>
  <c r="X58" i="8" s="1"/>
  <c r="V28" i="8"/>
  <c r="X28" i="8" s="1"/>
  <c r="V107" i="8"/>
  <c r="X107" i="8" s="1"/>
  <c r="V192" i="8"/>
  <c r="X192" i="8" s="1"/>
  <c r="V227" i="8"/>
  <c r="X227" i="8" s="1"/>
  <c r="V188" i="8"/>
  <c r="X188" i="8" s="1"/>
  <c r="V35" i="8"/>
  <c r="X35" i="8" s="1"/>
  <c r="V36" i="8"/>
  <c r="X36" i="8" s="1"/>
  <c r="V62" i="8"/>
  <c r="X62" i="8" s="1"/>
  <c r="V126" i="8"/>
  <c r="X126" i="8" s="1"/>
  <c r="V162" i="8"/>
  <c r="X162" i="8" s="1"/>
  <c r="V47" i="8"/>
  <c r="X47" i="8" s="1"/>
  <c r="V43" i="8"/>
  <c r="X43" i="8" s="1"/>
  <c r="V70" i="8"/>
  <c r="X70" i="8" s="1"/>
  <c r="V3" i="8"/>
  <c r="X3" i="8" s="1"/>
  <c r="V75" i="8"/>
  <c r="X75" i="8" s="1"/>
  <c r="V158" i="8"/>
  <c r="X158" i="8" s="1"/>
  <c r="V262" i="8"/>
  <c r="X262" i="8" s="1"/>
  <c r="V240" i="8"/>
  <c r="X240" i="8" s="1"/>
  <c r="V199" i="8"/>
  <c r="X199" i="8" s="1"/>
  <c r="V305" i="8"/>
  <c r="X305" i="8" s="1"/>
  <c r="V79" i="8"/>
  <c r="X79" i="8" s="1"/>
  <c r="V146" i="8"/>
  <c r="X146" i="8" s="1"/>
  <c r="V124" i="8"/>
  <c r="X124" i="8" s="1"/>
  <c r="V10" i="8"/>
  <c r="X10" i="8" s="1"/>
  <c r="V73" i="8"/>
  <c r="X73" i="8" s="1"/>
  <c r="V177" i="8"/>
  <c r="X177" i="8" s="1"/>
  <c r="V145" i="8"/>
  <c r="X145" i="8" s="1"/>
  <c r="V33" i="8"/>
  <c r="X33" i="8" s="1"/>
  <c r="V127" i="8"/>
  <c r="X127" i="8" s="1"/>
  <c r="V200" i="8"/>
  <c r="X200" i="8" s="1"/>
  <c r="V248" i="8"/>
  <c r="X248" i="8" s="1"/>
  <c r="V241" i="8"/>
  <c r="X241" i="8" s="1"/>
  <c r="V5" i="8"/>
  <c r="X5" i="8" s="1"/>
  <c r="V189" i="8"/>
  <c r="X189" i="8" s="1"/>
  <c r="V228" i="8"/>
  <c r="X228" i="8" s="1"/>
  <c r="V245" i="8"/>
  <c r="X245" i="8" s="1"/>
  <c r="V125" i="8"/>
  <c r="X125" i="8" s="1"/>
  <c r="V71" i="8"/>
  <c r="X71" i="8" s="1"/>
  <c r="V155" i="8"/>
  <c r="X155" i="8" s="1"/>
  <c r="V255" i="8"/>
  <c r="X255" i="8" s="1"/>
  <c r="V223" i="8"/>
  <c r="X223" i="8" s="1"/>
  <c r="V278" i="8"/>
  <c r="X278" i="8" s="1"/>
  <c r="V143" i="8"/>
  <c r="X143" i="8" s="1"/>
  <c r="V186" i="8"/>
  <c r="X186" i="8" s="1"/>
  <c r="V219" i="8"/>
  <c r="X219" i="8" s="1"/>
  <c r="V103" i="8"/>
  <c r="X103" i="8" s="1"/>
  <c r="V354" i="8"/>
  <c r="X354" i="8" s="1"/>
  <c r="V93" i="8"/>
  <c r="X93" i="8" s="1"/>
  <c r="V88" i="8"/>
  <c r="X88" i="8" s="1"/>
  <c r="V187" i="8"/>
  <c r="X187" i="8" s="1"/>
  <c r="V207" i="8"/>
  <c r="X207" i="8" s="1"/>
  <c r="V183" i="8"/>
  <c r="X183" i="8" s="1"/>
  <c r="V7" i="8"/>
  <c r="X7" i="8" s="1"/>
  <c r="V105" i="8"/>
  <c r="X105" i="8" s="1"/>
  <c r="V37" i="8"/>
  <c r="X37" i="8" s="1"/>
  <c r="V95" i="8"/>
  <c r="X95" i="8" s="1"/>
  <c r="V298" i="8"/>
  <c r="X298" i="8" s="1"/>
  <c r="V68" i="8"/>
  <c r="X68" i="8" s="1"/>
  <c r="V80" i="8"/>
  <c r="X80" i="8" s="1"/>
  <c r="V96" i="8"/>
  <c r="X96" i="8" s="1"/>
  <c r="V250" i="8"/>
  <c r="X250" i="8" s="1"/>
  <c r="V26" i="8"/>
  <c r="X26" i="8" s="1"/>
  <c r="V185" i="8"/>
  <c r="X185" i="8" s="1"/>
  <c r="V232" i="8"/>
  <c r="X232" i="8" s="1"/>
  <c r="V256" i="8"/>
  <c r="X256" i="8" s="1"/>
  <c r="V9" i="8"/>
  <c r="X9" i="8" s="1"/>
  <c r="V54" i="8"/>
  <c r="X54" i="8" s="1"/>
  <c r="V120" i="8"/>
  <c r="X120" i="8" s="1"/>
  <c r="V216" i="8"/>
  <c r="X216" i="8" s="1"/>
  <c r="V100" i="8"/>
  <c r="X100" i="8" s="1"/>
  <c r="V291" i="8"/>
  <c r="X291" i="8" s="1"/>
  <c r="V84" i="8"/>
  <c r="X84" i="8" s="1"/>
  <c r="V220" i="8"/>
  <c r="X220" i="8" s="1"/>
  <c r="V179" i="8"/>
  <c r="X179" i="8" s="1"/>
  <c r="V221" i="8"/>
  <c r="X221" i="8" s="1"/>
  <c r="V237" i="8"/>
  <c r="X237" i="8" s="1"/>
  <c r="V30" i="8"/>
  <c r="X30" i="8" s="1"/>
  <c r="V20" i="8"/>
  <c r="X20" i="8" s="1"/>
  <c r="V59" i="8"/>
  <c r="X59" i="8" s="1"/>
  <c r="V101" i="8"/>
  <c r="X101" i="8" s="1"/>
  <c r="V159" i="8"/>
  <c r="X159" i="8" s="1"/>
  <c r="V233" i="8"/>
  <c r="X233" i="8" s="1"/>
  <c r="V32" i="8"/>
  <c r="X32" i="8" s="1"/>
  <c r="V154" i="8"/>
  <c r="X154" i="8" s="1"/>
  <c r="V116" i="8"/>
  <c r="X116" i="8" s="1"/>
  <c r="V112" i="8"/>
  <c r="X112" i="8" s="1"/>
  <c r="V261" i="8"/>
  <c r="X261" i="8" s="1"/>
  <c r="V138" i="8"/>
  <c r="X138" i="8" s="1"/>
  <c r="V111" i="8"/>
  <c r="X111" i="8" s="1"/>
  <c r="V104" i="8"/>
  <c r="X104" i="8" s="1"/>
  <c r="V139" i="8"/>
  <c r="X139" i="8" s="1"/>
  <c r="V206" i="8"/>
  <c r="X206" i="8" s="1"/>
  <c r="V361" i="8"/>
  <c r="X361" i="8" s="1"/>
  <c r="V272" i="8"/>
  <c r="X272" i="8" s="1"/>
  <c r="V214" i="8"/>
  <c r="X214" i="8" s="1"/>
  <c r="V149" i="8"/>
  <c r="X149" i="8" s="1"/>
  <c r="V8" i="8"/>
  <c r="X8" i="8" s="1"/>
  <c r="V134" i="8"/>
  <c r="X134" i="8" s="1"/>
  <c r="V91" i="8"/>
  <c r="X91" i="8" s="1"/>
  <c r="V29" i="8"/>
  <c r="X29" i="8" s="1"/>
  <c r="V92" i="8"/>
  <c r="X92" i="8" s="1"/>
  <c r="V69" i="8"/>
  <c r="X69" i="8" s="1"/>
  <c r="V243" i="8"/>
  <c r="X243" i="8" s="1"/>
  <c r="V178" i="8"/>
  <c r="X178" i="8" s="1"/>
  <c r="V209" i="8"/>
  <c r="X209" i="8" s="1"/>
  <c r="V242" i="8"/>
  <c r="X242" i="8" s="1"/>
  <c r="V89" i="8"/>
  <c r="X89" i="8" s="1"/>
  <c r="V141" i="8"/>
  <c r="X141" i="8" s="1"/>
  <c r="V121" i="8"/>
  <c r="X121" i="8" s="1"/>
  <c r="V174" i="8"/>
  <c r="X174" i="8" s="1"/>
  <c r="V226" i="8"/>
  <c r="X226" i="8" s="1"/>
  <c r="V319" i="8"/>
  <c r="X319" i="8" s="1"/>
  <c r="V115" i="8"/>
  <c r="X115" i="8" s="1"/>
  <c r="V257" i="8"/>
  <c r="X257" i="8" s="1"/>
  <c r="V67" i="8"/>
  <c r="X67" i="8" s="1"/>
  <c r="V169" i="8"/>
  <c r="X169" i="8" s="1"/>
  <c r="V135" i="8"/>
  <c r="X135" i="8" s="1"/>
  <c r="V176" i="8"/>
  <c r="X176" i="8" s="1"/>
  <c r="V204" i="8"/>
  <c r="X204" i="8" s="1"/>
  <c r="V180" i="8"/>
  <c r="X180" i="8" s="1"/>
  <c r="V173" i="8"/>
  <c r="X173" i="8" s="1"/>
  <c r="V197" i="8"/>
  <c r="X197" i="8" s="1"/>
  <c r="V222" i="8"/>
  <c r="X222" i="8" s="1"/>
  <c r="V106" i="8"/>
  <c r="X106" i="8" s="1"/>
  <c r="V12" i="8"/>
  <c r="X12" i="8" s="1"/>
  <c r="V52" i="8"/>
  <c r="X52" i="8" s="1"/>
  <c r="V252" i="8"/>
  <c r="X252" i="8" s="1"/>
  <c r="V24" i="8"/>
  <c r="X24" i="8" s="1"/>
  <c r="V151" i="8"/>
  <c r="X151" i="8" s="1"/>
  <c r="V97" i="8"/>
  <c r="X97" i="8" s="1"/>
  <c r="V251" i="8"/>
  <c r="X251" i="8" s="1"/>
  <c r="V140" i="8"/>
  <c r="X140" i="8" s="1"/>
  <c r="V254" i="8"/>
  <c r="X254" i="8" s="1"/>
  <c r="V260" i="8"/>
  <c r="X260" i="8" s="1"/>
  <c r="V53" i="8"/>
  <c r="X53" i="8" s="1"/>
  <c r="V48" i="8"/>
  <c r="X48" i="8" s="1"/>
  <c r="V160" i="8"/>
  <c r="X160" i="8" s="1"/>
  <c r="V122" i="8"/>
  <c r="X122" i="8" s="1"/>
  <c r="V171" i="8"/>
  <c r="X171" i="8" s="1"/>
  <c r="V201" i="8"/>
  <c r="X201" i="8" s="1"/>
  <c r="V175" i="8"/>
  <c r="X175" i="8" s="1"/>
  <c r="V215" i="8"/>
  <c r="X215" i="8" s="1"/>
  <c r="V284" i="8"/>
  <c r="X284" i="8" s="1"/>
  <c r="V224" i="8"/>
  <c r="X224" i="8" s="1"/>
  <c r="V18" i="8"/>
  <c r="X18" i="8" s="1"/>
  <c r="V66" i="8"/>
  <c r="X66" i="8" s="1"/>
  <c r="V98" i="8"/>
  <c r="X98" i="8" s="1"/>
  <c r="V230" i="8"/>
  <c r="X230" i="8" s="1"/>
  <c r="V163" i="8"/>
  <c r="X163" i="8" s="1"/>
  <c r="V44" i="8"/>
  <c r="X44" i="8" s="1"/>
  <c r="V113" i="8"/>
  <c r="X113" i="8" s="1"/>
  <c r="V277" i="8"/>
  <c r="X277" i="8" s="1"/>
  <c r="V41" i="8"/>
  <c r="X41" i="8" s="1"/>
  <c r="V326" i="8"/>
  <c r="X326" i="8" s="1"/>
  <c r="V77" i="8"/>
  <c r="X77" i="8" s="1"/>
  <c r="V82" i="8"/>
  <c r="X82" i="8" s="1"/>
  <c r="V191" i="8"/>
  <c r="X191" i="8" s="1"/>
  <c r="V46" i="8"/>
  <c r="X46" i="8" s="1"/>
  <c r="V234" i="8"/>
  <c r="X234" i="8" s="1"/>
  <c r="V49" i="8"/>
  <c r="X49" i="8" s="1"/>
  <c r="V83" i="8"/>
  <c r="X83" i="8" s="1"/>
  <c r="V130" i="8"/>
  <c r="X130" i="8" s="1"/>
  <c r="V90" i="8"/>
  <c r="X90" i="8" s="1"/>
  <c r="V182" i="8"/>
  <c r="X182" i="8" s="1"/>
  <c r="V247" i="8"/>
  <c r="X247" i="8" s="1"/>
  <c r="V74" i="8"/>
  <c r="X74" i="8" s="1"/>
  <c r="V50" i="8"/>
  <c r="X50" i="8" s="1"/>
  <c r="V153" i="8"/>
  <c r="X153" i="8" s="1"/>
  <c r="V203" i="8"/>
  <c r="X203" i="8" s="1"/>
  <c r="V87" i="8"/>
  <c r="X87" i="8" s="1"/>
  <c r="V31" i="8"/>
  <c r="X31" i="8" s="1"/>
  <c r="V148" i="8"/>
  <c r="X148" i="8" s="1"/>
  <c r="V45" i="8"/>
  <c r="X45" i="8" s="1"/>
  <c r="V364" i="8"/>
  <c r="X364" i="8" s="1"/>
  <c r="V363" i="8"/>
  <c r="X363" i="8" s="1"/>
  <c r="V358" i="8"/>
  <c r="X358" i="8" s="1"/>
  <c r="V362" i="8"/>
  <c r="X362" i="8" s="1"/>
  <c r="V359" i="8"/>
  <c r="X359" i="8" s="1"/>
  <c r="V360" i="8"/>
  <c r="X360" i="8" s="1"/>
  <c r="V356" i="8"/>
  <c r="X356" i="8" s="1"/>
  <c r="V357" i="8"/>
  <c r="X357" i="8" s="1"/>
  <c r="V353" i="8"/>
  <c r="X353" i="8" s="1"/>
  <c r="V355" i="8"/>
  <c r="X355" i="8" s="1"/>
  <c r="V352" i="8"/>
  <c r="X352" i="8" s="1"/>
  <c r="V351" i="8"/>
  <c r="X351" i="8" s="1"/>
  <c r="V345" i="8"/>
  <c r="X345" i="8" s="1"/>
  <c r="V350" i="8"/>
  <c r="X350" i="8" s="1"/>
  <c r="V342" i="8"/>
  <c r="X342" i="8" s="1"/>
  <c r="V343" i="8"/>
  <c r="X343" i="8" s="1"/>
  <c r="V344" i="8"/>
  <c r="X344" i="8" s="1"/>
  <c r="V349" i="8"/>
  <c r="X349" i="8" s="1"/>
  <c r="V346" i="8"/>
  <c r="X346" i="8" s="1"/>
  <c r="V348" i="8"/>
  <c r="X348" i="8" s="1"/>
  <c r="V339" i="8"/>
  <c r="X339" i="8" s="1"/>
  <c r="V336" i="8"/>
  <c r="X336" i="8" s="1"/>
  <c r="V337" i="8"/>
  <c r="X337" i="8" s="1"/>
  <c r="V341" i="8"/>
  <c r="X341" i="8" s="1"/>
  <c r="V338" i="8"/>
  <c r="X338" i="8" s="1"/>
  <c r="V335" i="8"/>
  <c r="X335" i="8" s="1"/>
  <c r="V330" i="8"/>
  <c r="X330" i="8" s="1"/>
  <c r="V334" i="8"/>
  <c r="X334" i="8" s="1"/>
  <c r="V331" i="8"/>
  <c r="X331" i="8" s="1"/>
  <c r="V332" i="8"/>
  <c r="X332" i="8" s="1"/>
  <c r="V329" i="8"/>
  <c r="X329" i="8" s="1"/>
  <c r="V322" i="8"/>
  <c r="X322" i="8" s="1"/>
  <c r="V324" i="8"/>
  <c r="X324" i="8" s="1"/>
  <c r="V323" i="8"/>
  <c r="X323" i="8" s="1"/>
  <c r="V321" i="8"/>
  <c r="X321" i="8" s="1"/>
  <c r="V325" i="8"/>
  <c r="X325" i="8" s="1"/>
  <c r="V315" i="8"/>
  <c r="X315" i="8" s="1"/>
  <c r="V317" i="8"/>
  <c r="X317" i="8" s="1"/>
  <c r="V308" i="8"/>
  <c r="X308" i="8" s="1"/>
  <c r="V314" i="8"/>
  <c r="X314" i="8" s="1"/>
  <c r="V309" i="8"/>
  <c r="X309" i="8" s="1"/>
  <c r="V320" i="8"/>
  <c r="X320" i="8" s="1"/>
  <c r="V318" i="8"/>
  <c r="X318" i="8" s="1"/>
  <c r="V313" i="8"/>
  <c r="X313" i="8" s="1"/>
  <c r="V316" i="8"/>
  <c r="X316" i="8" s="1"/>
  <c r="V311" i="8"/>
  <c r="X311" i="8" s="1"/>
  <c r="V310" i="8"/>
  <c r="X310" i="8" s="1"/>
  <c r="V306" i="8"/>
  <c r="X306" i="8" s="1"/>
  <c r="V307" i="8"/>
  <c r="X307" i="8" s="1"/>
  <c r="V279" i="8"/>
  <c r="X279" i="8" s="1"/>
  <c r="V283" i="8"/>
  <c r="X283" i="8" s="1"/>
  <c r="V292" i="8"/>
  <c r="X292" i="8" s="1"/>
  <c r="V290" i="8"/>
  <c r="X290" i="8" s="1"/>
  <c r="V288" i="8"/>
  <c r="X288" i="8" s="1"/>
  <c r="V296" i="8"/>
  <c r="X296" i="8" s="1"/>
  <c r="V297" i="8"/>
  <c r="X297" i="8" s="1"/>
  <c r="V281" i="8"/>
  <c r="X281" i="8" s="1"/>
  <c r="V287" i="8"/>
  <c r="X287" i="8" s="1"/>
  <c r="V301" i="8"/>
  <c r="X301" i="8" s="1"/>
  <c r="V302" i="8"/>
  <c r="X302" i="8" s="1"/>
  <c r="V285" i="8"/>
  <c r="X285" i="8" s="1"/>
  <c r="V286" i="8"/>
  <c r="X286" i="8" s="1"/>
  <c r="V293" i="8"/>
  <c r="X293" i="8" s="1"/>
  <c r="V295" i="8"/>
  <c r="X295" i="8" s="1"/>
  <c r="V282" i="8"/>
  <c r="X282" i="8" s="1"/>
  <c r="V294" i="8"/>
  <c r="X294" i="8" s="1"/>
  <c r="V300" i="8"/>
  <c r="X300" i="8" s="1"/>
  <c r="V289" i="8"/>
  <c r="X289" i="8" s="1"/>
  <c r="V280" i="8"/>
  <c r="X280" i="8" s="1"/>
  <c r="V299" i="8"/>
  <c r="X299" i="8" s="1"/>
  <c r="V304" i="8"/>
  <c r="X304" i="8" s="1"/>
  <c r="V303" i="8"/>
  <c r="X303" i="8" s="1"/>
  <c r="V274" i="8"/>
  <c r="X274" i="8" s="1"/>
  <c r="V269" i="8"/>
  <c r="X269" i="8" s="1"/>
  <c r="V266" i="8"/>
  <c r="X266" i="8" s="1"/>
  <c r="V264" i="8"/>
  <c r="X264" i="8" s="1"/>
  <c r="V265" i="8"/>
  <c r="X265" i="8" s="1"/>
  <c r="V273" i="8"/>
  <c r="X273" i="8" s="1"/>
  <c r="V268" i="8"/>
  <c r="X268" i="8" s="1"/>
  <c r="V267" i="8"/>
  <c r="X267" i="8" s="1"/>
  <c r="V276" i="8"/>
  <c r="X276" i="8" s="1"/>
  <c r="V275" i="8"/>
  <c r="X275" i="8" s="1"/>
  <c r="AA5" i="8"/>
  <c r="AA6" i="10"/>
  <c r="V209" i="10" s="1"/>
  <c r="X209" i="10" s="1"/>
  <c r="AE5" i="11"/>
  <c r="AE6" i="11" s="1"/>
  <c r="AB5" i="11" s="1"/>
  <c r="AA10" i="11"/>
  <c r="AA9" i="11"/>
  <c r="AE4" i="11"/>
  <c r="AE9" i="11"/>
  <c r="AH5" i="11"/>
  <c r="AH4" i="11"/>
  <c r="AE11" i="11"/>
  <c r="AE10" i="11"/>
  <c r="AE6" i="9"/>
  <c r="AB5" i="9" s="1"/>
  <c r="AA5" i="10"/>
  <c r="AA5" i="9"/>
  <c r="AH6" i="9"/>
  <c r="AB6" i="9" s="1"/>
  <c r="AE4" i="12"/>
  <c r="AA10" i="12"/>
  <c r="AA9" i="12"/>
  <c r="AE5" i="12"/>
  <c r="AE11" i="12"/>
  <c r="AH4" i="12"/>
  <c r="AE10" i="12"/>
  <c r="AE9" i="12"/>
  <c r="AH5" i="12"/>
  <c r="L346" i="10"/>
  <c r="L348" i="10" s="1"/>
  <c r="L349" i="10" s="1"/>
  <c r="L350" i="10" s="1"/>
  <c r="L351" i="10" s="1"/>
  <c r="L345" i="10"/>
  <c r="K346" i="10"/>
  <c r="K348" i="10" s="1"/>
  <c r="K349" i="10" s="1"/>
  <c r="K350" i="10" s="1"/>
  <c r="K351" i="10" s="1"/>
  <c r="K345" i="10"/>
  <c r="L331" i="11"/>
  <c r="L332" i="11" s="1"/>
  <c r="L334" i="11" s="1"/>
  <c r="L335" i="11" s="1"/>
  <c r="L336" i="11" s="1"/>
  <c r="L337" i="11" s="1"/>
  <c r="L338" i="11" s="1"/>
  <c r="L339" i="11" s="1"/>
  <c r="L341" i="11" s="1"/>
  <c r="L343" i="11" s="1"/>
  <c r="L344" i="11" s="1"/>
  <c r="L345" i="11" s="1"/>
  <c r="L346" i="11" s="1"/>
  <c r="L348" i="11" s="1"/>
  <c r="K331" i="11"/>
  <c r="K332" i="11" s="1"/>
  <c r="K334" i="11" s="1"/>
  <c r="K335" i="11" s="1"/>
  <c r="K336" i="11" s="1"/>
  <c r="K337" i="11" s="1"/>
  <c r="K338" i="11" s="1"/>
  <c r="K339" i="11" s="1"/>
  <c r="K341" i="11" s="1"/>
  <c r="K343" i="11" s="1"/>
  <c r="K344" i="11" s="1"/>
  <c r="K345" i="11" s="1"/>
  <c r="K346" i="11" s="1"/>
  <c r="K348" i="11" s="1"/>
  <c r="K318" i="12"/>
  <c r="K320" i="12" s="1"/>
  <c r="K321" i="12" s="1"/>
  <c r="K322" i="12" s="1"/>
  <c r="K323" i="12" s="1"/>
  <c r="K324" i="12" s="1"/>
  <c r="K325" i="12" s="1"/>
  <c r="K327" i="12" s="1"/>
  <c r="K328" i="12" s="1"/>
  <c r="K329" i="12" s="1"/>
  <c r="K330" i="12" s="1"/>
  <c r="K331" i="12" s="1"/>
  <c r="K332" i="12" s="1"/>
  <c r="K334" i="12" s="1"/>
  <c r="K335" i="12" s="1"/>
  <c r="K336" i="12" s="1"/>
  <c r="K337" i="12" s="1"/>
  <c r="K338" i="12" s="1"/>
  <c r="K339" i="12" s="1"/>
  <c r="K341" i="12" s="1"/>
  <c r="K342" i="12" s="1"/>
  <c r="K343" i="12" s="1"/>
  <c r="K344" i="12" s="1"/>
  <c r="K345" i="12" s="1"/>
  <c r="K346" i="12" s="1"/>
  <c r="K348" i="12" s="1"/>
  <c r="K349" i="12" s="1"/>
  <c r="K350" i="12" s="1"/>
  <c r="K351" i="12" s="1"/>
  <c r="K352" i="12" s="1"/>
  <c r="K353" i="12" s="1"/>
  <c r="K355" i="12" s="1"/>
  <c r="K356" i="12" s="1"/>
  <c r="K357" i="12" s="1"/>
  <c r="K358" i="12" s="1"/>
  <c r="K359" i="12" s="1"/>
  <c r="K360" i="12" s="1"/>
  <c r="K362" i="12" s="1"/>
  <c r="K363" i="12" s="1"/>
  <c r="K364" i="12" s="1"/>
  <c r="K365" i="12" s="1"/>
  <c r="K366" i="12" s="1"/>
  <c r="J318" i="12"/>
  <c r="J320" i="12" s="1"/>
  <c r="J321" i="12" s="1"/>
  <c r="J322" i="12" s="1"/>
  <c r="J323" i="12" s="1"/>
  <c r="J324" i="12" s="1"/>
  <c r="J325" i="12" s="1"/>
  <c r="J327" i="12" s="1"/>
  <c r="J328" i="12" s="1"/>
  <c r="J329" i="12" s="1"/>
  <c r="J330" i="12" s="1"/>
  <c r="J331" i="12" s="1"/>
  <c r="J332" i="12" s="1"/>
  <c r="J334" i="12" s="1"/>
  <c r="J335" i="12" s="1"/>
  <c r="I318" i="12"/>
  <c r="I320" i="12" s="1"/>
  <c r="I321" i="12" s="1"/>
  <c r="I322" i="12" s="1"/>
  <c r="I323" i="12" s="1"/>
  <c r="I324" i="12" s="1"/>
  <c r="I325" i="12" s="1"/>
  <c r="I327" i="12" s="1"/>
  <c r="I328" i="12" s="1"/>
  <c r="I329" i="12" s="1"/>
  <c r="I330" i="12" s="1"/>
  <c r="I331" i="12" s="1"/>
  <c r="I332" i="12" s="1"/>
  <c r="I334" i="12" s="1"/>
  <c r="I335" i="12" s="1"/>
  <c r="L318" i="12"/>
  <c r="L320" i="12" s="1"/>
  <c r="L321" i="12" s="1"/>
  <c r="L322" i="12" s="1"/>
  <c r="L323" i="12" s="1"/>
  <c r="L324" i="12" s="1"/>
  <c r="L325" i="12" s="1"/>
  <c r="L327" i="12" s="1"/>
  <c r="L328" i="12" s="1"/>
  <c r="L329" i="12" s="1"/>
  <c r="L330" i="12" s="1"/>
  <c r="L331" i="12" s="1"/>
  <c r="L332" i="12" s="1"/>
  <c r="L334" i="12" s="1"/>
  <c r="L335" i="12" s="1"/>
  <c r="L336" i="12" s="1"/>
  <c r="L337" i="12" s="1"/>
  <c r="L338" i="12" s="1"/>
  <c r="L339" i="12" s="1"/>
  <c r="L341" i="12" s="1"/>
  <c r="L342" i="12" s="1"/>
  <c r="L343" i="12" s="1"/>
  <c r="L344" i="12" s="1"/>
  <c r="L345" i="12" s="1"/>
  <c r="L346" i="12" s="1"/>
  <c r="L348" i="12" s="1"/>
  <c r="L349" i="12" s="1"/>
  <c r="L350" i="12" s="1"/>
  <c r="L351" i="12" s="1"/>
  <c r="L352" i="12" s="1"/>
  <c r="L353" i="12" s="1"/>
  <c r="L355" i="12" s="1"/>
  <c r="L356" i="12" s="1"/>
  <c r="L357" i="12" s="1"/>
  <c r="L358" i="12" s="1"/>
  <c r="L359" i="12" s="1"/>
  <c r="L360" i="12" s="1"/>
  <c r="L362" i="12" s="1"/>
  <c r="L363" i="12" s="1"/>
  <c r="L364" i="12" s="1"/>
  <c r="L365" i="12" s="1"/>
  <c r="L366" i="12" s="1"/>
  <c r="D20" i="2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V282" i="10" l="1"/>
  <c r="X282" i="10" s="1"/>
  <c r="V325" i="10"/>
  <c r="X325" i="10" s="1"/>
  <c r="V299" i="10"/>
  <c r="X299" i="10" s="1"/>
  <c r="V338" i="10"/>
  <c r="X338" i="10" s="1"/>
  <c r="V91" i="10"/>
  <c r="X91" i="10" s="1"/>
  <c r="V357" i="10"/>
  <c r="X357" i="10" s="1"/>
  <c r="V19" i="10"/>
  <c r="X19" i="10" s="1"/>
  <c r="V26" i="10"/>
  <c r="X26" i="10" s="1"/>
  <c r="V30" i="10"/>
  <c r="X30" i="10" s="1"/>
  <c r="V120" i="10"/>
  <c r="X120" i="10" s="1"/>
  <c r="V63" i="10"/>
  <c r="X63" i="10" s="1"/>
  <c r="V264" i="10"/>
  <c r="X264" i="10" s="1"/>
  <c r="V364" i="10"/>
  <c r="X364" i="10" s="1"/>
  <c r="V33" i="10"/>
  <c r="X33" i="10" s="1"/>
  <c r="V110" i="10"/>
  <c r="X110" i="10" s="1"/>
  <c r="V260" i="10"/>
  <c r="X260" i="10" s="1"/>
  <c r="V286" i="10"/>
  <c r="X286" i="10" s="1"/>
  <c r="V315" i="10"/>
  <c r="X315" i="10" s="1"/>
  <c r="V339" i="10"/>
  <c r="X339" i="10" s="1"/>
  <c r="V349" i="10"/>
  <c r="X349" i="10" s="1"/>
  <c r="V3" i="10"/>
  <c r="X3" i="10" s="1"/>
  <c r="V25" i="10"/>
  <c r="X25" i="10" s="1"/>
  <c r="V38" i="10"/>
  <c r="X38" i="10" s="1"/>
  <c r="V212" i="10"/>
  <c r="X212" i="10" s="1"/>
  <c r="V43" i="10"/>
  <c r="X43" i="10" s="1"/>
  <c r="V60" i="10"/>
  <c r="X60" i="10" s="1"/>
  <c r="V232" i="10"/>
  <c r="X232" i="10" s="1"/>
  <c r="V249" i="10"/>
  <c r="X249" i="10" s="1"/>
  <c r="V99" i="10"/>
  <c r="X99" i="10" s="1"/>
  <c r="V267" i="10"/>
  <c r="X267" i="10" s="1"/>
  <c r="V295" i="10"/>
  <c r="X295" i="10" s="1"/>
  <c r="V303" i="10"/>
  <c r="X303" i="10" s="1"/>
  <c r="V337" i="10"/>
  <c r="X337" i="10" s="1"/>
  <c r="V356" i="10"/>
  <c r="X356" i="10" s="1"/>
  <c r="V16" i="10"/>
  <c r="X16" i="10" s="1"/>
  <c r="V41" i="10"/>
  <c r="X41" i="10" s="1"/>
  <c r="V54" i="10"/>
  <c r="X54" i="10" s="1"/>
  <c r="V238" i="10"/>
  <c r="X238" i="10" s="1"/>
  <c r="V56" i="10"/>
  <c r="X56" i="10" s="1"/>
  <c r="V95" i="10"/>
  <c r="X95" i="10" s="1"/>
  <c r="V248" i="10"/>
  <c r="X248" i="10" s="1"/>
  <c r="V319" i="10"/>
  <c r="X319" i="10" s="1"/>
  <c r="V23" i="10"/>
  <c r="X23" i="10" s="1"/>
  <c r="V46" i="10"/>
  <c r="X46" i="10" s="1"/>
  <c r="V270" i="10"/>
  <c r="X270" i="10" s="1"/>
  <c r="V150" i="10"/>
  <c r="X150" i="10" s="1"/>
  <c r="V114" i="10"/>
  <c r="X114" i="10" s="1"/>
  <c r="V126" i="10"/>
  <c r="X126" i="10" s="1"/>
  <c r="V92" i="10"/>
  <c r="X92" i="10" s="1"/>
  <c r="V348" i="10"/>
  <c r="X348" i="10" s="1"/>
  <c r="V13" i="10"/>
  <c r="X13" i="10" s="1"/>
  <c r="V106" i="10"/>
  <c r="X106" i="10" s="1"/>
  <c r="V344" i="10"/>
  <c r="X344" i="10" s="1"/>
  <c r="V273" i="10"/>
  <c r="X273" i="10" s="1"/>
  <c r="V318" i="10"/>
  <c r="X318" i="10" s="1"/>
  <c r="V331" i="10"/>
  <c r="X331" i="10" s="1"/>
  <c r="V342" i="10"/>
  <c r="X342" i="10" s="1"/>
  <c r="V363" i="10"/>
  <c r="X363" i="10" s="1"/>
  <c r="V124" i="10"/>
  <c r="X124" i="10" s="1"/>
  <c r="V29" i="10"/>
  <c r="X29" i="10" s="1"/>
  <c r="V36" i="10"/>
  <c r="X36" i="10" s="1"/>
  <c r="V68" i="10"/>
  <c r="X68" i="10" s="1"/>
  <c r="V2" i="10"/>
  <c r="X2" i="10" s="1"/>
  <c r="V157" i="10"/>
  <c r="X157" i="10" s="1"/>
  <c r="V181" i="10"/>
  <c r="X181" i="10" s="1"/>
  <c r="V192" i="10"/>
  <c r="X192" i="10" s="1"/>
  <c r="V334" i="10"/>
  <c r="X334" i="10" s="1"/>
  <c r="V20" i="10"/>
  <c r="X20" i="10" s="1"/>
  <c r="V236" i="10"/>
  <c r="X236" i="10" s="1"/>
  <c r="V283" i="10"/>
  <c r="X283" i="10" s="1"/>
  <c r="V329" i="10"/>
  <c r="X329" i="10" s="1"/>
  <c r="V359" i="10"/>
  <c r="X359" i="10" s="1"/>
  <c r="V263" i="10"/>
  <c r="X263" i="10" s="1"/>
  <c r="V266" i="10"/>
  <c r="X266" i="10" s="1"/>
  <c r="V302" i="10"/>
  <c r="X302" i="10" s="1"/>
  <c r="V332" i="10"/>
  <c r="X332" i="10" s="1"/>
  <c r="V343" i="10"/>
  <c r="X343" i="10" s="1"/>
  <c r="V358" i="10"/>
  <c r="X358" i="10" s="1"/>
  <c r="V153" i="10"/>
  <c r="X153" i="10" s="1"/>
  <c r="V42" i="10"/>
  <c r="X42" i="10" s="1"/>
  <c r="V39" i="10"/>
  <c r="X39" i="10" s="1"/>
  <c r="V174" i="10"/>
  <c r="X174" i="10" s="1"/>
  <c r="V50" i="10"/>
  <c r="X50" i="10" s="1"/>
  <c r="V161" i="10"/>
  <c r="X161" i="10" s="1"/>
  <c r="V285" i="10"/>
  <c r="X285" i="10" s="1"/>
  <c r="V186" i="10"/>
  <c r="X186" i="10" s="1"/>
  <c r="V198" i="10"/>
  <c r="X198" i="10" s="1"/>
  <c r="V296" i="10"/>
  <c r="X296" i="10" s="1"/>
  <c r="V61" i="10"/>
  <c r="X61" i="10" s="1"/>
  <c r="V244" i="10"/>
  <c r="X244" i="10" s="1"/>
  <c r="V300" i="10"/>
  <c r="X300" i="10" s="1"/>
  <c r="V65" i="10"/>
  <c r="X65" i="10" s="1"/>
  <c r="V265" i="10"/>
  <c r="X265" i="10" s="1"/>
  <c r="V262" i="10"/>
  <c r="X262" i="10" s="1"/>
  <c r="V316" i="10"/>
  <c r="X316" i="10" s="1"/>
  <c r="V336" i="10"/>
  <c r="X336" i="10" s="1"/>
  <c r="V353" i="10"/>
  <c r="X353" i="10" s="1"/>
  <c r="V57" i="10"/>
  <c r="X57" i="10" s="1"/>
  <c r="V6" i="10"/>
  <c r="X6" i="10" s="1"/>
  <c r="V9" i="10"/>
  <c r="X9" i="10" s="1"/>
  <c r="V102" i="10"/>
  <c r="X102" i="10" s="1"/>
  <c r="V251" i="10"/>
  <c r="X251" i="10" s="1"/>
  <c r="V53" i="10"/>
  <c r="X53" i="10" s="1"/>
  <c r="V216" i="10"/>
  <c r="X216" i="10" s="1"/>
  <c r="V103" i="10"/>
  <c r="X103" i="10" s="1"/>
  <c r="V231" i="10"/>
  <c r="X231" i="10" s="1"/>
  <c r="V178" i="10"/>
  <c r="X178" i="10" s="1"/>
  <c r="V311" i="10"/>
  <c r="X311" i="10" s="1"/>
  <c r="V308" i="10"/>
  <c r="X308" i="10" s="1"/>
  <c r="V230" i="10"/>
  <c r="X230" i="10" s="1"/>
  <c r="V130" i="10"/>
  <c r="X130" i="10" s="1"/>
  <c r="V199" i="10"/>
  <c r="X199" i="10" s="1"/>
  <c r="V194" i="10"/>
  <c r="X194" i="10" s="1"/>
  <c r="V107" i="10"/>
  <c r="X107" i="10" s="1"/>
  <c r="V122" i="10"/>
  <c r="X122" i="10" s="1"/>
  <c r="V243" i="10"/>
  <c r="X243" i="10" s="1"/>
  <c r="V208" i="10"/>
  <c r="X208" i="10" s="1"/>
  <c r="V237" i="10"/>
  <c r="X237" i="10" s="1"/>
  <c r="V226" i="10"/>
  <c r="X226" i="10" s="1"/>
  <c r="V118" i="10"/>
  <c r="X118" i="10" s="1"/>
  <c r="V133" i="10"/>
  <c r="X133" i="10" s="1"/>
  <c r="V312" i="10"/>
  <c r="X312" i="10" s="1"/>
  <c r="V354" i="10"/>
  <c r="X354" i="10" s="1"/>
  <c r="V313" i="10"/>
  <c r="X313" i="10" s="1"/>
  <c r="V229" i="10"/>
  <c r="X229" i="10" s="1"/>
  <c r="V162" i="10"/>
  <c r="X162" i="10" s="1"/>
  <c r="V144" i="10"/>
  <c r="X144" i="10" s="1"/>
  <c r="V361" i="10"/>
  <c r="X361" i="10" s="1"/>
  <c r="V83" i="10"/>
  <c r="X83" i="10" s="1"/>
  <c r="V72" i="10"/>
  <c r="X72" i="10" s="1"/>
  <c r="V239" i="10"/>
  <c r="X239" i="10" s="1"/>
  <c r="V172" i="10"/>
  <c r="X172" i="10" s="1"/>
  <c r="V182" i="10"/>
  <c r="X182" i="10" s="1"/>
  <c r="V71" i="10"/>
  <c r="X71" i="10" s="1"/>
  <c r="V123" i="10"/>
  <c r="X123" i="10" s="1"/>
  <c r="V149" i="10"/>
  <c r="X149" i="10" s="1"/>
  <c r="V278" i="10"/>
  <c r="X278" i="10" s="1"/>
  <c r="V175" i="10"/>
  <c r="X175" i="10" s="1"/>
  <c r="V185" i="10"/>
  <c r="X185" i="10" s="1"/>
  <c r="V108" i="10"/>
  <c r="X108" i="10" s="1"/>
  <c r="V141" i="10"/>
  <c r="X141" i="10" s="1"/>
  <c r="V225" i="10"/>
  <c r="X225" i="10" s="1"/>
  <c r="U244" i="8"/>
  <c r="W244" i="8" s="1"/>
  <c r="U158" i="8"/>
  <c r="W158" i="8" s="1"/>
  <c r="U260" i="8"/>
  <c r="W260" i="8" s="1"/>
  <c r="U191" i="8"/>
  <c r="W191" i="8" s="1"/>
  <c r="U155" i="8"/>
  <c r="W155" i="8" s="1"/>
  <c r="U116" i="8"/>
  <c r="W116" i="8" s="1"/>
  <c r="U250" i="8"/>
  <c r="W250" i="8" s="1"/>
  <c r="U125" i="8"/>
  <c r="W125" i="8" s="1"/>
  <c r="U239" i="8"/>
  <c r="W239" i="8" s="1"/>
  <c r="U187" i="8"/>
  <c r="W187" i="8" s="1"/>
  <c r="U133" i="8"/>
  <c r="W133" i="8" s="1"/>
  <c r="U243" i="8"/>
  <c r="W243" i="8" s="1"/>
  <c r="U77" i="8"/>
  <c r="W77" i="8" s="1"/>
  <c r="U19" i="8"/>
  <c r="W19" i="8" s="1"/>
  <c r="U165" i="8"/>
  <c r="W165" i="8" s="1"/>
  <c r="U67" i="8"/>
  <c r="W67" i="8" s="1"/>
  <c r="U261" i="8"/>
  <c r="W261" i="8" s="1"/>
  <c r="U139" i="8"/>
  <c r="W139" i="8" s="1"/>
  <c r="U54" i="8"/>
  <c r="W54" i="8" s="1"/>
  <c r="U117" i="8"/>
  <c r="W117" i="8" s="1"/>
  <c r="U44" i="8"/>
  <c r="W44" i="8" s="1"/>
  <c r="U252" i="8"/>
  <c r="W252" i="8" s="1"/>
  <c r="U39" i="8"/>
  <c r="W39" i="8" s="1"/>
  <c r="U4" i="8"/>
  <c r="W4" i="8" s="1"/>
  <c r="U134" i="8"/>
  <c r="W134" i="8" s="1"/>
  <c r="U118" i="8"/>
  <c r="W118" i="8" s="1"/>
  <c r="U62" i="8"/>
  <c r="W62" i="8" s="1"/>
  <c r="U185" i="8"/>
  <c r="W185" i="8" s="1"/>
  <c r="U46" i="8"/>
  <c r="W46" i="8" s="1"/>
  <c r="U49" i="8"/>
  <c r="W49" i="8" s="1"/>
  <c r="U121" i="8"/>
  <c r="W121" i="8" s="1"/>
  <c r="U123" i="8"/>
  <c r="W123" i="8" s="1"/>
  <c r="U205" i="8"/>
  <c r="W205" i="8" s="1"/>
  <c r="U128" i="8"/>
  <c r="W128" i="8" s="1"/>
  <c r="U333" i="8"/>
  <c r="W333" i="8" s="1"/>
  <c r="U225" i="8"/>
  <c r="W225" i="8" s="1"/>
  <c r="U152" i="8"/>
  <c r="W152" i="8" s="1"/>
  <c r="U298" i="8"/>
  <c r="W298" i="8" s="1"/>
  <c r="U241" i="8"/>
  <c r="W241" i="8" s="1"/>
  <c r="U188" i="8"/>
  <c r="W188" i="8" s="1"/>
  <c r="U148" i="8"/>
  <c r="W148" i="8" s="1"/>
  <c r="U97" i="8"/>
  <c r="W97" i="8" s="1"/>
  <c r="U247" i="8"/>
  <c r="W247" i="8" s="1"/>
  <c r="U112" i="8"/>
  <c r="W112" i="8" s="1"/>
  <c r="U233" i="8"/>
  <c r="W233" i="8" s="1"/>
  <c r="U184" i="8"/>
  <c r="W184" i="8" s="1"/>
  <c r="U114" i="8"/>
  <c r="W114" i="8" s="1"/>
  <c r="U223" i="8"/>
  <c r="W223" i="8" s="1"/>
  <c r="U64" i="8"/>
  <c r="W64" i="8" s="1"/>
  <c r="U11" i="8"/>
  <c r="W11" i="8" s="1"/>
  <c r="U159" i="8"/>
  <c r="W159" i="8" s="1"/>
  <c r="U61" i="8"/>
  <c r="W61" i="8" s="1"/>
  <c r="U235" i="8"/>
  <c r="W235" i="8" s="1"/>
  <c r="U132" i="8"/>
  <c r="W132" i="8" s="1"/>
  <c r="U51" i="8"/>
  <c r="W51" i="8" s="1"/>
  <c r="U245" i="8"/>
  <c r="W245" i="8" s="1"/>
  <c r="U98" i="8"/>
  <c r="W98" i="8" s="1"/>
  <c r="U36" i="8"/>
  <c r="W36" i="8" s="1"/>
  <c r="U227" i="8"/>
  <c r="W227" i="8" s="1"/>
  <c r="U23" i="8"/>
  <c r="W23" i="8" s="1"/>
  <c r="U163" i="8"/>
  <c r="W163" i="8" s="1"/>
  <c r="U96" i="8"/>
  <c r="W96" i="8" s="1"/>
  <c r="U63" i="8"/>
  <c r="W63" i="8" s="1"/>
  <c r="U33" i="8"/>
  <c r="W33" i="8" s="1"/>
  <c r="U87" i="8"/>
  <c r="W87" i="8" s="1"/>
  <c r="U30" i="8"/>
  <c r="W30" i="8" s="1"/>
  <c r="U246" i="8"/>
  <c r="W246" i="8" s="1"/>
  <c r="U270" i="8"/>
  <c r="W270" i="8" s="1"/>
  <c r="U65" i="8"/>
  <c r="W65" i="8" s="1"/>
  <c r="U172" i="8"/>
  <c r="W172" i="8" s="1"/>
  <c r="U221" i="8"/>
  <c r="W221" i="8" s="1"/>
  <c r="U142" i="8"/>
  <c r="W142" i="8" s="1"/>
  <c r="U326" i="8"/>
  <c r="W326" i="8" s="1"/>
  <c r="U237" i="8"/>
  <c r="W237" i="8" s="1"/>
  <c r="U183" i="8"/>
  <c r="W183" i="8" s="1"/>
  <c r="U145" i="8"/>
  <c r="W145" i="8" s="1"/>
  <c r="U94" i="8"/>
  <c r="W94" i="8" s="1"/>
  <c r="U224" i="8"/>
  <c r="W224" i="8" s="1"/>
  <c r="U106" i="8"/>
  <c r="W106" i="8" s="1"/>
  <c r="U284" i="8"/>
  <c r="W284" i="8" s="1"/>
  <c r="U229" i="8"/>
  <c r="W229" i="8" s="1"/>
  <c r="U179" i="8"/>
  <c r="W179" i="8" s="1"/>
  <c r="U111" i="8"/>
  <c r="W111" i="8" s="1"/>
  <c r="U217" i="8"/>
  <c r="W217" i="8" s="1"/>
  <c r="U58" i="8"/>
  <c r="W58" i="8" s="1"/>
  <c r="U5" i="8"/>
  <c r="W5" i="8" s="1"/>
  <c r="U153" i="8"/>
  <c r="W153" i="8" s="1"/>
  <c r="U48" i="8"/>
  <c r="W48" i="8" s="1"/>
  <c r="U228" i="8"/>
  <c r="W228" i="8" s="1"/>
  <c r="U126" i="8"/>
  <c r="W126" i="8" s="1"/>
  <c r="U45" i="8"/>
  <c r="W45" i="8" s="1"/>
  <c r="U305" i="8"/>
  <c r="W305" i="8" s="1"/>
  <c r="U219" i="8"/>
  <c r="W219" i="8" s="1"/>
  <c r="U92" i="8"/>
  <c r="W92" i="8" s="1"/>
  <c r="U28" i="8"/>
  <c r="W28" i="8" s="1"/>
  <c r="U213" i="8"/>
  <c r="W213" i="8" s="1"/>
  <c r="U68" i="8"/>
  <c r="W68" i="8" s="1"/>
  <c r="U124" i="8"/>
  <c r="W124" i="8" s="1"/>
  <c r="U71" i="8"/>
  <c r="W71" i="8" s="1"/>
  <c r="U17" i="8"/>
  <c r="W17" i="8" s="1"/>
  <c r="U26" i="8"/>
  <c r="W26" i="8" s="1"/>
  <c r="U14" i="8"/>
  <c r="W14" i="8" s="1"/>
  <c r="U198" i="8"/>
  <c r="W198" i="8" s="1"/>
  <c r="U66" i="8"/>
  <c r="W66" i="8" s="1"/>
  <c r="U59" i="8"/>
  <c r="W59" i="8" s="1"/>
  <c r="U107" i="8"/>
  <c r="W107" i="8" s="1"/>
  <c r="U211" i="8"/>
  <c r="W211" i="8" s="1"/>
  <c r="U218" i="8"/>
  <c r="W218" i="8" s="1"/>
  <c r="U113" i="8"/>
  <c r="W113" i="8" s="1"/>
  <c r="U354" i="8"/>
  <c r="W354" i="8" s="1"/>
  <c r="U234" i="8"/>
  <c r="W234" i="8" s="1"/>
  <c r="U180" i="8"/>
  <c r="W180" i="8" s="1"/>
  <c r="U138" i="8"/>
  <c r="W138" i="8" s="1"/>
  <c r="U91" i="8"/>
  <c r="W91" i="8" s="1"/>
  <c r="U220" i="8"/>
  <c r="W220" i="8" s="1"/>
  <c r="U103" i="8"/>
  <c r="W103" i="8" s="1"/>
  <c r="U312" i="8"/>
  <c r="W312" i="8" s="1"/>
  <c r="U226" i="8"/>
  <c r="W226" i="8" s="1"/>
  <c r="U176" i="8"/>
  <c r="W176" i="8" s="1"/>
  <c r="U108" i="8"/>
  <c r="W108" i="8" s="1"/>
  <c r="U210" i="8"/>
  <c r="W210" i="8" s="1"/>
  <c r="U55" i="8"/>
  <c r="W55" i="8" s="1"/>
  <c r="U255" i="8"/>
  <c r="W255" i="8" s="1"/>
  <c r="U146" i="8"/>
  <c r="W146" i="8" s="1"/>
  <c r="U40" i="8"/>
  <c r="W40" i="8" s="1"/>
  <c r="U209" i="8"/>
  <c r="W209" i="8" s="1"/>
  <c r="U101" i="8"/>
  <c r="W101" i="8" s="1"/>
  <c r="U37" i="8"/>
  <c r="W37" i="8" s="1"/>
  <c r="U212" i="8"/>
  <c r="W212" i="8" s="1"/>
  <c r="U81" i="8"/>
  <c r="W81" i="8" s="1"/>
  <c r="U20" i="8"/>
  <c r="W20" i="8" s="1"/>
  <c r="U130" i="8"/>
  <c r="W130" i="8" s="1"/>
  <c r="U38" i="8"/>
  <c r="W38" i="8" s="1"/>
  <c r="U72" i="8"/>
  <c r="W72" i="8" s="1"/>
  <c r="U277" i="8"/>
  <c r="W277" i="8" s="1"/>
  <c r="U6" i="8"/>
  <c r="W6" i="8" s="1"/>
  <c r="U10" i="8"/>
  <c r="W10" i="8" s="1"/>
  <c r="U2" i="8"/>
  <c r="W2" i="8" s="1"/>
  <c r="U177" i="8"/>
  <c r="W177" i="8" s="1"/>
  <c r="U42" i="8"/>
  <c r="W42" i="8" s="1"/>
  <c r="U263" i="8"/>
  <c r="W263" i="8" s="1"/>
  <c r="U41" i="8"/>
  <c r="W41" i="8" s="1"/>
  <c r="U208" i="8"/>
  <c r="W208" i="8" s="1"/>
  <c r="U365" i="8"/>
  <c r="W365" i="8" s="1"/>
  <c r="U215" i="8"/>
  <c r="W215" i="8" s="1"/>
  <c r="U110" i="8"/>
  <c r="W110" i="8" s="1"/>
  <c r="U231" i="8"/>
  <c r="W231" i="8" s="1"/>
  <c r="U175" i="8"/>
  <c r="W175" i="8" s="1"/>
  <c r="U135" i="8"/>
  <c r="W135" i="8" s="1"/>
  <c r="U214" i="8"/>
  <c r="W214" i="8" s="1"/>
  <c r="U100" i="8"/>
  <c r="W100" i="8" s="1"/>
  <c r="U340" i="8"/>
  <c r="W340" i="8" s="1"/>
  <c r="U203" i="8"/>
  <c r="W203" i="8" s="1"/>
  <c r="U171" i="8"/>
  <c r="W171" i="8" s="1"/>
  <c r="U89" i="8"/>
  <c r="W89" i="8" s="1"/>
  <c r="U147" i="8"/>
  <c r="W147" i="8" s="1"/>
  <c r="U52" i="8"/>
  <c r="W52" i="8" s="1"/>
  <c r="U249" i="8"/>
  <c r="W249" i="8" s="1"/>
  <c r="U120" i="8"/>
  <c r="W120" i="8" s="1"/>
  <c r="U32" i="8"/>
  <c r="W32" i="8" s="1"/>
  <c r="U197" i="8"/>
  <c r="W197" i="8" s="1"/>
  <c r="U82" i="8"/>
  <c r="W82" i="8" s="1"/>
  <c r="U29" i="8"/>
  <c r="W29" i="8" s="1"/>
  <c r="U206" i="8"/>
  <c r="W206" i="8" s="1"/>
  <c r="U78" i="8"/>
  <c r="W78" i="8" s="1"/>
  <c r="U12" i="8"/>
  <c r="W12" i="8" s="1"/>
  <c r="U105" i="8"/>
  <c r="W105" i="8" s="1"/>
  <c r="U22" i="8"/>
  <c r="W22" i="8" s="1"/>
  <c r="U31" i="8"/>
  <c r="W31" i="8" s="1"/>
  <c r="U230" i="8"/>
  <c r="W230" i="8" s="1"/>
  <c r="U189" i="8"/>
  <c r="W189" i="8" s="1"/>
  <c r="U90" i="8"/>
  <c r="W90" i="8" s="1"/>
  <c r="U137" i="8"/>
  <c r="W137" i="8" s="1"/>
  <c r="U166" i="8"/>
  <c r="W166" i="8" s="1"/>
  <c r="U236" i="8"/>
  <c r="W236" i="8" s="1"/>
  <c r="U25" i="8"/>
  <c r="W25" i="8" s="1"/>
  <c r="U254" i="8"/>
  <c r="W254" i="8" s="1"/>
  <c r="U251" i="8"/>
  <c r="W251" i="8" s="1"/>
  <c r="U202" i="8"/>
  <c r="W202" i="8" s="1"/>
  <c r="U88" i="8"/>
  <c r="W88" i="8" s="1"/>
  <c r="U278" i="8"/>
  <c r="W278" i="8" s="1"/>
  <c r="U199" i="8"/>
  <c r="W199" i="8" s="1"/>
  <c r="U167" i="8"/>
  <c r="W167" i="8" s="1"/>
  <c r="U122" i="8"/>
  <c r="W122" i="8" s="1"/>
  <c r="U257" i="8"/>
  <c r="W257" i="8" s="1"/>
  <c r="U141" i="8"/>
  <c r="W141" i="8" s="1"/>
  <c r="U361" i="8"/>
  <c r="W361" i="8" s="1"/>
  <c r="U262" i="8"/>
  <c r="W262" i="8" s="1"/>
  <c r="U195" i="8"/>
  <c r="W195" i="8" s="1"/>
  <c r="U156" i="8"/>
  <c r="W156" i="8" s="1"/>
  <c r="U83" i="8"/>
  <c r="W83" i="8" s="1"/>
  <c r="U127" i="8"/>
  <c r="W127" i="8" s="1"/>
  <c r="U35" i="8"/>
  <c r="W35" i="8" s="1"/>
  <c r="U222" i="8"/>
  <c r="W222" i="8" s="1"/>
  <c r="U73" i="8"/>
  <c r="W73" i="8" s="1"/>
  <c r="U16" i="8"/>
  <c r="W16" i="8" s="1"/>
  <c r="U181" i="8"/>
  <c r="W181" i="8" s="1"/>
  <c r="U76" i="8"/>
  <c r="W76" i="8" s="1"/>
  <c r="U13" i="8"/>
  <c r="W13" i="8" s="1"/>
  <c r="U240" i="8"/>
  <c r="W240" i="8" s="1"/>
  <c r="U143" i="8"/>
  <c r="W143" i="8" s="1"/>
  <c r="U56" i="8"/>
  <c r="W56" i="8" s="1"/>
  <c r="U327" i="8"/>
  <c r="W327" i="8" s="1"/>
  <c r="U238" i="8"/>
  <c r="W238" i="8" s="1"/>
  <c r="U69" i="8"/>
  <c r="W69" i="8" s="1"/>
  <c r="U151" i="8"/>
  <c r="W151" i="8" s="1"/>
  <c r="U193" i="8"/>
  <c r="W193" i="8" s="1"/>
  <c r="U169" i="8"/>
  <c r="W169" i="8" s="1"/>
  <c r="U129" i="8"/>
  <c r="W129" i="8" s="1"/>
  <c r="U109" i="8"/>
  <c r="W109" i="8" s="1"/>
  <c r="U157" i="8"/>
  <c r="W157" i="8" s="1"/>
  <c r="U115" i="8"/>
  <c r="W115" i="8" s="1"/>
  <c r="U47" i="8"/>
  <c r="W47" i="8" s="1"/>
  <c r="U173" i="8"/>
  <c r="W173" i="8" s="1"/>
  <c r="U18" i="8"/>
  <c r="W18" i="8" s="1"/>
  <c r="U192" i="8"/>
  <c r="W192" i="8" s="1"/>
  <c r="U27" i="8"/>
  <c r="W27" i="8" s="1"/>
  <c r="U272" i="8"/>
  <c r="W272" i="8" s="1"/>
  <c r="U232" i="8"/>
  <c r="W232" i="8" s="1"/>
  <c r="U144" i="8"/>
  <c r="W144" i="8" s="1"/>
  <c r="U34" i="8"/>
  <c r="W34" i="8" s="1"/>
  <c r="U7" i="8"/>
  <c r="W7" i="8" s="1"/>
  <c r="U95" i="8"/>
  <c r="W95" i="8" s="1"/>
  <c r="U174" i="8"/>
  <c r="W174" i="8" s="1"/>
  <c r="U57" i="8"/>
  <c r="W57" i="8" s="1"/>
  <c r="U140" i="8"/>
  <c r="W140" i="8" s="1"/>
  <c r="U21" i="8"/>
  <c r="W21" i="8" s="1"/>
  <c r="U194" i="8"/>
  <c r="W194" i="8" s="1"/>
  <c r="U291" i="8"/>
  <c r="W291" i="8" s="1"/>
  <c r="U271" i="8"/>
  <c r="W271" i="8" s="1"/>
  <c r="U168" i="8"/>
  <c r="W168" i="8" s="1"/>
  <c r="U242" i="8"/>
  <c r="W242" i="8" s="1"/>
  <c r="U186" i="8"/>
  <c r="W186" i="8" s="1"/>
  <c r="U162" i="8"/>
  <c r="W162" i="8" s="1"/>
  <c r="U93" i="8"/>
  <c r="W93" i="8" s="1"/>
  <c r="U178" i="8"/>
  <c r="W178" i="8" s="1"/>
  <c r="U154" i="8"/>
  <c r="W154" i="8" s="1"/>
  <c r="U75" i="8"/>
  <c r="W75" i="8" s="1"/>
  <c r="U70" i="8"/>
  <c r="W70" i="8" s="1"/>
  <c r="U60" i="8"/>
  <c r="W60" i="8" s="1"/>
  <c r="U164" i="8"/>
  <c r="W164" i="8" s="1"/>
  <c r="U182" i="8"/>
  <c r="W182" i="8" s="1"/>
  <c r="U201" i="8"/>
  <c r="W201" i="8" s="1"/>
  <c r="U196" i="8"/>
  <c r="W196" i="8" s="1"/>
  <c r="U328" i="8"/>
  <c r="W328" i="8" s="1"/>
  <c r="U150" i="8"/>
  <c r="W150" i="8" s="1"/>
  <c r="U216" i="8"/>
  <c r="W216" i="8" s="1"/>
  <c r="U170" i="8"/>
  <c r="W170" i="8" s="1"/>
  <c r="U136" i="8"/>
  <c r="W136" i="8" s="1"/>
  <c r="U50" i="8"/>
  <c r="W50" i="8" s="1"/>
  <c r="U104" i="8"/>
  <c r="W104" i="8" s="1"/>
  <c r="U80" i="8"/>
  <c r="W80" i="8" s="1"/>
  <c r="U161" i="8"/>
  <c r="W161" i="8" s="1"/>
  <c r="U79" i="8"/>
  <c r="W79" i="8" s="1"/>
  <c r="U74" i="8"/>
  <c r="W74" i="8" s="1"/>
  <c r="U119" i="8"/>
  <c r="W119" i="8" s="1"/>
  <c r="U53" i="8"/>
  <c r="W53" i="8" s="1"/>
  <c r="U253" i="8"/>
  <c r="W253" i="8" s="1"/>
  <c r="U24" i="8"/>
  <c r="W24" i="8" s="1"/>
  <c r="U15" i="8"/>
  <c r="W15" i="8" s="1"/>
  <c r="U347" i="8"/>
  <c r="W347" i="8" s="1"/>
  <c r="U86" i="8"/>
  <c r="W86" i="8" s="1"/>
  <c r="U99" i="8"/>
  <c r="W99" i="8" s="1"/>
  <c r="U204" i="8"/>
  <c r="W204" i="8" s="1"/>
  <c r="U3" i="8"/>
  <c r="W3" i="8" s="1"/>
  <c r="U258" i="8"/>
  <c r="W258" i="8" s="1"/>
  <c r="U248" i="8"/>
  <c r="W248" i="8" s="1"/>
  <c r="U256" i="8"/>
  <c r="W256" i="8" s="1"/>
  <c r="U207" i="8"/>
  <c r="W207" i="8" s="1"/>
  <c r="U190" i="8"/>
  <c r="W190" i="8" s="1"/>
  <c r="U85" i="8"/>
  <c r="W85" i="8" s="1"/>
  <c r="U131" i="8"/>
  <c r="W131" i="8" s="1"/>
  <c r="U259" i="8"/>
  <c r="W259" i="8" s="1"/>
  <c r="U102" i="8"/>
  <c r="W102" i="8" s="1"/>
  <c r="U8" i="8"/>
  <c r="W8" i="8" s="1"/>
  <c r="U319" i="8"/>
  <c r="W319" i="8" s="1"/>
  <c r="U160" i="8"/>
  <c r="W160" i="8" s="1"/>
  <c r="U84" i="8"/>
  <c r="W84" i="8" s="1"/>
  <c r="U149" i="8"/>
  <c r="W149" i="8" s="1"/>
  <c r="U200" i="8"/>
  <c r="W200" i="8" s="1"/>
  <c r="U43" i="8"/>
  <c r="W43" i="8" s="1"/>
  <c r="U9" i="8"/>
  <c r="W9" i="8" s="1"/>
  <c r="U360" i="8"/>
  <c r="W360" i="8" s="1"/>
  <c r="U358" i="8"/>
  <c r="W358" i="8" s="1"/>
  <c r="U362" i="8"/>
  <c r="W362" i="8" s="1"/>
  <c r="U363" i="8"/>
  <c r="W363" i="8" s="1"/>
  <c r="U359" i="8"/>
  <c r="W359" i="8" s="1"/>
  <c r="U366" i="8"/>
  <c r="W366" i="8" s="1"/>
  <c r="U364" i="8"/>
  <c r="W364" i="8" s="1"/>
  <c r="U357" i="8"/>
  <c r="W357" i="8" s="1"/>
  <c r="U356" i="8"/>
  <c r="W356" i="8" s="1"/>
  <c r="U352" i="8"/>
  <c r="W352" i="8" s="1"/>
  <c r="U353" i="8"/>
  <c r="W353" i="8" s="1"/>
  <c r="U355" i="8"/>
  <c r="W355" i="8" s="1"/>
  <c r="U351" i="8"/>
  <c r="W351" i="8" s="1"/>
  <c r="U349" i="8"/>
  <c r="W349" i="8" s="1"/>
  <c r="U350" i="8"/>
  <c r="W350" i="8" s="1"/>
  <c r="U348" i="8"/>
  <c r="W348" i="8" s="1"/>
  <c r="U344" i="8"/>
  <c r="W344" i="8" s="1"/>
  <c r="U345" i="8"/>
  <c r="W345" i="8" s="1"/>
  <c r="U342" i="8"/>
  <c r="W342" i="8" s="1"/>
  <c r="U343" i="8"/>
  <c r="W343" i="8" s="1"/>
  <c r="U346" i="8"/>
  <c r="W346" i="8" s="1"/>
  <c r="U339" i="8"/>
  <c r="W339" i="8" s="1"/>
  <c r="U337" i="8"/>
  <c r="W337" i="8" s="1"/>
  <c r="U338" i="8"/>
  <c r="W338" i="8" s="1"/>
  <c r="U336" i="8"/>
  <c r="W336" i="8" s="1"/>
  <c r="U341" i="8"/>
  <c r="W341" i="8" s="1"/>
  <c r="U335" i="8"/>
  <c r="W335" i="8" s="1"/>
  <c r="U334" i="8"/>
  <c r="W334" i="8" s="1"/>
  <c r="U331" i="8"/>
  <c r="W331" i="8" s="1"/>
  <c r="U332" i="8"/>
  <c r="W332" i="8" s="1"/>
  <c r="U330" i="8"/>
  <c r="W330" i="8" s="1"/>
  <c r="U329" i="8"/>
  <c r="W329" i="8" s="1"/>
  <c r="U324" i="8"/>
  <c r="W324" i="8" s="1"/>
  <c r="U325" i="8"/>
  <c r="W325" i="8" s="1"/>
  <c r="U321" i="8"/>
  <c r="W321" i="8" s="1"/>
  <c r="U322" i="8"/>
  <c r="W322" i="8" s="1"/>
  <c r="U323" i="8"/>
  <c r="W323" i="8" s="1"/>
  <c r="U308" i="8"/>
  <c r="W308" i="8" s="1"/>
  <c r="U314" i="8"/>
  <c r="W314" i="8" s="1"/>
  <c r="U309" i="8"/>
  <c r="W309" i="8" s="1"/>
  <c r="U311" i="8"/>
  <c r="W311" i="8" s="1"/>
  <c r="U318" i="8"/>
  <c r="W318" i="8" s="1"/>
  <c r="U313" i="8"/>
  <c r="W313" i="8" s="1"/>
  <c r="U317" i="8"/>
  <c r="W317" i="8" s="1"/>
  <c r="U320" i="8"/>
  <c r="W320" i="8" s="1"/>
  <c r="U310" i="8"/>
  <c r="W310" i="8" s="1"/>
  <c r="U315" i="8"/>
  <c r="W315" i="8" s="1"/>
  <c r="U316" i="8"/>
  <c r="W316" i="8" s="1"/>
  <c r="U306" i="8"/>
  <c r="W306" i="8" s="1"/>
  <c r="U307" i="8"/>
  <c r="W307" i="8" s="1"/>
  <c r="U289" i="8"/>
  <c r="W289" i="8" s="1"/>
  <c r="U297" i="8"/>
  <c r="W297" i="8" s="1"/>
  <c r="U282" i="8"/>
  <c r="W282" i="8" s="1"/>
  <c r="U281" i="8"/>
  <c r="W281" i="8" s="1"/>
  <c r="U293" i="8"/>
  <c r="W293" i="8" s="1"/>
  <c r="U294" i="8"/>
  <c r="W294" i="8" s="1"/>
  <c r="U290" i="8"/>
  <c r="W290" i="8" s="1"/>
  <c r="U283" i="8"/>
  <c r="W283" i="8" s="1"/>
  <c r="U280" i="8"/>
  <c r="W280" i="8" s="1"/>
  <c r="U301" i="8"/>
  <c r="W301" i="8" s="1"/>
  <c r="U303" i="8"/>
  <c r="W303" i="8" s="1"/>
  <c r="U296" i="8"/>
  <c r="W296" i="8" s="1"/>
  <c r="U288" i="8"/>
  <c r="W288" i="8" s="1"/>
  <c r="U279" i="8"/>
  <c r="W279" i="8" s="1"/>
  <c r="U295" i="8"/>
  <c r="W295" i="8" s="1"/>
  <c r="U286" i="8"/>
  <c r="W286" i="8" s="1"/>
  <c r="U302" i="8"/>
  <c r="W302" i="8" s="1"/>
  <c r="U300" i="8"/>
  <c r="W300" i="8" s="1"/>
  <c r="U299" i="8"/>
  <c r="W299" i="8" s="1"/>
  <c r="U292" i="8"/>
  <c r="W292" i="8" s="1"/>
  <c r="U285" i="8"/>
  <c r="W285" i="8" s="1"/>
  <c r="U304" i="8"/>
  <c r="W304" i="8" s="1"/>
  <c r="U287" i="8"/>
  <c r="W287" i="8" s="1"/>
  <c r="U275" i="8"/>
  <c r="W275" i="8" s="1"/>
  <c r="U269" i="8"/>
  <c r="W269" i="8" s="1"/>
  <c r="U265" i="8"/>
  <c r="W265" i="8" s="1"/>
  <c r="U264" i="8"/>
  <c r="W264" i="8" s="1"/>
  <c r="U274" i="8"/>
  <c r="W274" i="8" s="1"/>
  <c r="U268" i="8"/>
  <c r="W268" i="8" s="1"/>
  <c r="U276" i="8"/>
  <c r="W276" i="8" s="1"/>
  <c r="U273" i="8"/>
  <c r="W273" i="8" s="1"/>
  <c r="U266" i="8"/>
  <c r="W266" i="8" s="1"/>
  <c r="U267" i="8"/>
  <c r="W267" i="8" s="1"/>
  <c r="AH6" i="11"/>
  <c r="AB6" i="11" s="1"/>
  <c r="V49" i="10"/>
  <c r="X49" i="10" s="1"/>
  <c r="V5" i="10"/>
  <c r="X5" i="10" s="1"/>
  <c r="V168" i="10"/>
  <c r="X168" i="10" s="1"/>
  <c r="V197" i="10"/>
  <c r="X197" i="10" s="1"/>
  <c r="V188" i="10"/>
  <c r="X188" i="10" s="1"/>
  <c r="V148" i="10"/>
  <c r="X148" i="10" s="1"/>
  <c r="V224" i="10"/>
  <c r="X224" i="10" s="1"/>
  <c r="V160" i="10"/>
  <c r="X160" i="10" s="1"/>
  <c r="V269" i="10"/>
  <c r="X269" i="10" s="1"/>
  <c r="V268" i="10"/>
  <c r="X268" i="10" s="1"/>
  <c r="V261" i="10"/>
  <c r="X261" i="10" s="1"/>
  <c r="V292" i="10"/>
  <c r="X292" i="10" s="1"/>
  <c r="V305" i="10"/>
  <c r="X305" i="10" s="1"/>
  <c r="V322" i="10"/>
  <c r="X322" i="10" s="1"/>
  <c r="V333" i="10"/>
  <c r="X333" i="10" s="1"/>
  <c r="V341" i="10"/>
  <c r="X341" i="10" s="1"/>
  <c r="V351" i="10"/>
  <c r="X351" i="10" s="1"/>
  <c r="V366" i="10"/>
  <c r="X366" i="10" s="1"/>
  <c r="V15" i="10"/>
  <c r="X15" i="10" s="1"/>
  <c r="V32" i="10"/>
  <c r="X32" i="10" s="1"/>
  <c r="V206" i="10"/>
  <c r="X206" i="10" s="1"/>
  <c r="V203" i="10"/>
  <c r="X203" i="10" s="1"/>
  <c r="V45" i="10"/>
  <c r="X45" i="10" s="1"/>
  <c r="V177" i="10"/>
  <c r="X177" i="10" s="1"/>
  <c r="V52" i="10"/>
  <c r="X52" i="10" s="1"/>
  <c r="V28" i="10"/>
  <c r="X28" i="10" s="1"/>
  <c r="V59" i="10"/>
  <c r="X59" i="10" s="1"/>
  <c r="V11" i="10"/>
  <c r="X11" i="10" s="1"/>
  <c r="V80" i="10"/>
  <c r="X80" i="10" s="1"/>
  <c r="V18" i="10"/>
  <c r="X18" i="10" s="1"/>
  <c r="V113" i="10"/>
  <c r="X113" i="10" s="1"/>
  <c r="V128" i="10"/>
  <c r="X128" i="10" s="1"/>
  <c r="V171" i="10"/>
  <c r="X171" i="10" s="1"/>
  <c r="V70" i="10"/>
  <c r="X70" i="10" s="1"/>
  <c r="V143" i="10"/>
  <c r="X143" i="10" s="1"/>
  <c r="V207" i="10"/>
  <c r="X207" i="10" s="1"/>
  <c r="V245" i="10"/>
  <c r="X245" i="10" s="1"/>
  <c r="V74" i="10"/>
  <c r="X74" i="10" s="1"/>
  <c r="V129" i="10"/>
  <c r="X129" i="10" s="1"/>
  <c r="V191" i="10"/>
  <c r="X191" i="10" s="1"/>
  <c r="V82" i="10"/>
  <c r="X82" i="10" s="1"/>
  <c r="V151" i="10"/>
  <c r="X151" i="10" s="1"/>
  <c r="V211" i="10"/>
  <c r="X211" i="10" s="1"/>
  <c r="V252" i="10"/>
  <c r="X252" i="10" s="1"/>
  <c r="V86" i="10"/>
  <c r="X86" i="10" s="1"/>
  <c r="V159" i="10"/>
  <c r="X159" i="10" s="1"/>
  <c r="V240" i="10"/>
  <c r="X240" i="10" s="1"/>
  <c r="V101" i="10"/>
  <c r="X101" i="10" s="1"/>
  <c r="V152" i="10"/>
  <c r="X152" i="10" s="1"/>
  <c r="V205" i="10"/>
  <c r="X205" i="10" s="1"/>
  <c r="V250" i="10"/>
  <c r="X250" i="10" s="1"/>
  <c r="V94" i="10"/>
  <c r="X94" i="10" s="1"/>
  <c r="V164" i="10"/>
  <c r="X164" i="10" s="1"/>
  <c r="V257" i="10"/>
  <c r="X257" i="10" s="1"/>
  <c r="V12" i="10"/>
  <c r="X12" i="10" s="1"/>
  <c r="V67" i="10"/>
  <c r="X67" i="10" s="1"/>
  <c r="V117" i="10"/>
  <c r="X117" i="10" s="1"/>
  <c r="V121" i="10"/>
  <c r="X121" i="10" s="1"/>
  <c r="V125" i="10"/>
  <c r="X125" i="10" s="1"/>
  <c r="V204" i="10"/>
  <c r="X204" i="10" s="1"/>
  <c r="V137" i="10"/>
  <c r="X137" i="10" s="1"/>
  <c r="V76" i="10"/>
  <c r="X76" i="10" s="1"/>
  <c r="V276" i="10"/>
  <c r="X276" i="10" s="1"/>
  <c r="V287" i="10"/>
  <c r="X287" i="10" s="1"/>
  <c r="V288" i="10"/>
  <c r="X288" i="10" s="1"/>
  <c r="V294" i="10"/>
  <c r="X294" i="10" s="1"/>
  <c r="V304" i="10"/>
  <c r="X304" i="10" s="1"/>
  <c r="V323" i="10"/>
  <c r="X323" i="10" s="1"/>
  <c r="V328" i="10"/>
  <c r="X328" i="10" s="1"/>
  <c r="V335" i="10"/>
  <c r="X335" i="10" s="1"/>
  <c r="V350" i="10"/>
  <c r="X350" i="10" s="1"/>
  <c r="V362" i="10"/>
  <c r="X362" i="10" s="1"/>
  <c r="V64" i="10"/>
  <c r="X64" i="10" s="1"/>
  <c r="V35" i="10"/>
  <c r="X35" i="10" s="1"/>
  <c r="V284" i="10"/>
  <c r="X284" i="10" s="1"/>
  <c r="V228" i="10"/>
  <c r="X228" i="10" s="1"/>
  <c r="V58" i="10"/>
  <c r="X58" i="10" s="1"/>
  <c r="V310" i="10"/>
  <c r="X310" i="10" s="1"/>
  <c r="V55" i="10"/>
  <c r="X55" i="10" s="1"/>
  <c r="V87" i="10"/>
  <c r="X87" i="10" s="1"/>
  <c r="V190" i="10"/>
  <c r="X190" i="10" s="1"/>
  <c r="V24" i="10"/>
  <c r="X24" i="10" s="1"/>
  <c r="V109" i="10"/>
  <c r="X109" i="10" s="1"/>
  <c r="V21" i="10"/>
  <c r="X21" i="10" s="1"/>
  <c r="V142" i="10"/>
  <c r="X142" i="10" s="1"/>
  <c r="V132" i="10"/>
  <c r="X132" i="10" s="1"/>
  <c r="V184" i="10"/>
  <c r="X184" i="10" s="1"/>
  <c r="V77" i="10"/>
  <c r="X77" i="10" s="1"/>
  <c r="V147" i="10"/>
  <c r="X147" i="10" s="1"/>
  <c r="V210" i="10"/>
  <c r="X210" i="10" s="1"/>
  <c r="V255" i="10"/>
  <c r="X255" i="10" s="1"/>
  <c r="V85" i="10"/>
  <c r="X85" i="10" s="1"/>
  <c r="V136" i="10"/>
  <c r="X136" i="10" s="1"/>
  <c r="V201" i="10"/>
  <c r="X201" i="10" s="1"/>
  <c r="V89" i="10"/>
  <c r="X89" i="10" s="1"/>
  <c r="V155" i="10"/>
  <c r="X155" i="10" s="1"/>
  <c r="V214" i="10"/>
  <c r="X214" i="10" s="1"/>
  <c r="V259" i="10"/>
  <c r="X259" i="10" s="1"/>
  <c r="V93" i="10"/>
  <c r="X93" i="10" s="1"/>
  <c r="V163" i="10"/>
  <c r="X163" i="10" s="1"/>
  <c r="V256" i="10"/>
  <c r="X256" i="10" s="1"/>
  <c r="V112" i="10"/>
  <c r="X112" i="10" s="1"/>
  <c r="V156" i="10"/>
  <c r="X156" i="10" s="1"/>
  <c r="V215" i="10"/>
  <c r="X215" i="10" s="1"/>
  <c r="V253" i="10"/>
  <c r="X253" i="10" s="1"/>
  <c r="V98" i="10"/>
  <c r="X98" i="10" s="1"/>
  <c r="V167" i="10"/>
  <c r="X167" i="10" s="1"/>
  <c r="V277" i="10"/>
  <c r="X277" i="10" s="1"/>
  <c r="V84" i="10"/>
  <c r="X84" i="10" s="1"/>
  <c r="V326" i="10"/>
  <c r="X326" i="10" s="1"/>
  <c r="V241" i="10"/>
  <c r="X241" i="10" s="1"/>
  <c r="V280" i="10"/>
  <c r="X280" i="10" s="1"/>
  <c r="V279" i="10"/>
  <c r="X279" i="10" s="1"/>
  <c r="V289" i="10"/>
  <c r="X289" i="10" s="1"/>
  <c r="V301" i="10"/>
  <c r="X301" i="10" s="1"/>
  <c r="V317" i="10"/>
  <c r="X317" i="10" s="1"/>
  <c r="V327" i="10"/>
  <c r="X327" i="10" s="1"/>
  <c r="V330" i="10"/>
  <c r="X330" i="10" s="1"/>
  <c r="V345" i="10"/>
  <c r="X345" i="10" s="1"/>
  <c r="V352" i="10"/>
  <c r="X352" i="10" s="1"/>
  <c r="V365" i="10"/>
  <c r="X365" i="10" s="1"/>
  <c r="V146" i="10"/>
  <c r="X146" i="10" s="1"/>
  <c r="V48" i="10"/>
  <c r="X48" i="10" s="1"/>
  <c r="V314" i="10"/>
  <c r="X314" i="10" s="1"/>
  <c r="V254" i="10"/>
  <c r="X254" i="10" s="1"/>
  <c r="V69" i="10"/>
  <c r="X69" i="10" s="1"/>
  <c r="V4" i="10"/>
  <c r="X4" i="10" s="1"/>
  <c r="V62" i="10"/>
  <c r="X62" i="10" s="1"/>
  <c r="V14" i="10"/>
  <c r="X14" i="10" s="1"/>
  <c r="V31" i="10"/>
  <c r="X31" i="10" s="1"/>
  <c r="V27" i="10"/>
  <c r="X27" i="10" s="1"/>
  <c r="V193" i="10"/>
  <c r="X193" i="10" s="1"/>
  <c r="V34" i="10"/>
  <c r="X34" i="10" s="1"/>
  <c r="V222" i="10"/>
  <c r="X222" i="10" s="1"/>
  <c r="V135" i="10"/>
  <c r="X135" i="10" s="1"/>
  <c r="V187" i="10"/>
  <c r="X187" i="10" s="1"/>
  <c r="V81" i="10"/>
  <c r="X81" i="10" s="1"/>
  <c r="V154" i="10"/>
  <c r="X154" i="10" s="1"/>
  <c r="V213" i="10"/>
  <c r="X213" i="10" s="1"/>
  <c r="V258" i="10"/>
  <c r="X258" i="10" s="1"/>
  <c r="V96" i="10"/>
  <c r="X96" i="10" s="1"/>
  <c r="V140" i="10"/>
  <c r="X140" i="10" s="1"/>
  <c r="V217" i="10"/>
  <c r="X217" i="10" s="1"/>
  <c r="V111" i="10"/>
  <c r="X111" i="10" s="1"/>
  <c r="V166" i="10"/>
  <c r="X166" i="10" s="1"/>
  <c r="V220" i="10"/>
  <c r="X220" i="10" s="1"/>
  <c r="V290" i="10"/>
  <c r="X290" i="10" s="1"/>
  <c r="V97" i="10"/>
  <c r="X97" i="10" s="1"/>
  <c r="V176" i="10"/>
  <c r="X176" i="10" s="1"/>
  <c r="V272" i="10"/>
  <c r="X272" i="10" s="1"/>
  <c r="V116" i="10"/>
  <c r="X116" i="10" s="1"/>
  <c r="V170" i="10"/>
  <c r="X170" i="10" s="1"/>
  <c r="V218" i="10"/>
  <c r="X218" i="10" s="1"/>
  <c r="V291" i="10"/>
  <c r="X291" i="10" s="1"/>
  <c r="V105" i="10"/>
  <c r="X105" i="10" s="1"/>
  <c r="V180" i="10"/>
  <c r="X180" i="10" s="1"/>
  <c r="V306" i="10"/>
  <c r="X306" i="10" s="1"/>
  <c r="V8" i="10"/>
  <c r="X8" i="10" s="1"/>
  <c r="V307" i="10"/>
  <c r="X307" i="10" s="1"/>
  <c r="V242" i="10"/>
  <c r="X242" i="10" s="1"/>
  <c r="V78" i="10"/>
  <c r="X78" i="10" s="1"/>
  <c r="V246" i="10"/>
  <c r="X246" i="10" s="1"/>
  <c r="V75" i="10"/>
  <c r="X75" i="10" s="1"/>
  <c r="V90" i="10"/>
  <c r="X90" i="10" s="1"/>
  <c r="V145" i="10"/>
  <c r="X145" i="10" s="1"/>
  <c r="V202" i="10"/>
  <c r="X202" i="10" s="1"/>
  <c r="V247" i="10"/>
  <c r="X247" i="10" s="1"/>
  <c r="V275" i="10"/>
  <c r="X275" i="10" s="1"/>
  <c r="V281" i="10"/>
  <c r="X281" i="10" s="1"/>
  <c r="V274" i="10"/>
  <c r="X274" i="10" s="1"/>
  <c r="V293" i="10"/>
  <c r="X293" i="10" s="1"/>
  <c r="V320" i="10"/>
  <c r="X320" i="10" s="1"/>
  <c r="V324" i="10"/>
  <c r="X324" i="10" s="1"/>
  <c r="V340" i="10"/>
  <c r="X340" i="10" s="1"/>
  <c r="V346" i="10"/>
  <c r="X346" i="10" s="1"/>
  <c r="V355" i="10"/>
  <c r="X355" i="10" s="1"/>
  <c r="V360" i="10"/>
  <c r="X360" i="10" s="1"/>
  <c r="V22" i="10"/>
  <c r="X22" i="10" s="1"/>
  <c r="V51" i="10"/>
  <c r="X51" i="10" s="1"/>
  <c r="V47" i="10"/>
  <c r="X47" i="10" s="1"/>
  <c r="V10" i="10"/>
  <c r="X10" i="10" s="1"/>
  <c r="V235" i="10"/>
  <c r="X235" i="10" s="1"/>
  <c r="V7" i="10"/>
  <c r="X7" i="10" s="1"/>
  <c r="V66" i="10"/>
  <c r="X66" i="10" s="1"/>
  <c r="V17" i="10"/>
  <c r="X17" i="10" s="1"/>
  <c r="V44" i="10"/>
  <c r="X44" i="10" s="1"/>
  <c r="V40" i="10"/>
  <c r="X40" i="10" s="1"/>
  <c r="V219" i="10"/>
  <c r="X219" i="10" s="1"/>
  <c r="V37" i="10"/>
  <c r="X37" i="10" s="1"/>
  <c r="V73" i="10"/>
  <c r="X73" i="10" s="1"/>
  <c r="V139" i="10"/>
  <c r="X139" i="10" s="1"/>
  <c r="V200" i="10"/>
  <c r="X200" i="10" s="1"/>
  <c r="V88" i="10"/>
  <c r="X88" i="10" s="1"/>
  <c r="V165" i="10"/>
  <c r="X165" i="10" s="1"/>
  <c r="V223" i="10"/>
  <c r="X223" i="10" s="1"/>
  <c r="V271" i="10"/>
  <c r="X271" i="10" s="1"/>
  <c r="V100" i="10"/>
  <c r="X100" i="10" s="1"/>
  <c r="V158" i="10"/>
  <c r="X158" i="10" s="1"/>
  <c r="V233" i="10"/>
  <c r="X233" i="10" s="1"/>
  <c r="V115" i="10"/>
  <c r="X115" i="10" s="1"/>
  <c r="V169" i="10"/>
  <c r="X169" i="10" s="1"/>
  <c r="V227" i="10"/>
  <c r="X227" i="10" s="1"/>
  <c r="V297" i="10"/>
  <c r="X297" i="10" s="1"/>
  <c r="V104" i="10"/>
  <c r="X104" i="10" s="1"/>
  <c r="V179" i="10"/>
  <c r="X179" i="10" s="1"/>
  <c r="V309" i="10"/>
  <c r="X309" i="10" s="1"/>
  <c r="V119" i="10"/>
  <c r="X119" i="10" s="1"/>
  <c r="V173" i="10"/>
  <c r="X173" i="10" s="1"/>
  <c r="V221" i="10"/>
  <c r="X221" i="10" s="1"/>
  <c r="V298" i="10"/>
  <c r="X298" i="10" s="1"/>
  <c r="V127" i="10"/>
  <c r="X127" i="10" s="1"/>
  <c r="V183" i="10"/>
  <c r="X183" i="10" s="1"/>
  <c r="V321" i="10"/>
  <c r="X321" i="10" s="1"/>
  <c r="V131" i="10"/>
  <c r="X131" i="10" s="1"/>
  <c r="V196" i="10"/>
  <c r="X196" i="10" s="1"/>
  <c r="V195" i="10"/>
  <c r="X195" i="10" s="1"/>
  <c r="V79" i="10"/>
  <c r="X79" i="10" s="1"/>
  <c r="V134" i="10"/>
  <c r="X134" i="10" s="1"/>
  <c r="V189" i="10"/>
  <c r="X189" i="10" s="1"/>
  <c r="V234" i="10"/>
  <c r="X234" i="10" s="1"/>
  <c r="V347" i="10"/>
  <c r="X347" i="10" s="1"/>
  <c r="V138" i="10"/>
  <c r="X138" i="10" s="1"/>
  <c r="AA5" i="11"/>
  <c r="AA6" i="11"/>
  <c r="U314" i="10"/>
  <c r="W314" i="10" s="1"/>
  <c r="U310" i="10"/>
  <c r="W310" i="10" s="1"/>
  <c r="U284" i="10"/>
  <c r="W284" i="10" s="1"/>
  <c r="U270" i="10"/>
  <c r="W270" i="10" s="1"/>
  <c r="U254" i="10"/>
  <c r="W254" i="10" s="1"/>
  <c r="U251" i="10"/>
  <c r="W251" i="10" s="1"/>
  <c r="U244" i="10"/>
  <c r="W244" i="10" s="1"/>
  <c r="U238" i="10"/>
  <c r="W238" i="10" s="1"/>
  <c r="U235" i="10"/>
  <c r="W235" i="10" s="1"/>
  <c r="U228" i="10"/>
  <c r="W228" i="10" s="1"/>
  <c r="U222" i="10"/>
  <c r="W222" i="10" s="1"/>
  <c r="U219" i="10"/>
  <c r="W219" i="10" s="1"/>
  <c r="U212" i="10"/>
  <c r="W212" i="10" s="1"/>
  <c r="U206" i="10"/>
  <c r="W206" i="10" s="1"/>
  <c r="U203" i="10"/>
  <c r="W203" i="10" s="1"/>
  <c r="U193" i="10"/>
  <c r="W193" i="10" s="1"/>
  <c r="U190" i="10"/>
  <c r="W190" i="10" s="1"/>
  <c r="U177" i="10"/>
  <c r="W177" i="10" s="1"/>
  <c r="U174" i="10"/>
  <c r="W174" i="10" s="1"/>
  <c r="U153" i="10"/>
  <c r="W153" i="10" s="1"/>
  <c r="U146" i="10"/>
  <c r="W146" i="10" s="1"/>
  <c r="U142" i="10"/>
  <c r="W142" i="10" s="1"/>
  <c r="U124" i="10"/>
  <c r="W124" i="10" s="1"/>
  <c r="U120" i="10"/>
  <c r="W120" i="10" s="1"/>
  <c r="U113" i="10"/>
  <c r="W113" i="10" s="1"/>
  <c r="U109" i="10"/>
  <c r="W109" i="10" s="1"/>
  <c r="U102" i="10"/>
  <c r="W102" i="10" s="1"/>
  <c r="U91" i="10"/>
  <c r="W91" i="10" s="1"/>
  <c r="U87" i="10"/>
  <c r="W87" i="10" s="1"/>
  <c r="U84" i="10"/>
  <c r="W84" i="10" s="1"/>
  <c r="U80" i="10"/>
  <c r="W80" i="10" s="1"/>
  <c r="U321" i="10"/>
  <c r="W321" i="10" s="1"/>
  <c r="U306" i="10"/>
  <c r="W306" i="10" s="1"/>
  <c r="U277" i="10"/>
  <c r="W277" i="10" s="1"/>
  <c r="U257" i="10"/>
  <c r="W257" i="10" s="1"/>
  <c r="U241" i="10"/>
  <c r="W241" i="10" s="1"/>
  <c r="U225" i="10"/>
  <c r="W225" i="10" s="1"/>
  <c r="U209" i="10"/>
  <c r="W209" i="10" s="1"/>
  <c r="U196" i="10"/>
  <c r="W196" i="10" s="1"/>
  <c r="U183" i="10"/>
  <c r="W183" i="10" s="1"/>
  <c r="U180" i="10"/>
  <c r="W180" i="10" s="1"/>
  <c r="U167" i="10"/>
  <c r="W167" i="10" s="1"/>
  <c r="U164" i="10"/>
  <c r="W164" i="10" s="1"/>
  <c r="U160" i="10"/>
  <c r="W160" i="10" s="1"/>
  <c r="U149" i="10"/>
  <c r="W149" i="10" s="1"/>
  <c r="U138" i="10"/>
  <c r="W138" i="10" s="1"/>
  <c r="U131" i="10"/>
  <c r="W131" i="10" s="1"/>
  <c r="U127" i="10"/>
  <c r="W127" i="10" s="1"/>
  <c r="U105" i="10"/>
  <c r="W105" i="10" s="1"/>
  <c r="U98" i="10"/>
  <c r="W98" i="10" s="1"/>
  <c r="U94" i="10"/>
  <c r="W94" i="10" s="1"/>
  <c r="U76" i="10"/>
  <c r="W76" i="10" s="1"/>
  <c r="U72" i="10"/>
  <c r="W72" i="10" s="1"/>
  <c r="U347" i="10"/>
  <c r="W347" i="10" s="1"/>
  <c r="U313" i="10"/>
  <c r="W313" i="10" s="1"/>
  <c r="U298" i="10"/>
  <c r="W298" i="10" s="1"/>
  <c r="U291" i="10"/>
  <c r="W291" i="10" s="1"/>
  <c r="U253" i="10"/>
  <c r="W253" i="10" s="1"/>
  <c r="U250" i="10"/>
  <c r="W250" i="10" s="1"/>
  <c r="U247" i="10"/>
  <c r="W247" i="10" s="1"/>
  <c r="U237" i="10"/>
  <c r="W237" i="10" s="1"/>
  <c r="U234" i="10"/>
  <c r="W234" i="10" s="1"/>
  <c r="U231" i="10"/>
  <c r="W231" i="10" s="1"/>
  <c r="U221" i="10"/>
  <c r="W221" i="10" s="1"/>
  <c r="U218" i="10"/>
  <c r="W218" i="10" s="1"/>
  <c r="U215" i="10"/>
  <c r="W215" i="10" s="1"/>
  <c r="U205" i="10"/>
  <c r="W205" i="10" s="1"/>
  <c r="U202" i="10"/>
  <c r="W202" i="10" s="1"/>
  <c r="U199" i="10"/>
  <c r="W199" i="10" s="1"/>
  <c r="U189" i="10"/>
  <c r="W189" i="10" s="1"/>
  <c r="U186" i="10"/>
  <c r="W186" i="10" s="1"/>
  <c r="U173" i="10"/>
  <c r="W173" i="10" s="1"/>
  <c r="U170" i="10"/>
  <c r="W170" i="10" s="1"/>
  <c r="U156" i="10"/>
  <c r="W156" i="10" s="1"/>
  <c r="U152" i="10"/>
  <c r="W152" i="10" s="1"/>
  <c r="U145" i="10"/>
  <c r="W145" i="10" s="1"/>
  <c r="U141" i="10"/>
  <c r="W141" i="10" s="1"/>
  <c r="U134" i="10"/>
  <c r="W134" i="10" s="1"/>
  <c r="U123" i="10"/>
  <c r="W123" i="10" s="1"/>
  <c r="U119" i="10"/>
  <c r="W119" i="10" s="1"/>
  <c r="U116" i="10"/>
  <c r="W116" i="10" s="1"/>
  <c r="U112" i="10"/>
  <c r="W112" i="10" s="1"/>
  <c r="U101" i="10"/>
  <c r="W101" i="10" s="1"/>
  <c r="U90" i="10"/>
  <c r="W90" i="10" s="1"/>
  <c r="U83" i="10"/>
  <c r="W83" i="10" s="1"/>
  <c r="U79" i="10"/>
  <c r="W79" i="10" s="1"/>
  <c r="U354" i="10"/>
  <c r="W354" i="10" s="1"/>
  <c r="U309" i="10"/>
  <c r="W309" i="10" s="1"/>
  <c r="U272" i="10"/>
  <c r="W272" i="10" s="1"/>
  <c r="U256" i="10"/>
  <c r="W256" i="10" s="1"/>
  <c r="U240" i="10"/>
  <c r="W240" i="10" s="1"/>
  <c r="U224" i="10"/>
  <c r="W224" i="10" s="1"/>
  <c r="U208" i="10"/>
  <c r="W208" i="10" s="1"/>
  <c r="U195" i="10"/>
  <c r="W195" i="10" s="1"/>
  <c r="U192" i="10"/>
  <c r="W192" i="10" s="1"/>
  <c r="U179" i="10"/>
  <c r="W179" i="10" s="1"/>
  <c r="U176" i="10"/>
  <c r="W176" i="10" s="1"/>
  <c r="U163" i="10"/>
  <c r="W163" i="10" s="1"/>
  <c r="U159" i="10"/>
  <c r="W159" i="10" s="1"/>
  <c r="U137" i="10"/>
  <c r="W137" i="10" s="1"/>
  <c r="U130" i="10"/>
  <c r="W130" i="10" s="1"/>
  <c r="U126" i="10"/>
  <c r="W126" i="10" s="1"/>
  <c r="U108" i="10"/>
  <c r="W108" i="10" s="1"/>
  <c r="U104" i="10"/>
  <c r="W104" i="10" s="1"/>
  <c r="U97" i="10"/>
  <c r="W97" i="10" s="1"/>
  <c r="U93" i="10"/>
  <c r="W93" i="10" s="1"/>
  <c r="U86" i="10"/>
  <c r="W86" i="10" s="1"/>
  <c r="U75" i="10"/>
  <c r="W75" i="10" s="1"/>
  <c r="U71" i="10"/>
  <c r="W71" i="10" s="1"/>
  <c r="U361" i="10"/>
  <c r="W361" i="10" s="1"/>
  <c r="U312" i="10"/>
  <c r="W312" i="10" s="1"/>
  <c r="U297" i="10"/>
  <c r="W297" i="10" s="1"/>
  <c r="U290" i="10"/>
  <c r="W290" i="10" s="1"/>
  <c r="U259" i="10"/>
  <c r="W259" i="10" s="1"/>
  <c r="U252" i="10"/>
  <c r="W252" i="10" s="1"/>
  <c r="U246" i="10"/>
  <c r="W246" i="10" s="1"/>
  <c r="U243" i="10"/>
  <c r="W243" i="10" s="1"/>
  <c r="U236" i="10"/>
  <c r="W236" i="10" s="1"/>
  <c r="U230" i="10"/>
  <c r="W230" i="10" s="1"/>
  <c r="U227" i="10"/>
  <c r="W227" i="10" s="1"/>
  <c r="U220" i="10"/>
  <c r="W220" i="10" s="1"/>
  <c r="U214" i="10"/>
  <c r="W214" i="10" s="1"/>
  <c r="U211" i="10"/>
  <c r="W211" i="10" s="1"/>
  <c r="U204" i="10"/>
  <c r="W204" i="10" s="1"/>
  <c r="U198" i="10"/>
  <c r="W198" i="10" s="1"/>
  <c r="U185" i="10"/>
  <c r="W185" i="10" s="1"/>
  <c r="U182" i="10"/>
  <c r="W182" i="10" s="1"/>
  <c r="U169" i="10"/>
  <c r="W169" i="10" s="1"/>
  <c r="U166" i="10"/>
  <c r="W166" i="10" s="1"/>
  <c r="U155" i="10"/>
  <c r="W155" i="10" s="1"/>
  <c r="U151" i="10"/>
  <c r="W151" i="10" s="1"/>
  <c r="U148" i="10"/>
  <c r="W148" i="10" s="1"/>
  <c r="U144" i="10"/>
  <c r="W144" i="10" s="1"/>
  <c r="U133" i="10"/>
  <c r="W133" i="10" s="1"/>
  <c r="U122" i="10"/>
  <c r="W122" i="10" s="1"/>
  <c r="U115" i="10"/>
  <c r="W115" i="10" s="1"/>
  <c r="U111" i="10"/>
  <c r="W111" i="10" s="1"/>
  <c r="U89" i="10"/>
  <c r="W89" i="10" s="1"/>
  <c r="U82" i="10"/>
  <c r="W82" i="10" s="1"/>
  <c r="U78" i="10"/>
  <c r="W78" i="10" s="1"/>
  <c r="U319" i="10"/>
  <c r="W319" i="10" s="1"/>
  <c r="U308" i="10"/>
  <c r="W308" i="10" s="1"/>
  <c r="U249" i="10"/>
  <c r="W249" i="10" s="1"/>
  <c r="U233" i="10"/>
  <c r="W233" i="10" s="1"/>
  <c r="U217" i="10"/>
  <c r="W217" i="10" s="1"/>
  <c r="U201" i="10"/>
  <c r="W201" i="10" s="1"/>
  <c r="U191" i="10"/>
  <c r="W191" i="10" s="1"/>
  <c r="U188" i="10"/>
  <c r="W188" i="10" s="1"/>
  <c r="U175" i="10"/>
  <c r="W175" i="10" s="1"/>
  <c r="U172" i="10"/>
  <c r="W172" i="10" s="1"/>
  <c r="U162" i="10"/>
  <c r="W162" i="10" s="1"/>
  <c r="U158" i="10"/>
  <c r="W158" i="10" s="1"/>
  <c r="U140" i="10"/>
  <c r="W140" i="10" s="1"/>
  <c r="U136" i="10"/>
  <c r="W136" i="10" s="1"/>
  <c r="U129" i="10"/>
  <c r="W129" i="10" s="1"/>
  <c r="U125" i="10"/>
  <c r="W125" i="10" s="1"/>
  <c r="U118" i="10"/>
  <c r="W118" i="10" s="1"/>
  <c r="U107" i="10"/>
  <c r="W107" i="10" s="1"/>
  <c r="U103" i="10"/>
  <c r="W103" i="10" s="1"/>
  <c r="U100" i="10"/>
  <c r="W100" i="10" s="1"/>
  <c r="U96" i="10"/>
  <c r="W96" i="10" s="1"/>
  <c r="U85" i="10"/>
  <c r="W85" i="10" s="1"/>
  <c r="U74" i="10"/>
  <c r="W74" i="10" s="1"/>
  <c r="U326" i="10"/>
  <c r="W326" i="10" s="1"/>
  <c r="U311" i="10"/>
  <c r="W311" i="10" s="1"/>
  <c r="U285" i="10"/>
  <c r="W285" i="10" s="1"/>
  <c r="U278" i="10"/>
  <c r="W278" i="10" s="1"/>
  <c r="U271" i="10"/>
  <c r="W271" i="10" s="1"/>
  <c r="U258" i="10"/>
  <c r="W258" i="10" s="1"/>
  <c r="U255" i="10"/>
  <c r="W255" i="10" s="1"/>
  <c r="U245" i="10"/>
  <c r="W245" i="10" s="1"/>
  <c r="U242" i="10"/>
  <c r="W242" i="10" s="1"/>
  <c r="U239" i="10"/>
  <c r="W239" i="10" s="1"/>
  <c r="U229" i="10"/>
  <c r="W229" i="10" s="1"/>
  <c r="U226" i="10"/>
  <c r="W226" i="10" s="1"/>
  <c r="U223" i="10"/>
  <c r="W223" i="10" s="1"/>
  <c r="U213" i="10"/>
  <c r="W213" i="10" s="1"/>
  <c r="U210" i="10"/>
  <c r="W210" i="10" s="1"/>
  <c r="U207" i="10"/>
  <c r="W207" i="10" s="1"/>
  <c r="U197" i="10"/>
  <c r="W197" i="10" s="1"/>
  <c r="U194" i="10"/>
  <c r="W194" i="10" s="1"/>
  <c r="U181" i="10"/>
  <c r="W181" i="10" s="1"/>
  <c r="U178" i="10"/>
  <c r="W178" i="10" s="1"/>
  <c r="U165" i="10"/>
  <c r="W165" i="10" s="1"/>
  <c r="U154" i="10"/>
  <c r="W154" i="10" s="1"/>
  <c r="U147" i="10"/>
  <c r="W147" i="10" s="1"/>
  <c r="U143" i="10"/>
  <c r="W143" i="10" s="1"/>
  <c r="U121" i="10"/>
  <c r="W121" i="10" s="1"/>
  <c r="U114" i="10"/>
  <c r="W114" i="10" s="1"/>
  <c r="U110" i="10"/>
  <c r="W110" i="10" s="1"/>
  <c r="U92" i="10"/>
  <c r="W92" i="10" s="1"/>
  <c r="U88" i="10"/>
  <c r="W88" i="10" s="1"/>
  <c r="U81" i="10"/>
  <c r="W81" i="10" s="1"/>
  <c r="U77" i="10"/>
  <c r="W77" i="10" s="1"/>
  <c r="U70" i="10"/>
  <c r="W70" i="10" s="1"/>
  <c r="U248" i="10"/>
  <c r="W248" i="10" s="1"/>
  <c r="U171" i="10"/>
  <c r="W171" i="10" s="1"/>
  <c r="U68" i="10"/>
  <c r="W68" i="10" s="1"/>
  <c r="U64" i="10"/>
  <c r="W64" i="10" s="1"/>
  <c r="U47" i="10"/>
  <c r="W47" i="10" s="1"/>
  <c r="U44" i="10"/>
  <c r="W44" i="10" s="1"/>
  <c r="U31" i="10"/>
  <c r="W31" i="10" s="1"/>
  <c r="U28" i="10"/>
  <c r="W28" i="10" s="1"/>
  <c r="U15" i="10"/>
  <c r="W15" i="10" s="1"/>
  <c r="U12" i="10"/>
  <c r="W12" i="10" s="1"/>
  <c r="U168" i="10"/>
  <c r="W168" i="10" s="1"/>
  <c r="U139" i="10"/>
  <c r="W139" i="10" s="1"/>
  <c r="U60" i="10"/>
  <c r="W60" i="10" s="1"/>
  <c r="U53" i="10"/>
  <c r="W53" i="10" s="1"/>
  <c r="U50" i="10"/>
  <c r="W50" i="10" s="1"/>
  <c r="U37" i="10"/>
  <c r="W37" i="10" s="1"/>
  <c r="U34" i="10"/>
  <c r="W34" i="10" s="1"/>
  <c r="U21" i="10"/>
  <c r="W21" i="10" s="1"/>
  <c r="U18" i="10"/>
  <c r="W18" i="10" s="1"/>
  <c r="U5" i="10"/>
  <c r="W5" i="10" s="1"/>
  <c r="U54" i="10"/>
  <c r="W54" i="10" s="1"/>
  <c r="U22" i="10"/>
  <c r="W22" i="10" s="1"/>
  <c r="U9" i="10"/>
  <c r="W9" i="10" s="1"/>
  <c r="U216" i="10"/>
  <c r="W216" i="10" s="1"/>
  <c r="U135" i="10"/>
  <c r="W135" i="10" s="1"/>
  <c r="U106" i="10"/>
  <c r="W106" i="10" s="1"/>
  <c r="U67" i="10"/>
  <c r="W67" i="10" s="1"/>
  <c r="U63" i="10"/>
  <c r="W63" i="10" s="1"/>
  <c r="U56" i="10"/>
  <c r="W56" i="10" s="1"/>
  <c r="U43" i="10"/>
  <c r="W43" i="10" s="1"/>
  <c r="U40" i="10"/>
  <c r="W40" i="10" s="1"/>
  <c r="U27" i="10"/>
  <c r="W27" i="10" s="1"/>
  <c r="U24" i="10"/>
  <c r="W24" i="10" s="1"/>
  <c r="U11" i="10"/>
  <c r="W11" i="10" s="1"/>
  <c r="U8" i="10"/>
  <c r="W8" i="10" s="1"/>
  <c r="U200" i="10"/>
  <c r="W200" i="10" s="1"/>
  <c r="U57" i="10"/>
  <c r="W57" i="10" s="1"/>
  <c r="U41" i="10"/>
  <c r="W41" i="10" s="1"/>
  <c r="U187" i="10"/>
  <c r="W187" i="10" s="1"/>
  <c r="U161" i="10"/>
  <c r="W161" i="10" s="1"/>
  <c r="U132" i="10"/>
  <c r="W132" i="10" s="1"/>
  <c r="U73" i="10"/>
  <c r="W73" i="10" s="1"/>
  <c r="U59" i="10"/>
  <c r="W59" i="10" s="1"/>
  <c r="U49" i="10"/>
  <c r="W49" i="10" s="1"/>
  <c r="U46" i="10"/>
  <c r="W46" i="10" s="1"/>
  <c r="U33" i="10"/>
  <c r="W33" i="10" s="1"/>
  <c r="U30" i="10"/>
  <c r="W30" i="10" s="1"/>
  <c r="U17" i="10"/>
  <c r="W17" i="10" s="1"/>
  <c r="U14" i="10"/>
  <c r="W14" i="10" s="1"/>
  <c r="U65" i="10"/>
  <c r="W65" i="10" s="1"/>
  <c r="U48" i="10"/>
  <c r="W48" i="10" s="1"/>
  <c r="U19" i="10"/>
  <c r="W19" i="10" s="1"/>
  <c r="U184" i="10"/>
  <c r="W184" i="10" s="1"/>
  <c r="U157" i="10"/>
  <c r="W157" i="10" s="1"/>
  <c r="U128" i="10"/>
  <c r="W128" i="10" s="1"/>
  <c r="U99" i="10"/>
  <c r="W99" i="10" s="1"/>
  <c r="U66" i="10"/>
  <c r="W66" i="10" s="1"/>
  <c r="U62" i="10"/>
  <c r="W62" i="10" s="1"/>
  <c r="U55" i="10"/>
  <c r="W55" i="10" s="1"/>
  <c r="U52" i="10"/>
  <c r="W52" i="10" s="1"/>
  <c r="U39" i="10"/>
  <c r="W39" i="10" s="1"/>
  <c r="U36" i="10"/>
  <c r="W36" i="10" s="1"/>
  <c r="U23" i="10"/>
  <c r="W23" i="10" s="1"/>
  <c r="U20" i="10"/>
  <c r="W20" i="10" s="1"/>
  <c r="U7" i="10"/>
  <c r="W7" i="10" s="1"/>
  <c r="U4" i="10"/>
  <c r="W4" i="10" s="1"/>
  <c r="U150" i="10"/>
  <c r="W150" i="10" s="1"/>
  <c r="U61" i="10"/>
  <c r="W61" i="10" s="1"/>
  <c r="U51" i="10"/>
  <c r="W51" i="10" s="1"/>
  <c r="U35" i="10"/>
  <c r="W35" i="10" s="1"/>
  <c r="U16" i="10"/>
  <c r="W16" i="10" s="1"/>
  <c r="U307" i="10"/>
  <c r="W307" i="10" s="1"/>
  <c r="U117" i="10"/>
  <c r="W117" i="10" s="1"/>
  <c r="U6" i="10"/>
  <c r="W6" i="10" s="1"/>
  <c r="U232" i="10"/>
  <c r="W232" i="10" s="1"/>
  <c r="U95" i="10"/>
  <c r="W95" i="10" s="1"/>
  <c r="U69" i="10"/>
  <c r="W69" i="10" s="1"/>
  <c r="U58" i="10"/>
  <c r="W58" i="10" s="1"/>
  <c r="U45" i="10"/>
  <c r="W45" i="10" s="1"/>
  <c r="U42" i="10"/>
  <c r="W42" i="10" s="1"/>
  <c r="U29" i="10"/>
  <c r="W29" i="10" s="1"/>
  <c r="U26" i="10"/>
  <c r="W26" i="10" s="1"/>
  <c r="U13" i="10"/>
  <c r="W13" i="10" s="1"/>
  <c r="U10" i="10"/>
  <c r="W10" i="10" s="1"/>
  <c r="U32" i="10"/>
  <c r="W32" i="10" s="1"/>
  <c r="U3" i="10"/>
  <c r="W3" i="10" s="1"/>
  <c r="U38" i="10"/>
  <c r="W38" i="10" s="1"/>
  <c r="U25" i="10"/>
  <c r="W25" i="10" s="1"/>
  <c r="U2" i="10"/>
  <c r="W2" i="10" s="1"/>
  <c r="U364" i="10"/>
  <c r="W364" i="10" s="1"/>
  <c r="U360" i="10"/>
  <c r="W360" i="10" s="1"/>
  <c r="U363" i="10"/>
  <c r="W363" i="10" s="1"/>
  <c r="U362" i="10"/>
  <c r="W362" i="10" s="1"/>
  <c r="U365" i="10"/>
  <c r="W365" i="10" s="1"/>
  <c r="U366" i="10"/>
  <c r="W366" i="10" s="1"/>
  <c r="U358" i="10"/>
  <c r="W358" i="10" s="1"/>
  <c r="U359" i="10"/>
  <c r="W359" i="10" s="1"/>
  <c r="U356" i="10"/>
  <c r="W356" i="10" s="1"/>
  <c r="U357" i="10"/>
  <c r="W357" i="10" s="1"/>
  <c r="U351" i="10"/>
  <c r="W351" i="10" s="1"/>
  <c r="U350" i="10"/>
  <c r="W350" i="10" s="1"/>
  <c r="U352" i="10"/>
  <c r="W352" i="10" s="1"/>
  <c r="U353" i="10"/>
  <c r="W353" i="10" s="1"/>
  <c r="U355" i="10"/>
  <c r="W355" i="10" s="1"/>
  <c r="U349" i="10"/>
  <c r="W349" i="10" s="1"/>
  <c r="U345" i="10"/>
  <c r="W345" i="10" s="1"/>
  <c r="U343" i="10"/>
  <c r="W343" i="10" s="1"/>
  <c r="U348" i="10"/>
  <c r="W348" i="10" s="1"/>
  <c r="U346" i="10"/>
  <c r="W346" i="10" s="1"/>
  <c r="U344" i="10"/>
  <c r="W344" i="10" s="1"/>
  <c r="U342" i="10"/>
  <c r="W342" i="10" s="1"/>
  <c r="U338" i="10"/>
  <c r="W338" i="10" s="1"/>
  <c r="U339" i="10"/>
  <c r="W339" i="10" s="1"/>
  <c r="U336" i="10"/>
  <c r="W336" i="10" s="1"/>
  <c r="U335" i="10"/>
  <c r="W335" i="10" s="1"/>
  <c r="U337" i="10"/>
  <c r="W337" i="10" s="1"/>
  <c r="U341" i="10"/>
  <c r="W341" i="10" s="1"/>
  <c r="U340" i="10"/>
  <c r="W340" i="10" s="1"/>
  <c r="U331" i="10"/>
  <c r="W331" i="10" s="1"/>
  <c r="U328" i="10"/>
  <c r="W328" i="10" s="1"/>
  <c r="U332" i="10"/>
  <c r="W332" i="10" s="1"/>
  <c r="U334" i="10"/>
  <c r="W334" i="10" s="1"/>
  <c r="U330" i="10"/>
  <c r="W330" i="10" s="1"/>
  <c r="U333" i="10"/>
  <c r="W333" i="10" s="1"/>
  <c r="U329" i="10"/>
  <c r="W329" i="10" s="1"/>
  <c r="U325" i="10"/>
  <c r="W325" i="10" s="1"/>
  <c r="U323" i="10"/>
  <c r="W323" i="10" s="1"/>
  <c r="U327" i="10"/>
  <c r="W327" i="10" s="1"/>
  <c r="U324" i="10"/>
  <c r="W324" i="10" s="1"/>
  <c r="U322" i="10"/>
  <c r="W322" i="10" s="1"/>
  <c r="U302" i="10"/>
  <c r="W302" i="10" s="1"/>
  <c r="U315" i="10"/>
  <c r="W315" i="10" s="1"/>
  <c r="U303" i="10"/>
  <c r="W303" i="10" s="1"/>
  <c r="U320" i="10"/>
  <c r="W320" i="10" s="1"/>
  <c r="U316" i="10"/>
  <c r="W316" i="10" s="1"/>
  <c r="U317" i="10"/>
  <c r="W317" i="10" s="1"/>
  <c r="U305" i="10"/>
  <c r="W305" i="10" s="1"/>
  <c r="U304" i="10"/>
  <c r="W304" i="10" s="1"/>
  <c r="U318" i="10"/>
  <c r="W318" i="10" s="1"/>
  <c r="U292" i="10"/>
  <c r="W292" i="10" s="1"/>
  <c r="U300" i="10"/>
  <c r="W300" i="10" s="1"/>
  <c r="U301" i="10"/>
  <c r="W301" i="10" s="1"/>
  <c r="U296" i="10"/>
  <c r="W296" i="10" s="1"/>
  <c r="U293" i="10"/>
  <c r="W293" i="10" s="1"/>
  <c r="U295" i="10"/>
  <c r="W295" i="10" s="1"/>
  <c r="U299" i="10"/>
  <c r="W299" i="10" s="1"/>
  <c r="U294" i="10"/>
  <c r="W294" i="10" s="1"/>
  <c r="U288" i="10"/>
  <c r="W288" i="10" s="1"/>
  <c r="U266" i="10"/>
  <c r="W266" i="10" s="1"/>
  <c r="U287" i="10"/>
  <c r="W287" i="10" s="1"/>
  <c r="U286" i="10"/>
  <c r="W286" i="10" s="1"/>
  <c r="U289" i="10"/>
  <c r="W289" i="10" s="1"/>
  <c r="U268" i="10"/>
  <c r="W268" i="10" s="1"/>
  <c r="U264" i="10"/>
  <c r="W264" i="10" s="1"/>
  <c r="U261" i="10"/>
  <c r="W261" i="10" s="1"/>
  <c r="U263" i="10"/>
  <c r="W263" i="10" s="1"/>
  <c r="U269" i="10"/>
  <c r="W269" i="10" s="1"/>
  <c r="U279" i="10"/>
  <c r="W279" i="10" s="1"/>
  <c r="U282" i="10"/>
  <c r="W282" i="10" s="1"/>
  <c r="U265" i="10"/>
  <c r="W265" i="10" s="1"/>
  <c r="U273" i="10"/>
  <c r="W273" i="10" s="1"/>
  <c r="U267" i="10"/>
  <c r="W267" i="10" s="1"/>
  <c r="U275" i="10"/>
  <c r="W275" i="10" s="1"/>
  <c r="U262" i="10"/>
  <c r="W262" i="10" s="1"/>
  <c r="U260" i="10"/>
  <c r="W260" i="10" s="1"/>
  <c r="U274" i="10"/>
  <c r="W274" i="10" s="1"/>
  <c r="U283" i="10"/>
  <c r="W283" i="10" s="1"/>
  <c r="U280" i="10"/>
  <c r="W280" i="10" s="1"/>
  <c r="U276" i="10"/>
  <c r="W276" i="10" s="1"/>
  <c r="U281" i="10"/>
  <c r="W281" i="10" s="1"/>
  <c r="AA6" i="9"/>
  <c r="U3" i="9"/>
  <c r="W3" i="9" s="1"/>
  <c r="U16" i="9"/>
  <c r="W16" i="9" s="1"/>
  <c r="U19" i="9"/>
  <c r="W19" i="9" s="1"/>
  <c r="U29" i="9"/>
  <c r="W29" i="9" s="1"/>
  <c r="U33" i="9"/>
  <c r="W33" i="9" s="1"/>
  <c r="U40" i="9"/>
  <c r="W40" i="9" s="1"/>
  <c r="U51" i="9"/>
  <c r="W51" i="9" s="1"/>
  <c r="U62" i="9"/>
  <c r="W62" i="9" s="1"/>
  <c r="U66" i="9"/>
  <c r="W66" i="9" s="1"/>
  <c r="U69" i="9"/>
  <c r="W69" i="9" s="1"/>
  <c r="U73" i="9"/>
  <c r="W73" i="9" s="1"/>
  <c r="U87" i="9"/>
  <c r="W87" i="9" s="1"/>
  <c r="U98" i="9"/>
  <c r="W98" i="9" s="1"/>
  <c r="U101" i="9"/>
  <c r="W101" i="9" s="1"/>
  <c r="U108" i="9"/>
  <c r="W108" i="9" s="1"/>
  <c r="U112" i="9"/>
  <c r="W112" i="9" s="1"/>
  <c r="U119" i="9"/>
  <c r="W119" i="9" s="1"/>
  <c r="U4" i="9"/>
  <c r="W4" i="9" s="1"/>
  <c r="U7" i="9"/>
  <c r="W7" i="9" s="1"/>
  <c r="U20" i="9"/>
  <c r="W20" i="9" s="1"/>
  <c r="U23" i="9"/>
  <c r="W23" i="9" s="1"/>
  <c r="U30" i="9"/>
  <c r="W30" i="9" s="1"/>
  <c r="U34" i="9"/>
  <c r="W34" i="9" s="1"/>
  <c r="U37" i="9"/>
  <c r="W37" i="9" s="1"/>
  <c r="U41" i="9"/>
  <c r="W41" i="9" s="1"/>
  <c r="U52" i="9"/>
  <c r="W52" i="9" s="1"/>
  <c r="U59" i="9"/>
  <c r="W59" i="9" s="1"/>
  <c r="U63" i="9"/>
  <c r="W63" i="9" s="1"/>
  <c r="U70" i="9"/>
  <c r="W70" i="9" s="1"/>
  <c r="U74" i="9"/>
  <c r="W74" i="9" s="1"/>
  <c r="U81" i="9"/>
  <c r="W81" i="9" s="1"/>
  <c r="U88" i="9"/>
  <c r="W88" i="9" s="1"/>
  <c r="U102" i="9"/>
  <c r="W102" i="9" s="1"/>
  <c r="U109" i="9"/>
  <c r="W109" i="9" s="1"/>
  <c r="U113" i="9"/>
  <c r="W113" i="9" s="1"/>
  <c r="U120" i="9"/>
  <c r="W120" i="9" s="1"/>
  <c r="U123" i="9"/>
  <c r="W123" i="9" s="1"/>
  <c r="U8" i="9"/>
  <c r="W8" i="9" s="1"/>
  <c r="U11" i="9"/>
  <c r="W11" i="9" s="1"/>
  <c r="U24" i="9"/>
  <c r="W24" i="9" s="1"/>
  <c r="U27" i="9"/>
  <c r="W27" i="9" s="1"/>
  <c r="U31" i="9"/>
  <c r="W31" i="9" s="1"/>
  <c r="U38" i="9"/>
  <c r="W38" i="9" s="1"/>
  <c r="U42" i="9"/>
  <c r="W42" i="9" s="1"/>
  <c r="U60" i="9"/>
  <c r="W60" i="9" s="1"/>
  <c r="U64" i="9"/>
  <c r="W64" i="9" s="1"/>
  <c r="U71" i="9"/>
  <c r="W71" i="9" s="1"/>
  <c r="U82" i="9"/>
  <c r="W82" i="9" s="1"/>
  <c r="U85" i="9"/>
  <c r="W85" i="9" s="1"/>
  <c r="U89" i="9"/>
  <c r="W89" i="9" s="1"/>
  <c r="U103" i="9"/>
  <c r="W103" i="9" s="1"/>
  <c r="U110" i="9"/>
  <c r="W110" i="9" s="1"/>
  <c r="U114" i="9"/>
  <c r="W114" i="9" s="1"/>
  <c r="U117" i="9"/>
  <c r="W117" i="9" s="1"/>
  <c r="U124" i="9"/>
  <c r="W124" i="9" s="1"/>
  <c r="U128" i="9"/>
  <c r="W128" i="9" s="1"/>
  <c r="U135" i="9"/>
  <c r="W135" i="9" s="1"/>
  <c r="U148" i="9"/>
  <c r="W148" i="9" s="1"/>
  <c r="U151" i="9"/>
  <c r="W151" i="9" s="1"/>
  <c r="U164" i="9"/>
  <c r="W164" i="9" s="1"/>
  <c r="U167" i="9"/>
  <c r="W167" i="9" s="1"/>
  <c r="U170" i="9"/>
  <c r="W170" i="9" s="1"/>
  <c r="U175" i="9"/>
  <c r="W175" i="9" s="1"/>
  <c r="U183" i="9"/>
  <c r="W183" i="9" s="1"/>
  <c r="U191" i="9"/>
  <c r="W191" i="9" s="1"/>
  <c r="U199" i="9"/>
  <c r="W199" i="9" s="1"/>
  <c r="U207" i="9"/>
  <c r="W207" i="9" s="1"/>
  <c r="U215" i="9"/>
  <c r="W215" i="9" s="1"/>
  <c r="U223" i="9"/>
  <c r="W223" i="9" s="1"/>
  <c r="U231" i="9"/>
  <c r="W231" i="9" s="1"/>
  <c r="U234" i="9"/>
  <c r="W234" i="9" s="1"/>
  <c r="U245" i="9"/>
  <c r="W245" i="9" s="1"/>
  <c r="U257" i="9"/>
  <c r="W257" i="9" s="1"/>
  <c r="U260" i="9"/>
  <c r="W260" i="9" s="1"/>
  <c r="U263" i="9"/>
  <c r="W263" i="9" s="1"/>
  <c r="U5" i="9"/>
  <c r="W5" i="9" s="1"/>
  <c r="U18" i="9"/>
  <c r="W18" i="9" s="1"/>
  <c r="U21" i="9"/>
  <c r="W21" i="9" s="1"/>
  <c r="U35" i="9"/>
  <c r="W35" i="9" s="1"/>
  <c r="U46" i="9"/>
  <c r="W46" i="9" s="1"/>
  <c r="U50" i="9"/>
  <c r="W50" i="9" s="1"/>
  <c r="U53" i="9"/>
  <c r="W53" i="9" s="1"/>
  <c r="U57" i="9"/>
  <c r="W57" i="9" s="1"/>
  <c r="U68" i="9"/>
  <c r="W68" i="9" s="1"/>
  <c r="U75" i="9"/>
  <c r="W75" i="9" s="1"/>
  <c r="U79" i="9"/>
  <c r="W79" i="9" s="1"/>
  <c r="U93" i="9"/>
  <c r="W93" i="9" s="1"/>
  <c r="U100" i="9"/>
  <c r="W100" i="9" s="1"/>
  <c r="U121" i="9"/>
  <c r="W121" i="9" s="1"/>
  <c r="U132" i="9"/>
  <c r="W132" i="9" s="1"/>
  <c r="U142" i="9"/>
  <c r="W142" i="9" s="1"/>
  <c r="U145" i="9"/>
  <c r="W145" i="9" s="1"/>
  <c r="U158" i="9"/>
  <c r="W158" i="9" s="1"/>
  <c r="U161" i="9"/>
  <c r="W161" i="9" s="1"/>
  <c r="U178" i="9"/>
  <c r="W178" i="9" s="1"/>
  <c r="U186" i="9"/>
  <c r="W186" i="9" s="1"/>
  <c r="U194" i="9"/>
  <c r="W194" i="9" s="1"/>
  <c r="U202" i="9"/>
  <c r="W202" i="9" s="1"/>
  <c r="U210" i="9"/>
  <c r="W210" i="9" s="1"/>
  <c r="U218" i="9"/>
  <c r="W218" i="9" s="1"/>
  <c r="U226" i="9"/>
  <c r="W226" i="9" s="1"/>
  <c r="U237" i="9"/>
  <c r="W237" i="9" s="1"/>
  <c r="U248" i="9"/>
  <c r="W248" i="9" s="1"/>
  <c r="U251" i="9"/>
  <c r="W251" i="9" s="1"/>
  <c r="U254" i="9"/>
  <c r="W254" i="9" s="1"/>
  <c r="U270" i="9"/>
  <c r="W270" i="9" s="1"/>
  <c r="U10" i="9"/>
  <c r="W10" i="9" s="1"/>
  <c r="U44" i="9"/>
  <c r="W44" i="9" s="1"/>
  <c r="U95" i="9"/>
  <c r="W95" i="9" s="1"/>
  <c r="U116" i="9"/>
  <c r="W116" i="9" s="1"/>
  <c r="U129" i="9"/>
  <c r="W129" i="9" s="1"/>
  <c r="U133" i="9"/>
  <c r="W133" i="9" s="1"/>
  <c r="U155" i="9"/>
  <c r="W155" i="9" s="1"/>
  <c r="U159" i="9"/>
  <c r="W159" i="9" s="1"/>
  <c r="U163" i="9"/>
  <c r="W163" i="9" s="1"/>
  <c r="U168" i="9"/>
  <c r="W168" i="9" s="1"/>
  <c r="U171" i="9"/>
  <c r="W171" i="9" s="1"/>
  <c r="U185" i="9"/>
  <c r="W185" i="9" s="1"/>
  <c r="U189" i="9"/>
  <c r="W189" i="9" s="1"/>
  <c r="U203" i="9"/>
  <c r="W203" i="9" s="1"/>
  <c r="U217" i="9"/>
  <c r="W217" i="9" s="1"/>
  <c r="U221" i="9"/>
  <c r="W221" i="9" s="1"/>
  <c r="U243" i="9"/>
  <c r="W243" i="9" s="1"/>
  <c r="U250" i="9"/>
  <c r="W250" i="9" s="1"/>
  <c r="U271" i="9"/>
  <c r="W271" i="9" s="1"/>
  <c r="U278" i="9"/>
  <c r="W278" i="9" s="1"/>
  <c r="U305" i="9"/>
  <c r="W305" i="9" s="1"/>
  <c r="U361" i="9"/>
  <c r="W361" i="9" s="1"/>
  <c r="U17" i="9"/>
  <c r="W17" i="9" s="1"/>
  <c r="U45" i="9"/>
  <c r="W45" i="9" s="1"/>
  <c r="U67" i="9"/>
  <c r="W67" i="9" s="1"/>
  <c r="U96" i="9"/>
  <c r="W96" i="9" s="1"/>
  <c r="U138" i="9"/>
  <c r="W138" i="9" s="1"/>
  <c r="U182" i="9"/>
  <c r="W182" i="9" s="1"/>
  <c r="U196" i="9"/>
  <c r="W196" i="9" s="1"/>
  <c r="U200" i="9"/>
  <c r="W200" i="9" s="1"/>
  <c r="U214" i="9"/>
  <c r="W214" i="9" s="1"/>
  <c r="U228" i="9"/>
  <c r="W228" i="9" s="1"/>
  <c r="U232" i="9"/>
  <c r="W232" i="9" s="1"/>
  <c r="U239" i="9"/>
  <c r="W239" i="9" s="1"/>
  <c r="U259" i="9"/>
  <c r="W259" i="9" s="1"/>
  <c r="U312" i="9"/>
  <c r="W312" i="9" s="1"/>
  <c r="U347" i="9"/>
  <c r="W347" i="9" s="1"/>
  <c r="U12" i="9"/>
  <c r="W12" i="9" s="1"/>
  <c r="U32" i="9"/>
  <c r="W32" i="9" s="1"/>
  <c r="U39" i="9"/>
  <c r="W39" i="9" s="1"/>
  <c r="U61" i="9"/>
  <c r="W61" i="9" s="1"/>
  <c r="U90" i="9"/>
  <c r="W90" i="9" s="1"/>
  <c r="U97" i="9"/>
  <c r="W97" i="9" s="1"/>
  <c r="U104" i="9"/>
  <c r="W104" i="9" s="1"/>
  <c r="U111" i="9"/>
  <c r="W111" i="9" s="1"/>
  <c r="U118" i="9"/>
  <c r="W118" i="9" s="1"/>
  <c r="U125" i="9"/>
  <c r="W125" i="9" s="1"/>
  <c r="U130" i="9"/>
  <c r="W130" i="9" s="1"/>
  <c r="U134" i="9"/>
  <c r="W134" i="9" s="1"/>
  <c r="U139" i="9"/>
  <c r="W139" i="9" s="1"/>
  <c r="U143" i="9"/>
  <c r="W143" i="9" s="1"/>
  <c r="U147" i="9"/>
  <c r="W147" i="9" s="1"/>
  <c r="U152" i="9"/>
  <c r="W152" i="9" s="1"/>
  <c r="U156" i="9"/>
  <c r="W156" i="9" s="1"/>
  <c r="U160" i="9"/>
  <c r="W160" i="9" s="1"/>
  <c r="U179" i="9"/>
  <c r="W179" i="9" s="1"/>
  <c r="U193" i="9"/>
  <c r="W193" i="9" s="1"/>
  <c r="U197" i="9"/>
  <c r="W197" i="9" s="1"/>
  <c r="U211" i="9"/>
  <c r="W211" i="9" s="1"/>
  <c r="U225" i="9"/>
  <c r="W225" i="9" s="1"/>
  <c r="U229" i="9"/>
  <c r="W229" i="9" s="1"/>
  <c r="U236" i="9"/>
  <c r="W236" i="9" s="1"/>
  <c r="U240" i="9"/>
  <c r="W240" i="9" s="1"/>
  <c r="U247" i="9"/>
  <c r="W247" i="9" s="1"/>
  <c r="U255" i="9"/>
  <c r="W255" i="9" s="1"/>
  <c r="U272" i="9"/>
  <c r="W272" i="9" s="1"/>
  <c r="U319" i="9"/>
  <c r="W319" i="9" s="1"/>
  <c r="U6" i="9"/>
  <c r="W6" i="9" s="1"/>
  <c r="U25" i="9"/>
  <c r="W25" i="9" s="1"/>
  <c r="U47" i="9"/>
  <c r="W47" i="9" s="1"/>
  <c r="U54" i="9"/>
  <c r="W54" i="9" s="1"/>
  <c r="U76" i="9"/>
  <c r="W76" i="9" s="1"/>
  <c r="U83" i="9"/>
  <c r="W83" i="9" s="1"/>
  <c r="U165" i="9"/>
  <c r="W165" i="9" s="1"/>
  <c r="U169" i="9"/>
  <c r="W169" i="9" s="1"/>
  <c r="U172" i="9"/>
  <c r="W172" i="9" s="1"/>
  <c r="U176" i="9"/>
  <c r="W176" i="9" s="1"/>
  <c r="U190" i="9"/>
  <c r="W190" i="9" s="1"/>
  <c r="U204" i="9"/>
  <c r="W204" i="9" s="1"/>
  <c r="U208" i="9"/>
  <c r="W208" i="9" s="1"/>
  <c r="U222" i="9"/>
  <c r="W222" i="9" s="1"/>
  <c r="U233" i="9"/>
  <c r="W233" i="9" s="1"/>
  <c r="U244" i="9"/>
  <c r="W244" i="9" s="1"/>
  <c r="U13" i="9"/>
  <c r="W13" i="9" s="1"/>
  <c r="U26" i="9"/>
  <c r="W26" i="9" s="1"/>
  <c r="U48" i="9"/>
  <c r="W48" i="9" s="1"/>
  <c r="U55" i="9"/>
  <c r="W55" i="9" s="1"/>
  <c r="U77" i="9"/>
  <c r="W77" i="9" s="1"/>
  <c r="U84" i="9"/>
  <c r="W84" i="9" s="1"/>
  <c r="U91" i="9"/>
  <c r="W91" i="9" s="1"/>
  <c r="U105" i="9"/>
  <c r="W105" i="9" s="1"/>
  <c r="U126" i="9"/>
  <c r="W126" i="9" s="1"/>
  <c r="U136" i="9"/>
  <c r="W136" i="9" s="1"/>
  <c r="U140" i="9"/>
  <c r="W140" i="9" s="1"/>
  <c r="U144" i="9"/>
  <c r="W144" i="9" s="1"/>
  <c r="U173" i="9"/>
  <c r="W173" i="9" s="1"/>
  <c r="U187" i="9"/>
  <c r="W187" i="9" s="1"/>
  <c r="U201" i="9"/>
  <c r="W201" i="9" s="1"/>
  <c r="U205" i="9"/>
  <c r="W205" i="9" s="1"/>
  <c r="U219" i="9"/>
  <c r="W219" i="9" s="1"/>
  <c r="U241" i="9"/>
  <c r="W241" i="9" s="1"/>
  <c r="U252" i="9"/>
  <c r="W252" i="9" s="1"/>
  <c r="U256" i="9"/>
  <c r="W256" i="9" s="1"/>
  <c r="U333" i="9"/>
  <c r="W333" i="9" s="1"/>
  <c r="U15" i="9"/>
  <c r="W15" i="9" s="1"/>
  <c r="U28" i="9"/>
  <c r="W28" i="9" s="1"/>
  <c r="U65" i="9"/>
  <c r="W65" i="9" s="1"/>
  <c r="U72" i="9"/>
  <c r="W72" i="9" s="1"/>
  <c r="U86" i="9"/>
  <c r="W86" i="9" s="1"/>
  <c r="U107" i="9"/>
  <c r="W107" i="9" s="1"/>
  <c r="U127" i="9"/>
  <c r="W127" i="9" s="1"/>
  <c r="U166" i="9"/>
  <c r="W166" i="9" s="1"/>
  <c r="U177" i="9"/>
  <c r="W177" i="9" s="1"/>
  <c r="U181" i="9"/>
  <c r="W181" i="9" s="1"/>
  <c r="U195" i="9"/>
  <c r="W195" i="9" s="1"/>
  <c r="U209" i="9"/>
  <c r="W209" i="9" s="1"/>
  <c r="U213" i="9"/>
  <c r="W213" i="9" s="1"/>
  <c r="U227" i="9"/>
  <c r="W227" i="9" s="1"/>
  <c r="U238" i="9"/>
  <c r="W238" i="9" s="1"/>
  <c r="U258" i="9"/>
  <c r="W258" i="9" s="1"/>
  <c r="U277" i="9"/>
  <c r="W277" i="9" s="1"/>
  <c r="U284" i="9"/>
  <c r="W284" i="9" s="1"/>
  <c r="U92" i="9"/>
  <c r="W92" i="9" s="1"/>
  <c r="U157" i="9"/>
  <c r="W157" i="9" s="1"/>
  <c r="U216" i="9"/>
  <c r="W216" i="9" s="1"/>
  <c r="U230" i="9"/>
  <c r="W230" i="9" s="1"/>
  <c r="U261" i="9"/>
  <c r="W261" i="9" s="1"/>
  <c r="U9" i="9"/>
  <c r="W9" i="9" s="1"/>
  <c r="U36" i="9"/>
  <c r="W36" i="9" s="1"/>
  <c r="U94" i="9"/>
  <c r="W94" i="9" s="1"/>
  <c r="U122" i="9"/>
  <c r="W122" i="9" s="1"/>
  <c r="U141" i="9"/>
  <c r="W141" i="9" s="1"/>
  <c r="U174" i="9"/>
  <c r="W174" i="9" s="1"/>
  <c r="U188" i="9"/>
  <c r="W188" i="9" s="1"/>
  <c r="U246" i="9"/>
  <c r="W246" i="9" s="1"/>
  <c r="U262" i="9"/>
  <c r="W262" i="9" s="1"/>
  <c r="U291" i="9"/>
  <c r="W291" i="9" s="1"/>
  <c r="U14" i="9"/>
  <c r="W14" i="9" s="1"/>
  <c r="U99" i="9"/>
  <c r="W99" i="9" s="1"/>
  <c r="U162" i="9"/>
  <c r="W162" i="9" s="1"/>
  <c r="U249" i="9"/>
  <c r="W249" i="9" s="1"/>
  <c r="U43" i="9"/>
  <c r="W43" i="9" s="1"/>
  <c r="U146" i="9"/>
  <c r="W146" i="9" s="1"/>
  <c r="U192" i="9"/>
  <c r="W192" i="9" s="1"/>
  <c r="U206" i="9"/>
  <c r="W206" i="9" s="1"/>
  <c r="U220" i="9"/>
  <c r="W220" i="9" s="1"/>
  <c r="U235" i="9"/>
  <c r="W235" i="9" s="1"/>
  <c r="U150" i="9"/>
  <c r="W150" i="9" s="1"/>
  <c r="U49" i="9"/>
  <c r="W49" i="9" s="1"/>
  <c r="U78" i="9"/>
  <c r="W78" i="9" s="1"/>
  <c r="U106" i="9"/>
  <c r="W106" i="9" s="1"/>
  <c r="U131" i="9"/>
  <c r="W131" i="9" s="1"/>
  <c r="U149" i="9"/>
  <c r="W149" i="9" s="1"/>
  <c r="U180" i="9"/>
  <c r="W180" i="9" s="1"/>
  <c r="U354" i="9"/>
  <c r="W354" i="9" s="1"/>
  <c r="U22" i="9"/>
  <c r="W22" i="9" s="1"/>
  <c r="U80" i="9"/>
  <c r="W80" i="9" s="1"/>
  <c r="U224" i="9"/>
  <c r="W224" i="9" s="1"/>
  <c r="U253" i="9"/>
  <c r="W253" i="9" s="1"/>
  <c r="U298" i="9"/>
  <c r="W298" i="9" s="1"/>
  <c r="U56" i="9"/>
  <c r="W56" i="9" s="1"/>
  <c r="U153" i="9"/>
  <c r="W153" i="9" s="1"/>
  <c r="U184" i="9"/>
  <c r="W184" i="9" s="1"/>
  <c r="U198" i="9"/>
  <c r="W198" i="9" s="1"/>
  <c r="U212" i="9"/>
  <c r="W212" i="9" s="1"/>
  <c r="U2" i="9"/>
  <c r="W2" i="9" s="1"/>
  <c r="U58" i="9"/>
  <c r="W58" i="9" s="1"/>
  <c r="U115" i="9"/>
  <c r="W115" i="9" s="1"/>
  <c r="U137" i="9"/>
  <c r="W137" i="9" s="1"/>
  <c r="U154" i="9"/>
  <c r="W154" i="9" s="1"/>
  <c r="U242" i="9"/>
  <c r="W242" i="9" s="1"/>
  <c r="U340" i="9"/>
  <c r="W340" i="9" s="1"/>
  <c r="U358" i="9"/>
  <c r="W358" i="9" s="1"/>
  <c r="U363" i="9"/>
  <c r="W363" i="9" s="1"/>
  <c r="U366" i="9"/>
  <c r="W366" i="9" s="1"/>
  <c r="U364" i="9"/>
  <c r="W364" i="9" s="1"/>
  <c r="U362" i="9"/>
  <c r="W362" i="9" s="1"/>
  <c r="U360" i="9"/>
  <c r="W360" i="9" s="1"/>
  <c r="U359" i="9"/>
  <c r="W359" i="9" s="1"/>
  <c r="U365" i="9"/>
  <c r="W365" i="9" s="1"/>
  <c r="U357" i="9"/>
  <c r="W357" i="9" s="1"/>
  <c r="U356" i="9"/>
  <c r="W356" i="9" s="1"/>
  <c r="U351" i="9"/>
  <c r="W351" i="9" s="1"/>
  <c r="U353" i="9"/>
  <c r="W353" i="9" s="1"/>
  <c r="U350" i="9"/>
  <c r="W350" i="9" s="1"/>
  <c r="U355" i="9"/>
  <c r="W355" i="9" s="1"/>
  <c r="U352" i="9"/>
  <c r="W352" i="9" s="1"/>
  <c r="U348" i="9"/>
  <c r="W348" i="9" s="1"/>
  <c r="U346" i="9"/>
  <c r="W346" i="9" s="1"/>
  <c r="U345" i="9"/>
  <c r="W345" i="9" s="1"/>
  <c r="U349" i="9"/>
  <c r="W349" i="9" s="1"/>
  <c r="U343" i="9"/>
  <c r="W343" i="9" s="1"/>
  <c r="U344" i="9"/>
  <c r="W344" i="9" s="1"/>
  <c r="U342" i="9"/>
  <c r="W342" i="9" s="1"/>
  <c r="U336" i="9"/>
  <c r="W336" i="9" s="1"/>
  <c r="U337" i="9"/>
  <c r="W337" i="9" s="1"/>
  <c r="U339" i="9"/>
  <c r="W339" i="9" s="1"/>
  <c r="U338" i="9"/>
  <c r="W338" i="9" s="1"/>
  <c r="U341" i="9"/>
  <c r="W341" i="9" s="1"/>
  <c r="U335" i="9"/>
  <c r="W335" i="9" s="1"/>
  <c r="U334" i="9"/>
  <c r="W334" i="9" s="1"/>
  <c r="U330" i="9"/>
  <c r="W330" i="9" s="1"/>
  <c r="U327" i="9"/>
  <c r="W327" i="9" s="1"/>
  <c r="U332" i="9"/>
  <c r="W332" i="9" s="1"/>
  <c r="U331" i="9"/>
  <c r="W331" i="9" s="1"/>
  <c r="U328" i="9"/>
  <c r="W328" i="9" s="1"/>
  <c r="U329" i="9"/>
  <c r="W329" i="9" s="1"/>
  <c r="U321" i="9"/>
  <c r="W321" i="9" s="1"/>
  <c r="U326" i="9"/>
  <c r="W326" i="9" s="1"/>
  <c r="U325" i="9"/>
  <c r="W325" i="9" s="1"/>
  <c r="U324" i="9"/>
  <c r="W324" i="9" s="1"/>
  <c r="U322" i="9"/>
  <c r="W322" i="9" s="1"/>
  <c r="U323" i="9"/>
  <c r="W323" i="9" s="1"/>
  <c r="U320" i="9"/>
  <c r="W320" i="9" s="1"/>
  <c r="U318" i="9"/>
  <c r="W318" i="9" s="1"/>
  <c r="U308" i="9"/>
  <c r="W308" i="9" s="1"/>
  <c r="U316" i="9"/>
  <c r="W316" i="9" s="1"/>
  <c r="U313" i="9"/>
  <c r="W313" i="9" s="1"/>
  <c r="U317" i="9"/>
  <c r="W317" i="9" s="1"/>
  <c r="U310" i="9"/>
  <c r="W310" i="9" s="1"/>
  <c r="U315" i="9"/>
  <c r="W315" i="9" s="1"/>
  <c r="U314" i="9"/>
  <c r="W314" i="9" s="1"/>
  <c r="U309" i="9"/>
  <c r="W309" i="9" s="1"/>
  <c r="U311" i="9"/>
  <c r="W311" i="9" s="1"/>
  <c r="U307" i="9"/>
  <c r="W307" i="9" s="1"/>
  <c r="U306" i="9"/>
  <c r="W306" i="9" s="1"/>
  <c r="U299" i="9"/>
  <c r="W299" i="9" s="1"/>
  <c r="U302" i="9"/>
  <c r="W302" i="9" s="1"/>
  <c r="U293" i="9"/>
  <c r="W293" i="9" s="1"/>
  <c r="U296" i="9"/>
  <c r="W296" i="9" s="1"/>
  <c r="U300" i="9"/>
  <c r="W300" i="9" s="1"/>
  <c r="U294" i="9"/>
  <c r="W294" i="9" s="1"/>
  <c r="U304" i="9"/>
  <c r="W304" i="9" s="1"/>
  <c r="U303" i="9"/>
  <c r="W303" i="9" s="1"/>
  <c r="U297" i="9"/>
  <c r="W297" i="9" s="1"/>
  <c r="U295" i="9"/>
  <c r="W295" i="9" s="1"/>
  <c r="U301" i="9"/>
  <c r="W301" i="9" s="1"/>
  <c r="U287" i="9"/>
  <c r="W287" i="9" s="1"/>
  <c r="U282" i="9"/>
  <c r="W282" i="9" s="1"/>
  <c r="U281" i="9"/>
  <c r="W281" i="9" s="1"/>
  <c r="U289" i="9"/>
  <c r="W289" i="9" s="1"/>
  <c r="U292" i="9"/>
  <c r="W292" i="9" s="1"/>
  <c r="U288" i="9"/>
  <c r="W288" i="9" s="1"/>
  <c r="U290" i="9"/>
  <c r="W290" i="9" s="1"/>
  <c r="U280" i="9"/>
  <c r="W280" i="9" s="1"/>
  <c r="U283" i="9"/>
  <c r="W283" i="9" s="1"/>
  <c r="U279" i="9"/>
  <c r="W279" i="9" s="1"/>
  <c r="U285" i="9"/>
  <c r="W285" i="9" s="1"/>
  <c r="U286" i="9"/>
  <c r="W286" i="9" s="1"/>
  <c r="U269" i="9"/>
  <c r="W269" i="9" s="1"/>
  <c r="U265" i="9"/>
  <c r="W265" i="9" s="1"/>
  <c r="U274" i="9"/>
  <c r="W274" i="9" s="1"/>
  <c r="U276" i="9"/>
  <c r="W276" i="9" s="1"/>
  <c r="U273" i="9"/>
  <c r="W273" i="9" s="1"/>
  <c r="U264" i="9"/>
  <c r="W264" i="9" s="1"/>
  <c r="U275" i="9"/>
  <c r="W275" i="9" s="1"/>
  <c r="U266" i="9"/>
  <c r="W266" i="9" s="1"/>
  <c r="U268" i="9"/>
  <c r="W268" i="9" s="1"/>
  <c r="U267" i="9"/>
  <c r="W267" i="9" s="1"/>
  <c r="AE6" i="12"/>
  <c r="AA5" i="12" s="1"/>
  <c r="AH6" i="12"/>
  <c r="AA6" i="12" s="1"/>
  <c r="K352" i="10"/>
  <c r="K353" i="10"/>
  <c r="K355" i="10" s="1"/>
  <c r="K356" i="10" s="1"/>
  <c r="K357" i="10" s="1"/>
  <c r="K358" i="10" s="1"/>
  <c r="L352" i="10"/>
  <c r="L353" i="10"/>
  <c r="L355" i="10" s="1"/>
  <c r="L356" i="10" s="1"/>
  <c r="L357" i="10" s="1"/>
  <c r="L358" i="10" s="1"/>
  <c r="K349" i="11"/>
  <c r="K350" i="11"/>
  <c r="L349" i="11"/>
  <c r="L350" i="11"/>
  <c r="O23" i="15"/>
  <c r="O11" i="15"/>
  <c r="P23" i="15"/>
  <c r="P11" i="15"/>
  <c r="R11" i="15"/>
  <c r="S11" i="15" s="1"/>
  <c r="G22" i="16"/>
  <c r="E22" i="16"/>
  <c r="D22" i="16"/>
  <c r="C22" i="16"/>
  <c r="B22" i="16"/>
  <c r="G21" i="16"/>
  <c r="F21" i="16"/>
  <c r="E21" i="16"/>
  <c r="D21" i="16"/>
  <c r="C21" i="16"/>
  <c r="B21" i="16"/>
  <c r="E20" i="16"/>
  <c r="C20" i="16"/>
  <c r="G20" i="16"/>
  <c r="F22" i="16"/>
  <c r="AB5" i="12" l="1"/>
  <c r="AB6" i="12"/>
  <c r="V188" i="12" s="1"/>
  <c r="X188" i="12" s="1"/>
  <c r="V354" i="11"/>
  <c r="X354" i="11" s="1"/>
  <c r="V226" i="11"/>
  <c r="X226" i="11" s="1"/>
  <c r="V210" i="11"/>
  <c r="X210" i="11" s="1"/>
  <c r="V190" i="11"/>
  <c r="X190" i="11" s="1"/>
  <c r="V312" i="11"/>
  <c r="X312" i="11" s="1"/>
  <c r="V270" i="11"/>
  <c r="X270" i="11" s="1"/>
  <c r="V232" i="11"/>
  <c r="X232" i="11" s="1"/>
  <c r="V222" i="11"/>
  <c r="X222" i="11" s="1"/>
  <c r="V219" i="11"/>
  <c r="X219" i="11" s="1"/>
  <c r="V216" i="11"/>
  <c r="X216" i="11" s="1"/>
  <c r="V206" i="11"/>
  <c r="X206" i="11" s="1"/>
  <c r="V203" i="11"/>
  <c r="X203" i="11" s="1"/>
  <c r="V200" i="11"/>
  <c r="X200" i="11" s="1"/>
  <c r="V192" i="11"/>
  <c r="X192" i="11" s="1"/>
  <c r="V185" i="11"/>
  <c r="X185" i="11" s="1"/>
  <c r="V180" i="11"/>
  <c r="X180" i="11" s="1"/>
  <c r="V177" i="11"/>
  <c r="X177" i="11" s="1"/>
  <c r="V172" i="11"/>
  <c r="X172" i="11" s="1"/>
  <c r="V169" i="11"/>
  <c r="X169" i="11" s="1"/>
  <c r="V165" i="11"/>
  <c r="X165" i="11" s="1"/>
  <c r="V161" i="11"/>
  <c r="X161" i="11" s="1"/>
  <c r="V157" i="11"/>
  <c r="X157" i="11" s="1"/>
  <c r="V153" i="11"/>
  <c r="X153" i="11" s="1"/>
  <c r="V149" i="11"/>
  <c r="X149" i="11" s="1"/>
  <c r="V145" i="11"/>
  <c r="X145" i="11" s="1"/>
  <c r="V141" i="11"/>
  <c r="X141" i="11" s="1"/>
  <c r="V137" i="11"/>
  <c r="X137" i="11" s="1"/>
  <c r="V133" i="11"/>
  <c r="X133" i="11" s="1"/>
  <c r="V129" i="11"/>
  <c r="X129" i="11" s="1"/>
  <c r="V125" i="11"/>
  <c r="X125" i="11" s="1"/>
  <c r="V121" i="11"/>
  <c r="X121" i="11" s="1"/>
  <c r="V117" i="11"/>
  <c r="X117" i="11" s="1"/>
  <c r="V113" i="11"/>
  <c r="X113" i="11" s="1"/>
  <c r="V109" i="11"/>
  <c r="X109" i="11" s="1"/>
  <c r="V105" i="11"/>
  <c r="X105" i="11" s="1"/>
  <c r="V101" i="11"/>
  <c r="X101" i="11" s="1"/>
  <c r="V98" i="11"/>
  <c r="X98" i="11" s="1"/>
  <c r="V361" i="11"/>
  <c r="X361" i="11" s="1"/>
  <c r="V340" i="11"/>
  <c r="X340" i="11" s="1"/>
  <c r="V305" i="11"/>
  <c r="X305" i="11" s="1"/>
  <c r="V225" i="11"/>
  <c r="X225" i="11" s="1"/>
  <c r="V209" i="11"/>
  <c r="X209" i="11" s="1"/>
  <c r="V194" i="11"/>
  <c r="X194" i="11" s="1"/>
  <c r="V187" i="11"/>
  <c r="X187" i="11" s="1"/>
  <c r="V231" i="11"/>
  <c r="X231" i="11" s="1"/>
  <c r="V228" i="11"/>
  <c r="X228" i="11" s="1"/>
  <c r="V221" i="11"/>
  <c r="X221" i="11" s="1"/>
  <c r="V215" i="11"/>
  <c r="X215" i="11" s="1"/>
  <c r="V212" i="11"/>
  <c r="X212" i="11" s="1"/>
  <c r="V205" i="11"/>
  <c r="X205" i="11" s="1"/>
  <c r="V199" i="11"/>
  <c r="X199" i="11" s="1"/>
  <c r="V196" i="11"/>
  <c r="X196" i="11" s="1"/>
  <c r="V189" i="11"/>
  <c r="X189" i="11" s="1"/>
  <c r="V182" i="11"/>
  <c r="X182" i="11" s="1"/>
  <c r="V179" i="11"/>
  <c r="X179" i="11" s="1"/>
  <c r="V174" i="11"/>
  <c r="X174" i="11" s="1"/>
  <c r="V171" i="11"/>
  <c r="X171" i="11" s="1"/>
  <c r="V168" i="11"/>
  <c r="X168" i="11" s="1"/>
  <c r="V164" i="11"/>
  <c r="X164" i="11" s="1"/>
  <c r="V160" i="11"/>
  <c r="X160" i="11" s="1"/>
  <c r="V156" i="11"/>
  <c r="X156" i="11" s="1"/>
  <c r="V152" i="11"/>
  <c r="X152" i="11" s="1"/>
  <c r="V148" i="11"/>
  <c r="X148" i="11" s="1"/>
  <c r="V144" i="11"/>
  <c r="X144" i="11" s="1"/>
  <c r="V140" i="11"/>
  <c r="X140" i="11" s="1"/>
  <c r="V136" i="11"/>
  <c r="X136" i="11" s="1"/>
  <c r="V132" i="11"/>
  <c r="X132" i="11" s="1"/>
  <c r="V128" i="11"/>
  <c r="X128" i="11" s="1"/>
  <c r="V124" i="11"/>
  <c r="X124" i="11" s="1"/>
  <c r="V120" i="11"/>
  <c r="X120" i="11" s="1"/>
  <c r="V116" i="11"/>
  <c r="X116" i="11" s="1"/>
  <c r="V112" i="11"/>
  <c r="X112" i="11" s="1"/>
  <c r="V108" i="11"/>
  <c r="X108" i="11" s="1"/>
  <c r="V104" i="11"/>
  <c r="X104" i="11" s="1"/>
  <c r="V100" i="11"/>
  <c r="X100" i="11" s="1"/>
  <c r="V97" i="11"/>
  <c r="X97" i="11" s="1"/>
  <c r="V233" i="11"/>
  <c r="X233" i="11" s="1"/>
  <c r="V217" i="11"/>
  <c r="X217" i="11" s="1"/>
  <c r="V201" i="11"/>
  <c r="X201" i="11" s="1"/>
  <c r="V195" i="11"/>
  <c r="X195" i="11" s="1"/>
  <c r="V186" i="11"/>
  <c r="X186" i="11" s="1"/>
  <c r="V272" i="11"/>
  <c r="X272" i="11" s="1"/>
  <c r="V229" i="11"/>
  <c r="X229" i="11" s="1"/>
  <c r="V204" i="11"/>
  <c r="X204" i="11" s="1"/>
  <c r="V183" i="11"/>
  <c r="X183" i="11" s="1"/>
  <c r="V176" i="11"/>
  <c r="X176" i="11" s="1"/>
  <c r="V158" i="11"/>
  <c r="X158" i="11" s="1"/>
  <c r="V147" i="11"/>
  <c r="X147" i="11" s="1"/>
  <c r="V126" i="11"/>
  <c r="X126" i="11" s="1"/>
  <c r="V115" i="11"/>
  <c r="X115" i="11" s="1"/>
  <c r="V96" i="11"/>
  <c r="X96" i="11" s="1"/>
  <c r="V83" i="11"/>
  <c r="X83" i="11" s="1"/>
  <c r="V68" i="11"/>
  <c r="X68" i="11" s="1"/>
  <c r="V65" i="11"/>
  <c r="X65" i="11" s="1"/>
  <c r="V35" i="11"/>
  <c r="X35" i="11" s="1"/>
  <c r="V22" i="11"/>
  <c r="X22" i="11" s="1"/>
  <c r="V19" i="11"/>
  <c r="X19" i="11" s="1"/>
  <c r="V6" i="11"/>
  <c r="X6" i="11" s="1"/>
  <c r="V3" i="11"/>
  <c r="X3" i="11" s="1"/>
  <c r="V27" i="11"/>
  <c r="X27" i="11" s="1"/>
  <c r="V11" i="11"/>
  <c r="X11" i="11" s="1"/>
  <c r="V44" i="11"/>
  <c r="X44" i="11" s="1"/>
  <c r="V36" i="11"/>
  <c r="X36" i="11" s="1"/>
  <c r="V20" i="11"/>
  <c r="X20" i="11" s="1"/>
  <c r="V271" i="11"/>
  <c r="X271" i="11" s="1"/>
  <c r="V220" i="11"/>
  <c r="X220" i="11" s="1"/>
  <c r="V211" i="11"/>
  <c r="X211" i="11" s="1"/>
  <c r="V202" i="11"/>
  <c r="X202" i="11" s="1"/>
  <c r="V175" i="11"/>
  <c r="X175" i="11" s="1"/>
  <c r="V167" i="11"/>
  <c r="X167" i="11" s="1"/>
  <c r="V146" i="11"/>
  <c r="X146" i="11" s="1"/>
  <c r="V135" i="11"/>
  <c r="X135" i="11" s="1"/>
  <c r="V114" i="11"/>
  <c r="X114" i="11" s="1"/>
  <c r="V103" i="11"/>
  <c r="X103" i="11" s="1"/>
  <c r="V92" i="11"/>
  <c r="X92" i="11" s="1"/>
  <c r="V89" i="11"/>
  <c r="X89" i="11" s="1"/>
  <c r="V77" i="11"/>
  <c r="X77" i="11" s="1"/>
  <c r="V74" i="11"/>
  <c r="X74" i="11" s="1"/>
  <c r="V71" i="11"/>
  <c r="X71" i="11" s="1"/>
  <c r="V62" i="11"/>
  <c r="X62" i="11" s="1"/>
  <c r="V59" i="11"/>
  <c r="X59" i="11" s="1"/>
  <c r="V56" i="11"/>
  <c r="X56" i="11" s="1"/>
  <c r="V51" i="11"/>
  <c r="X51" i="11" s="1"/>
  <c r="V48" i="11"/>
  <c r="X48" i="11" s="1"/>
  <c r="V43" i="11"/>
  <c r="X43" i="11" s="1"/>
  <c r="V40" i="11"/>
  <c r="X40" i="11" s="1"/>
  <c r="V28" i="11"/>
  <c r="X28" i="11" s="1"/>
  <c r="V25" i="11"/>
  <c r="X25" i="11" s="1"/>
  <c r="V12" i="11"/>
  <c r="X12" i="11" s="1"/>
  <c r="V9" i="11"/>
  <c r="X9" i="11" s="1"/>
  <c r="V330" i="11"/>
  <c r="X330" i="11" s="1"/>
  <c r="V278" i="11"/>
  <c r="X278" i="11" s="1"/>
  <c r="V227" i="11"/>
  <c r="X227" i="11" s="1"/>
  <c r="V218" i="11"/>
  <c r="X218" i="11" s="1"/>
  <c r="V188" i="11"/>
  <c r="X188" i="11" s="1"/>
  <c r="V181" i="11"/>
  <c r="X181" i="11" s="1"/>
  <c r="V166" i="11"/>
  <c r="X166" i="11" s="1"/>
  <c r="V155" i="11"/>
  <c r="X155" i="11" s="1"/>
  <c r="V134" i="11"/>
  <c r="X134" i="11" s="1"/>
  <c r="V123" i="11"/>
  <c r="X123" i="11" s="1"/>
  <c r="V102" i="11"/>
  <c r="X102" i="11" s="1"/>
  <c r="V95" i="11"/>
  <c r="X95" i="11" s="1"/>
  <c r="V86" i="11"/>
  <c r="X86" i="11" s="1"/>
  <c r="V80" i="11"/>
  <c r="X80" i="11" s="1"/>
  <c r="V67" i="11"/>
  <c r="X67" i="11" s="1"/>
  <c r="V34" i="11"/>
  <c r="X34" i="11" s="1"/>
  <c r="V31" i="11"/>
  <c r="X31" i="11" s="1"/>
  <c r="V18" i="11"/>
  <c r="X18" i="11" s="1"/>
  <c r="V15" i="11"/>
  <c r="X15" i="11" s="1"/>
  <c r="V79" i="11"/>
  <c r="X79" i="11" s="1"/>
  <c r="V30" i="11"/>
  <c r="X30" i="11" s="1"/>
  <c r="V14" i="11"/>
  <c r="X14" i="11" s="1"/>
  <c r="V2" i="11"/>
  <c r="X2" i="11" s="1"/>
  <c r="V55" i="11"/>
  <c r="X55" i="11" s="1"/>
  <c r="V33" i="11"/>
  <c r="X33" i="11" s="1"/>
  <c r="V17" i="11"/>
  <c r="X17" i="11" s="1"/>
  <c r="V4" i="11"/>
  <c r="X4" i="11" s="1"/>
  <c r="V277" i="11"/>
  <c r="X277" i="11" s="1"/>
  <c r="V234" i="11"/>
  <c r="X234" i="11" s="1"/>
  <c r="V193" i="11"/>
  <c r="X193" i="11" s="1"/>
  <c r="V173" i="11"/>
  <c r="X173" i="11" s="1"/>
  <c r="V154" i="11"/>
  <c r="X154" i="11" s="1"/>
  <c r="V143" i="11"/>
  <c r="X143" i="11" s="1"/>
  <c r="V122" i="11"/>
  <c r="X122" i="11" s="1"/>
  <c r="V111" i="11"/>
  <c r="X111" i="11" s="1"/>
  <c r="V91" i="11"/>
  <c r="X91" i="11" s="1"/>
  <c r="V76" i="11"/>
  <c r="X76" i="11" s="1"/>
  <c r="V73" i="11"/>
  <c r="X73" i="11" s="1"/>
  <c r="V61" i="11"/>
  <c r="X61" i="11" s="1"/>
  <c r="V58" i="11"/>
  <c r="X58" i="11" s="1"/>
  <c r="V53" i="11"/>
  <c r="X53" i="11" s="1"/>
  <c r="V50" i="11"/>
  <c r="X50" i="11" s="1"/>
  <c r="V45" i="11"/>
  <c r="X45" i="11" s="1"/>
  <c r="V42" i="11"/>
  <c r="X42" i="11" s="1"/>
  <c r="V37" i="11"/>
  <c r="X37" i="11" s="1"/>
  <c r="V24" i="11"/>
  <c r="X24" i="11" s="1"/>
  <c r="V21" i="11"/>
  <c r="X21" i="11" s="1"/>
  <c r="V8" i="11"/>
  <c r="X8" i="11" s="1"/>
  <c r="V5" i="11"/>
  <c r="X5" i="11" s="1"/>
  <c r="V319" i="11"/>
  <c r="X319" i="11" s="1"/>
  <c r="V208" i="11"/>
  <c r="X208" i="11" s="1"/>
  <c r="V163" i="11"/>
  <c r="X163" i="11" s="1"/>
  <c r="V142" i="11"/>
  <c r="X142" i="11" s="1"/>
  <c r="V131" i="11"/>
  <c r="X131" i="11" s="1"/>
  <c r="V110" i="11"/>
  <c r="X110" i="11" s="1"/>
  <c r="V99" i="11"/>
  <c r="X99" i="11" s="1"/>
  <c r="V85" i="11"/>
  <c r="X85" i="11" s="1"/>
  <c r="V82" i="11"/>
  <c r="X82" i="11" s="1"/>
  <c r="V70" i="11"/>
  <c r="X70" i="11" s="1"/>
  <c r="V64" i="11"/>
  <c r="X64" i="11" s="1"/>
  <c r="V342" i="11"/>
  <c r="X342" i="11" s="1"/>
  <c r="V326" i="11"/>
  <c r="X326" i="11" s="1"/>
  <c r="V284" i="11"/>
  <c r="X284" i="11" s="1"/>
  <c r="V224" i="11"/>
  <c r="X224" i="11" s="1"/>
  <c r="V207" i="11"/>
  <c r="X207" i="11" s="1"/>
  <c r="V198" i="11"/>
  <c r="X198" i="11" s="1"/>
  <c r="V191" i="11"/>
  <c r="X191" i="11" s="1"/>
  <c r="V162" i="11"/>
  <c r="X162" i="11" s="1"/>
  <c r="V151" i="11"/>
  <c r="X151" i="11" s="1"/>
  <c r="V130" i="11"/>
  <c r="X130" i="11" s="1"/>
  <c r="V119" i="11"/>
  <c r="X119" i="11" s="1"/>
  <c r="V94" i="11"/>
  <c r="X94" i="11" s="1"/>
  <c r="V88" i="11"/>
  <c r="X88" i="11" s="1"/>
  <c r="V75" i="11"/>
  <c r="X75" i="11" s="1"/>
  <c r="V60" i="11"/>
  <c r="X60" i="11" s="1"/>
  <c r="V52" i="11"/>
  <c r="X52" i="11" s="1"/>
  <c r="V47" i="11"/>
  <c r="X47" i="11" s="1"/>
  <c r="V39" i="11"/>
  <c r="X39" i="11" s="1"/>
  <c r="V333" i="11"/>
  <c r="X333" i="11" s="1"/>
  <c r="V291" i="11"/>
  <c r="X291" i="11" s="1"/>
  <c r="V223" i="11"/>
  <c r="X223" i="11" s="1"/>
  <c r="V214" i="11"/>
  <c r="X214" i="11" s="1"/>
  <c r="V197" i="11"/>
  <c r="X197" i="11" s="1"/>
  <c r="V178" i="11"/>
  <c r="X178" i="11" s="1"/>
  <c r="V150" i="11"/>
  <c r="X150" i="11" s="1"/>
  <c r="V139" i="11"/>
  <c r="X139" i="11" s="1"/>
  <c r="V118" i="11"/>
  <c r="X118" i="11" s="1"/>
  <c r="V107" i="11"/>
  <c r="X107" i="11" s="1"/>
  <c r="V84" i="11"/>
  <c r="X84" i="11" s="1"/>
  <c r="V81" i="11"/>
  <c r="X81" i="11" s="1"/>
  <c r="V69" i="11"/>
  <c r="X69" i="11" s="1"/>
  <c r="V66" i="11"/>
  <c r="X66" i="11" s="1"/>
  <c r="V63" i="11"/>
  <c r="X63" i="11" s="1"/>
  <c r="V26" i="11"/>
  <c r="X26" i="11" s="1"/>
  <c r="V23" i="11"/>
  <c r="X23" i="11" s="1"/>
  <c r="V10" i="11"/>
  <c r="X10" i="11" s="1"/>
  <c r="V7" i="11"/>
  <c r="X7" i="11" s="1"/>
  <c r="V347" i="11"/>
  <c r="X347" i="11" s="1"/>
  <c r="V298" i="11"/>
  <c r="X298" i="11" s="1"/>
  <c r="V230" i="11"/>
  <c r="X230" i="11" s="1"/>
  <c r="V213" i="11"/>
  <c r="X213" i="11" s="1"/>
  <c r="V184" i="11"/>
  <c r="X184" i="11" s="1"/>
  <c r="V170" i="11"/>
  <c r="X170" i="11" s="1"/>
  <c r="V159" i="11"/>
  <c r="X159" i="11" s="1"/>
  <c r="V138" i="11"/>
  <c r="X138" i="11" s="1"/>
  <c r="V127" i="11"/>
  <c r="X127" i="11" s="1"/>
  <c r="V106" i="11"/>
  <c r="X106" i="11" s="1"/>
  <c r="V93" i="11"/>
  <c r="X93" i="11" s="1"/>
  <c r="V90" i="11"/>
  <c r="X90" i="11" s="1"/>
  <c r="V87" i="11"/>
  <c r="X87" i="11" s="1"/>
  <c r="V78" i="11"/>
  <c r="X78" i="11" s="1"/>
  <c r="V72" i="11"/>
  <c r="X72" i="11" s="1"/>
  <c r="V57" i="11"/>
  <c r="X57" i="11" s="1"/>
  <c r="V54" i="11"/>
  <c r="X54" i="11" s="1"/>
  <c r="V49" i="11"/>
  <c r="X49" i="11" s="1"/>
  <c r="V46" i="11"/>
  <c r="X46" i="11" s="1"/>
  <c r="V41" i="11"/>
  <c r="X41" i="11" s="1"/>
  <c r="V38" i="11"/>
  <c r="X38" i="11" s="1"/>
  <c r="V32" i="11"/>
  <c r="X32" i="11" s="1"/>
  <c r="V29" i="11"/>
  <c r="X29" i="11" s="1"/>
  <c r="V16" i="11"/>
  <c r="X16" i="11" s="1"/>
  <c r="V13" i="11"/>
  <c r="X13" i="11" s="1"/>
  <c r="V358" i="11"/>
  <c r="X358" i="11" s="1"/>
  <c r="V359" i="11"/>
  <c r="X359" i="11" s="1"/>
  <c r="V364" i="11"/>
  <c r="X364" i="11" s="1"/>
  <c r="V360" i="11"/>
  <c r="X360" i="11" s="1"/>
  <c r="V362" i="11"/>
  <c r="X362" i="11" s="1"/>
  <c r="V366" i="11"/>
  <c r="X366" i="11" s="1"/>
  <c r="V363" i="11"/>
  <c r="X363" i="11" s="1"/>
  <c r="V365" i="11"/>
  <c r="X365" i="11" s="1"/>
  <c r="V356" i="11"/>
  <c r="X356" i="11" s="1"/>
  <c r="V357" i="11"/>
  <c r="X357" i="11" s="1"/>
  <c r="V355" i="11"/>
  <c r="X355" i="11" s="1"/>
  <c r="V353" i="11"/>
  <c r="X353" i="11" s="1"/>
  <c r="V350" i="11"/>
  <c r="X350" i="11" s="1"/>
  <c r="V351" i="11"/>
  <c r="X351" i="11" s="1"/>
  <c r="V352" i="11"/>
  <c r="X352" i="11" s="1"/>
  <c r="V343" i="11"/>
  <c r="X343" i="11" s="1"/>
  <c r="V344" i="11"/>
  <c r="X344" i="11" s="1"/>
  <c r="V348" i="11"/>
  <c r="X348" i="11" s="1"/>
  <c r="V349" i="11"/>
  <c r="X349" i="11" s="1"/>
  <c r="V346" i="11"/>
  <c r="X346" i="11" s="1"/>
  <c r="V345" i="11"/>
  <c r="X345" i="11" s="1"/>
  <c r="V339" i="11"/>
  <c r="X339" i="11" s="1"/>
  <c r="V337" i="11"/>
  <c r="X337" i="11" s="1"/>
  <c r="V336" i="11"/>
  <c r="X336" i="11" s="1"/>
  <c r="V341" i="11"/>
  <c r="X341" i="11" s="1"/>
  <c r="V338" i="11"/>
  <c r="X338" i="11" s="1"/>
  <c r="V334" i="11"/>
  <c r="X334" i="11" s="1"/>
  <c r="V335" i="11"/>
  <c r="X335" i="11" s="1"/>
  <c r="V327" i="11"/>
  <c r="X327" i="11" s="1"/>
  <c r="V328" i="11"/>
  <c r="X328" i="11" s="1"/>
  <c r="V332" i="11"/>
  <c r="X332" i="11" s="1"/>
  <c r="V329" i="11"/>
  <c r="X329" i="11" s="1"/>
  <c r="V331" i="11"/>
  <c r="X331" i="11" s="1"/>
  <c r="V324" i="11"/>
  <c r="X324" i="11" s="1"/>
  <c r="V321" i="11"/>
  <c r="X321" i="11" s="1"/>
  <c r="V322" i="11"/>
  <c r="X322" i="11" s="1"/>
  <c r="V323" i="11"/>
  <c r="X323" i="11" s="1"/>
  <c r="V325" i="11"/>
  <c r="X325" i="11" s="1"/>
  <c r="V320" i="11"/>
  <c r="X320" i="11" s="1"/>
  <c r="V317" i="11"/>
  <c r="X317" i="11" s="1"/>
  <c r="V316" i="11"/>
  <c r="X316" i="11" s="1"/>
  <c r="V314" i="11"/>
  <c r="X314" i="11" s="1"/>
  <c r="V313" i="11"/>
  <c r="X313" i="11" s="1"/>
  <c r="V315" i="11"/>
  <c r="X315" i="11" s="1"/>
  <c r="V318" i="11"/>
  <c r="X318" i="11" s="1"/>
  <c r="V310" i="11"/>
  <c r="X310" i="11" s="1"/>
  <c r="V308" i="11"/>
  <c r="X308" i="11" s="1"/>
  <c r="V311" i="11"/>
  <c r="X311" i="11" s="1"/>
  <c r="V309" i="11"/>
  <c r="X309" i="11" s="1"/>
  <c r="V306" i="11"/>
  <c r="X306" i="11" s="1"/>
  <c r="V307" i="11"/>
  <c r="X307" i="11" s="1"/>
  <c r="V303" i="11"/>
  <c r="X303" i="11" s="1"/>
  <c r="V302" i="11"/>
  <c r="X302" i="11" s="1"/>
  <c r="V299" i="11"/>
  <c r="X299" i="11" s="1"/>
  <c r="V300" i="11"/>
  <c r="X300" i="11" s="1"/>
  <c r="V301" i="11"/>
  <c r="X301" i="11" s="1"/>
  <c r="V304" i="11"/>
  <c r="X304" i="11" s="1"/>
  <c r="V292" i="11"/>
  <c r="X292" i="11" s="1"/>
  <c r="V297" i="11"/>
  <c r="X297" i="11" s="1"/>
  <c r="V294" i="11"/>
  <c r="X294" i="11" s="1"/>
  <c r="V296" i="11"/>
  <c r="X296" i="11" s="1"/>
  <c r="V295" i="11"/>
  <c r="X295" i="11" s="1"/>
  <c r="V293" i="11"/>
  <c r="X293" i="11" s="1"/>
  <c r="V280" i="11"/>
  <c r="X280" i="11" s="1"/>
  <c r="V286" i="11"/>
  <c r="X286" i="11" s="1"/>
  <c r="V289" i="11"/>
  <c r="X289" i="11" s="1"/>
  <c r="V281" i="11"/>
  <c r="X281" i="11" s="1"/>
  <c r="V279" i="11"/>
  <c r="X279" i="11" s="1"/>
  <c r="V283" i="11"/>
  <c r="X283" i="11" s="1"/>
  <c r="V290" i="11"/>
  <c r="X290" i="11" s="1"/>
  <c r="V285" i="11"/>
  <c r="X285" i="11" s="1"/>
  <c r="V288" i="11"/>
  <c r="X288" i="11" s="1"/>
  <c r="V282" i="11"/>
  <c r="X282" i="11" s="1"/>
  <c r="V287" i="11"/>
  <c r="X287" i="11" s="1"/>
  <c r="V273" i="11"/>
  <c r="X273" i="11" s="1"/>
  <c r="V275" i="11"/>
  <c r="X275" i="11" s="1"/>
  <c r="V264" i="11"/>
  <c r="X264" i="11" s="1"/>
  <c r="V269" i="11"/>
  <c r="X269" i="11" s="1"/>
  <c r="V276" i="11"/>
  <c r="X276" i="11" s="1"/>
  <c r="V267" i="11"/>
  <c r="X267" i="11" s="1"/>
  <c r="V266" i="11"/>
  <c r="X266" i="11" s="1"/>
  <c r="V268" i="11"/>
  <c r="X268" i="11" s="1"/>
  <c r="V274" i="11"/>
  <c r="X274" i="11" s="1"/>
  <c r="V265" i="11"/>
  <c r="X265" i="11" s="1"/>
  <c r="V262" i="11"/>
  <c r="X262" i="11" s="1"/>
  <c r="V256" i="11"/>
  <c r="X256" i="11" s="1"/>
  <c r="V254" i="11"/>
  <c r="X254" i="11" s="1"/>
  <c r="V261" i="11"/>
  <c r="X261" i="11" s="1"/>
  <c r="V255" i="11"/>
  <c r="X255" i="11" s="1"/>
  <c r="V257" i="11"/>
  <c r="X257" i="11" s="1"/>
  <c r="V259" i="11"/>
  <c r="X259" i="11" s="1"/>
  <c r="V263" i="11"/>
  <c r="X263" i="11" s="1"/>
  <c r="V260" i="11"/>
  <c r="X260" i="11" s="1"/>
  <c r="V258" i="11"/>
  <c r="X258" i="11" s="1"/>
  <c r="V250" i="11"/>
  <c r="X250" i="11" s="1"/>
  <c r="V240" i="11"/>
  <c r="X240" i="11" s="1"/>
  <c r="V245" i="11"/>
  <c r="X245" i="11" s="1"/>
  <c r="V248" i="11"/>
  <c r="X248" i="11" s="1"/>
  <c r="V252" i="11"/>
  <c r="X252" i="11" s="1"/>
  <c r="V243" i="11"/>
  <c r="X243" i="11" s="1"/>
  <c r="V236" i="11"/>
  <c r="X236" i="11" s="1"/>
  <c r="V242" i="11"/>
  <c r="X242" i="11" s="1"/>
  <c r="V251" i="11"/>
  <c r="X251" i="11" s="1"/>
  <c r="V244" i="11"/>
  <c r="X244" i="11" s="1"/>
  <c r="V246" i="11"/>
  <c r="X246" i="11" s="1"/>
  <c r="V235" i="11"/>
  <c r="X235" i="11" s="1"/>
  <c r="V249" i="11"/>
  <c r="X249" i="11" s="1"/>
  <c r="V238" i="11"/>
  <c r="X238" i="11" s="1"/>
  <c r="V247" i="11"/>
  <c r="X247" i="11" s="1"/>
  <c r="V237" i="11"/>
  <c r="X237" i="11" s="1"/>
  <c r="V253" i="11"/>
  <c r="X253" i="11" s="1"/>
  <c r="V239" i="11"/>
  <c r="X239" i="11" s="1"/>
  <c r="V241" i="11"/>
  <c r="X241" i="11" s="1"/>
  <c r="U319" i="11"/>
  <c r="W319" i="11" s="1"/>
  <c r="U284" i="11"/>
  <c r="W284" i="11" s="1"/>
  <c r="U277" i="11"/>
  <c r="W277" i="11" s="1"/>
  <c r="U271" i="11"/>
  <c r="W271" i="11" s="1"/>
  <c r="U229" i="11"/>
  <c r="W229" i="11" s="1"/>
  <c r="U223" i="11"/>
  <c r="W223" i="11" s="1"/>
  <c r="U220" i="11"/>
  <c r="W220" i="11" s="1"/>
  <c r="U213" i="11"/>
  <c r="W213" i="11" s="1"/>
  <c r="U207" i="11"/>
  <c r="W207" i="11" s="1"/>
  <c r="U204" i="11"/>
  <c r="W204" i="11" s="1"/>
  <c r="U197" i="11"/>
  <c r="W197" i="11" s="1"/>
  <c r="U188" i="11"/>
  <c r="W188" i="11" s="1"/>
  <c r="U183" i="11"/>
  <c r="W183" i="11" s="1"/>
  <c r="U178" i="11"/>
  <c r="W178" i="11" s="1"/>
  <c r="U175" i="11"/>
  <c r="W175" i="11" s="1"/>
  <c r="U170" i="11"/>
  <c r="W170" i="11" s="1"/>
  <c r="U166" i="11"/>
  <c r="W166" i="11" s="1"/>
  <c r="U162" i="11"/>
  <c r="W162" i="11" s="1"/>
  <c r="U158" i="11"/>
  <c r="W158" i="11" s="1"/>
  <c r="U154" i="11"/>
  <c r="W154" i="11" s="1"/>
  <c r="U150" i="11"/>
  <c r="W150" i="11" s="1"/>
  <c r="U146" i="11"/>
  <c r="W146" i="11" s="1"/>
  <c r="U142" i="11"/>
  <c r="W142" i="11" s="1"/>
  <c r="U138" i="11"/>
  <c r="W138" i="11" s="1"/>
  <c r="U134" i="11"/>
  <c r="W134" i="11" s="1"/>
  <c r="U130" i="11"/>
  <c r="W130" i="11" s="1"/>
  <c r="U126" i="11"/>
  <c r="W126" i="11" s="1"/>
  <c r="U122" i="11"/>
  <c r="W122" i="11" s="1"/>
  <c r="U118" i="11"/>
  <c r="W118" i="11" s="1"/>
  <c r="U114" i="11"/>
  <c r="W114" i="11" s="1"/>
  <c r="U110" i="11"/>
  <c r="W110" i="11" s="1"/>
  <c r="U106" i="11"/>
  <c r="W106" i="11" s="1"/>
  <c r="U102" i="11"/>
  <c r="W102" i="11" s="1"/>
  <c r="U354" i="11"/>
  <c r="W354" i="11" s="1"/>
  <c r="U226" i="11"/>
  <c r="W226" i="11" s="1"/>
  <c r="U210" i="11"/>
  <c r="W210" i="11" s="1"/>
  <c r="U190" i="11"/>
  <c r="W190" i="11" s="1"/>
  <c r="U312" i="11"/>
  <c r="W312" i="11" s="1"/>
  <c r="U270" i="11"/>
  <c r="W270" i="11" s="1"/>
  <c r="U232" i="11"/>
  <c r="W232" i="11" s="1"/>
  <c r="U222" i="11"/>
  <c r="W222" i="11" s="1"/>
  <c r="U219" i="11"/>
  <c r="W219" i="11" s="1"/>
  <c r="U216" i="11"/>
  <c r="W216" i="11" s="1"/>
  <c r="U206" i="11"/>
  <c r="W206" i="11" s="1"/>
  <c r="U203" i="11"/>
  <c r="W203" i="11" s="1"/>
  <c r="U200" i="11"/>
  <c r="W200" i="11" s="1"/>
  <c r="U192" i="11"/>
  <c r="W192" i="11" s="1"/>
  <c r="U185" i="11"/>
  <c r="W185" i="11" s="1"/>
  <c r="U180" i="11"/>
  <c r="W180" i="11" s="1"/>
  <c r="U177" i="11"/>
  <c r="W177" i="11" s="1"/>
  <c r="U172" i="11"/>
  <c r="W172" i="11" s="1"/>
  <c r="U169" i="11"/>
  <c r="W169" i="11" s="1"/>
  <c r="U165" i="11"/>
  <c r="W165" i="11" s="1"/>
  <c r="U161" i="11"/>
  <c r="W161" i="11" s="1"/>
  <c r="U157" i="11"/>
  <c r="W157" i="11" s="1"/>
  <c r="U153" i="11"/>
  <c r="W153" i="11" s="1"/>
  <c r="U149" i="11"/>
  <c r="W149" i="11" s="1"/>
  <c r="U145" i="11"/>
  <c r="W145" i="11" s="1"/>
  <c r="U141" i="11"/>
  <c r="W141" i="11" s="1"/>
  <c r="U137" i="11"/>
  <c r="W137" i="11" s="1"/>
  <c r="U133" i="11"/>
  <c r="W133" i="11" s="1"/>
  <c r="U129" i="11"/>
  <c r="W129" i="11" s="1"/>
  <c r="U125" i="11"/>
  <c r="W125" i="11" s="1"/>
  <c r="U121" i="11"/>
  <c r="W121" i="11" s="1"/>
  <c r="U117" i="11"/>
  <c r="W117" i="11" s="1"/>
  <c r="U113" i="11"/>
  <c r="W113" i="11" s="1"/>
  <c r="U109" i="11"/>
  <c r="W109" i="11" s="1"/>
  <c r="U105" i="11"/>
  <c r="W105" i="11" s="1"/>
  <c r="U101" i="11"/>
  <c r="W101" i="11" s="1"/>
  <c r="U98" i="11"/>
  <c r="W98" i="11" s="1"/>
  <c r="U361" i="11"/>
  <c r="W361" i="11" s="1"/>
  <c r="U340" i="11"/>
  <c r="W340" i="11" s="1"/>
  <c r="U305" i="11"/>
  <c r="W305" i="11" s="1"/>
  <c r="U225" i="11"/>
  <c r="W225" i="11" s="1"/>
  <c r="U209" i="11"/>
  <c r="W209" i="11" s="1"/>
  <c r="U194" i="11"/>
  <c r="W194" i="11" s="1"/>
  <c r="U187" i="11"/>
  <c r="W187" i="11" s="1"/>
  <c r="U330" i="11"/>
  <c r="W330" i="11" s="1"/>
  <c r="U326" i="11"/>
  <c r="W326" i="11" s="1"/>
  <c r="U291" i="11"/>
  <c r="W291" i="11" s="1"/>
  <c r="U278" i="11"/>
  <c r="W278" i="11" s="1"/>
  <c r="U272" i="11"/>
  <c r="W272" i="11" s="1"/>
  <c r="U230" i="11"/>
  <c r="W230" i="11" s="1"/>
  <c r="U227" i="11"/>
  <c r="W227" i="11" s="1"/>
  <c r="U224" i="11"/>
  <c r="W224" i="11" s="1"/>
  <c r="U214" i="11"/>
  <c r="W214" i="11" s="1"/>
  <c r="U211" i="11"/>
  <c r="W211" i="11" s="1"/>
  <c r="U208" i="11"/>
  <c r="W208" i="11" s="1"/>
  <c r="U198" i="11"/>
  <c r="W198" i="11" s="1"/>
  <c r="U193" i="11"/>
  <c r="W193" i="11" s="1"/>
  <c r="U184" i="11"/>
  <c r="W184" i="11" s="1"/>
  <c r="U181" i="11"/>
  <c r="W181" i="11" s="1"/>
  <c r="U176" i="11"/>
  <c r="W176" i="11" s="1"/>
  <c r="U173" i="11"/>
  <c r="W173" i="11" s="1"/>
  <c r="U167" i="11"/>
  <c r="W167" i="11" s="1"/>
  <c r="U163" i="11"/>
  <c r="W163" i="11" s="1"/>
  <c r="U159" i="11"/>
  <c r="W159" i="11" s="1"/>
  <c r="U155" i="11"/>
  <c r="W155" i="11" s="1"/>
  <c r="U151" i="11"/>
  <c r="W151" i="11" s="1"/>
  <c r="U147" i="11"/>
  <c r="W147" i="11" s="1"/>
  <c r="U143" i="11"/>
  <c r="W143" i="11" s="1"/>
  <c r="U139" i="11"/>
  <c r="W139" i="11" s="1"/>
  <c r="U135" i="11"/>
  <c r="W135" i="11" s="1"/>
  <c r="U131" i="11"/>
  <c r="W131" i="11" s="1"/>
  <c r="U127" i="11"/>
  <c r="W127" i="11" s="1"/>
  <c r="U123" i="11"/>
  <c r="W123" i="11" s="1"/>
  <c r="U119" i="11"/>
  <c r="W119" i="11" s="1"/>
  <c r="U115" i="11"/>
  <c r="W115" i="11" s="1"/>
  <c r="U111" i="11"/>
  <c r="W111" i="11" s="1"/>
  <c r="U107" i="11"/>
  <c r="W107" i="11" s="1"/>
  <c r="U103" i="11"/>
  <c r="W103" i="11" s="1"/>
  <c r="U99" i="11"/>
  <c r="W99" i="11" s="1"/>
  <c r="U347" i="11"/>
  <c r="W347" i="11" s="1"/>
  <c r="U298" i="11"/>
  <c r="W298" i="11" s="1"/>
  <c r="U212" i="11"/>
  <c r="W212" i="11" s="1"/>
  <c r="U189" i="11"/>
  <c r="W189" i="11" s="1"/>
  <c r="U168" i="11"/>
  <c r="W168" i="11" s="1"/>
  <c r="U136" i="11"/>
  <c r="W136" i="11" s="1"/>
  <c r="U104" i="11"/>
  <c r="W104" i="11" s="1"/>
  <c r="U93" i="11"/>
  <c r="W93" i="11" s="1"/>
  <c r="U90" i="11"/>
  <c r="W90" i="11" s="1"/>
  <c r="U87" i="11"/>
  <c r="W87" i="11" s="1"/>
  <c r="U78" i="11"/>
  <c r="W78" i="11" s="1"/>
  <c r="U72" i="11"/>
  <c r="W72" i="11" s="1"/>
  <c r="U57" i="11"/>
  <c r="W57" i="11" s="1"/>
  <c r="U54" i="11"/>
  <c r="W54" i="11" s="1"/>
  <c r="U49" i="11"/>
  <c r="W49" i="11" s="1"/>
  <c r="U46" i="11"/>
  <c r="W46" i="11" s="1"/>
  <c r="U41" i="11"/>
  <c r="W41" i="11" s="1"/>
  <c r="U38" i="11"/>
  <c r="W38" i="11" s="1"/>
  <c r="U32" i="11"/>
  <c r="W32" i="11" s="1"/>
  <c r="U29" i="11"/>
  <c r="W29" i="11" s="1"/>
  <c r="U16" i="11"/>
  <c r="W16" i="11" s="1"/>
  <c r="U13" i="11"/>
  <c r="W13" i="11" s="1"/>
  <c r="U76" i="11"/>
  <c r="W76" i="11" s="1"/>
  <c r="U58" i="11"/>
  <c r="W58" i="11" s="1"/>
  <c r="U50" i="11"/>
  <c r="W50" i="11" s="1"/>
  <c r="U42" i="11"/>
  <c r="W42" i="11" s="1"/>
  <c r="U5" i="11"/>
  <c r="W5" i="11" s="1"/>
  <c r="U30" i="11"/>
  <c r="W30" i="11" s="1"/>
  <c r="U14" i="11"/>
  <c r="W14" i="11" s="1"/>
  <c r="U228" i="11"/>
  <c r="W228" i="11" s="1"/>
  <c r="U195" i="11"/>
  <c r="W195" i="11" s="1"/>
  <c r="U182" i="11"/>
  <c r="W182" i="11" s="1"/>
  <c r="U156" i="11"/>
  <c r="W156" i="11" s="1"/>
  <c r="U124" i="11"/>
  <c r="W124" i="11" s="1"/>
  <c r="U96" i="11"/>
  <c r="W96" i="11" s="1"/>
  <c r="U83" i="11"/>
  <c r="W83" i="11" s="1"/>
  <c r="U68" i="11"/>
  <c r="W68" i="11" s="1"/>
  <c r="U65" i="11"/>
  <c r="W65" i="11" s="1"/>
  <c r="U35" i="11"/>
  <c r="W35" i="11" s="1"/>
  <c r="U22" i="11"/>
  <c r="W22" i="11" s="1"/>
  <c r="U19" i="11"/>
  <c r="W19" i="11" s="1"/>
  <c r="U6" i="11"/>
  <c r="W6" i="11" s="1"/>
  <c r="U3" i="11"/>
  <c r="W3" i="11" s="1"/>
  <c r="U202" i="11"/>
  <c r="W202" i="11" s="1"/>
  <c r="U174" i="11"/>
  <c r="W174" i="11" s="1"/>
  <c r="U144" i="11"/>
  <c r="W144" i="11" s="1"/>
  <c r="U112" i="11"/>
  <c r="W112" i="11" s="1"/>
  <c r="U92" i="11"/>
  <c r="W92" i="11" s="1"/>
  <c r="U89" i="11"/>
  <c r="W89" i="11" s="1"/>
  <c r="U77" i="11"/>
  <c r="W77" i="11" s="1"/>
  <c r="U74" i="11"/>
  <c r="W74" i="11" s="1"/>
  <c r="U71" i="11"/>
  <c r="W71" i="11" s="1"/>
  <c r="U62" i="11"/>
  <c r="W62" i="11" s="1"/>
  <c r="U59" i="11"/>
  <c r="W59" i="11" s="1"/>
  <c r="U56" i="11"/>
  <c r="W56" i="11" s="1"/>
  <c r="U51" i="11"/>
  <c r="W51" i="11" s="1"/>
  <c r="U48" i="11"/>
  <c r="W48" i="11" s="1"/>
  <c r="U43" i="11"/>
  <c r="W43" i="11" s="1"/>
  <c r="U40" i="11"/>
  <c r="W40" i="11" s="1"/>
  <c r="U28" i="11"/>
  <c r="W28" i="11" s="1"/>
  <c r="U25" i="11"/>
  <c r="W25" i="11" s="1"/>
  <c r="U12" i="11"/>
  <c r="W12" i="11" s="1"/>
  <c r="U9" i="11"/>
  <c r="W9" i="11" s="1"/>
  <c r="U45" i="11"/>
  <c r="W45" i="11" s="1"/>
  <c r="U37" i="11"/>
  <c r="W37" i="11" s="1"/>
  <c r="U21" i="11"/>
  <c r="W21" i="11" s="1"/>
  <c r="U8" i="11"/>
  <c r="W8" i="11" s="1"/>
  <c r="U27" i="11"/>
  <c r="W27" i="11" s="1"/>
  <c r="U11" i="11"/>
  <c r="W11" i="11" s="1"/>
  <c r="U218" i="11"/>
  <c r="W218" i="11" s="1"/>
  <c r="U201" i="11"/>
  <c r="W201" i="11" s="1"/>
  <c r="U164" i="11"/>
  <c r="W164" i="11" s="1"/>
  <c r="U132" i="11"/>
  <c r="W132" i="11" s="1"/>
  <c r="U100" i="11"/>
  <c r="W100" i="11" s="1"/>
  <c r="U95" i="11"/>
  <c r="W95" i="11" s="1"/>
  <c r="U86" i="11"/>
  <c r="W86" i="11" s="1"/>
  <c r="U80" i="11"/>
  <c r="W80" i="11" s="1"/>
  <c r="U67" i="11"/>
  <c r="W67" i="11" s="1"/>
  <c r="U34" i="11"/>
  <c r="W34" i="11" s="1"/>
  <c r="U31" i="11"/>
  <c r="W31" i="11" s="1"/>
  <c r="U18" i="11"/>
  <c r="W18" i="11" s="1"/>
  <c r="U15" i="11"/>
  <c r="W15" i="11" s="1"/>
  <c r="U234" i="11"/>
  <c r="W234" i="11" s="1"/>
  <c r="U217" i="11"/>
  <c r="W217" i="11" s="1"/>
  <c r="U199" i="11"/>
  <c r="W199" i="11" s="1"/>
  <c r="U179" i="11"/>
  <c r="W179" i="11" s="1"/>
  <c r="U152" i="11"/>
  <c r="W152" i="11" s="1"/>
  <c r="U120" i="11"/>
  <c r="W120" i="11" s="1"/>
  <c r="U91" i="11"/>
  <c r="W91" i="11" s="1"/>
  <c r="U73" i="11"/>
  <c r="W73" i="11" s="1"/>
  <c r="U61" i="11"/>
  <c r="W61" i="11" s="1"/>
  <c r="U53" i="11"/>
  <c r="W53" i="11" s="1"/>
  <c r="U24" i="11"/>
  <c r="W24" i="11" s="1"/>
  <c r="U233" i="11"/>
  <c r="W233" i="11" s="1"/>
  <c r="U215" i="11"/>
  <c r="W215" i="11" s="1"/>
  <c r="U186" i="11"/>
  <c r="W186" i="11" s="1"/>
  <c r="U171" i="11"/>
  <c r="W171" i="11" s="1"/>
  <c r="U140" i="11"/>
  <c r="W140" i="11" s="1"/>
  <c r="U108" i="11"/>
  <c r="W108" i="11" s="1"/>
  <c r="U85" i="11"/>
  <c r="W85" i="11" s="1"/>
  <c r="U82" i="11"/>
  <c r="W82" i="11" s="1"/>
  <c r="U79" i="11"/>
  <c r="W79" i="11" s="1"/>
  <c r="U70" i="11"/>
  <c r="W70" i="11" s="1"/>
  <c r="U64" i="11"/>
  <c r="W64" i="11" s="1"/>
  <c r="U2" i="11"/>
  <c r="W2" i="11" s="1"/>
  <c r="U342" i="11"/>
  <c r="W342" i="11" s="1"/>
  <c r="U231" i="11"/>
  <c r="W231" i="11" s="1"/>
  <c r="U205" i="11"/>
  <c r="W205" i="11" s="1"/>
  <c r="U191" i="11"/>
  <c r="W191" i="11" s="1"/>
  <c r="U160" i="11"/>
  <c r="W160" i="11" s="1"/>
  <c r="U128" i="11"/>
  <c r="W128" i="11" s="1"/>
  <c r="U97" i="11"/>
  <c r="W97" i="11" s="1"/>
  <c r="U94" i="11"/>
  <c r="W94" i="11" s="1"/>
  <c r="U88" i="11"/>
  <c r="W88" i="11" s="1"/>
  <c r="U75" i="11"/>
  <c r="W75" i="11" s="1"/>
  <c r="U60" i="11"/>
  <c r="W60" i="11" s="1"/>
  <c r="U55" i="11"/>
  <c r="W55" i="11" s="1"/>
  <c r="U52" i="11"/>
  <c r="W52" i="11" s="1"/>
  <c r="U47" i="11"/>
  <c r="W47" i="11" s="1"/>
  <c r="U44" i="11"/>
  <c r="W44" i="11" s="1"/>
  <c r="U39" i="11"/>
  <c r="W39" i="11" s="1"/>
  <c r="U36" i="11"/>
  <c r="W36" i="11" s="1"/>
  <c r="U33" i="11"/>
  <c r="W33" i="11" s="1"/>
  <c r="U20" i="11"/>
  <c r="W20" i="11" s="1"/>
  <c r="U17" i="11"/>
  <c r="W17" i="11" s="1"/>
  <c r="U4" i="11"/>
  <c r="W4" i="11" s="1"/>
  <c r="U333" i="11"/>
  <c r="W333" i="11" s="1"/>
  <c r="U221" i="11"/>
  <c r="W221" i="11" s="1"/>
  <c r="U196" i="11"/>
  <c r="W196" i="11" s="1"/>
  <c r="U148" i="11"/>
  <c r="W148" i="11" s="1"/>
  <c r="U116" i="11"/>
  <c r="W116" i="11" s="1"/>
  <c r="U84" i="11"/>
  <c r="W84" i="11" s="1"/>
  <c r="U81" i="11"/>
  <c r="W81" i="11" s="1"/>
  <c r="U69" i="11"/>
  <c r="W69" i="11" s="1"/>
  <c r="U66" i="11"/>
  <c r="W66" i="11" s="1"/>
  <c r="U63" i="11"/>
  <c r="W63" i="11" s="1"/>
  <c r="U26" i="11"/>
  <c r="W26" i="11" s="1"/>
  <c r="U23" i="11"/>
  <c r="W23" i="11" s="1"/>
  <c r="U10" i="11"/>
  <c r="W10" i="11" s="1"/>
  <c r="U7" i="11"/>
  <c r="W7" i="11" s="1"/>
  <c r="U363" i="11"/>
  <c r="W363" i="11" s="1"/>
  <c r="U364" i="11"/>
  <c r="W364" i="11" s="1"/>
  <c r="U359" i="11"/>
  <c r="W359" i="11" s="1"/>
  <c r="U362" i="11"/>
  <c r="W362" i="11" s="1"/>
  <c r="U365" i="11"/>
  <c r="W365" i="11" s="1"/>
  <c r="U358" i="11"/>
  <c r="W358" i="11" s="1"/>
  <c r="U360" i="11"/>
  <c r="W360" i="11" s="1"/>
  <c r="U366" i="11"/>
  <c r="W366" i="11" s="1"/>
  <c r="U355" i="11"/>
  <c r="W355" i="11" s="1"/>
  <c r="U357" i="11"/>
  <c r="W357" i="11" s="1"/>
  <c r="U356" i="11"/>
  <c r="W356" i="11" s="1"/>
  <c r="U352" i="11"/>
  <c r="W352" i="11" s="1"/>
  <c r="U353" i="11"/>
  <c r="W353" i="11" s="1"/>
  <c r="U350" i="11"/>
  <c r="W350" i="11" s="1"/>
  <c r="U351" i="11"/>
  <c r="W351" i="11" s="1"/>
  <c r="U348" i="11"/>
  <c r="W348" i="11" s="1"/>
  <c r="U345" i="11"/>
  <c r="W345" i="11" s="1"/>
  <c r="U346" i="11"/>
  <c r="W346" i="11" s="1"/>
  <c r="U343" i="11"/>
  <c r="W343" i="11" s="1"/>
  <c r="U349" i="11"/>
  <c r="W349" i="11" s="1"/>
  <c r="U344" i="11"/>
  <c r="W344" i="11" s="1"/>
  <c r="U339" i="11"/>
  <c r="W339" i="11" s="1"/>
  <c r="U336" i="11"/>
  <c r="W336" i="11" s="1"/>
  <c r="U338" i="11"/>
  <c r="W338" i="11" s="1"/>
  <c r="U341" i="11"/>
  <c r="W341" i="11" s="1"/>
  <c r="U337" i="11"/>
  <c r="W337" i="11" s="1"/>
  <c r="U329" i="11"/>
  <c r="W329" i="11" s="1"/>
  <c r="U335" i="11"/>
  <c r="W335" i="11" s="1"/>
  <c r="U334" i="11"/>
  <c r="W334" i="11" s="1"/>
  <c r="U332" i="11"/>
  <c r="W332" i="11" s="1"/>
  <c r="U331" i="11"/>
  <c r="W331" i="11" s="1"/>
  <c r="U327" i="11"/>
  <c r="W327" i="11" s="1"/>
  <c r="U328" i="11"/>
  <c r="W328" i="11" s="1"/>
  <c r="U325" i="11"/>
  <c r="W325" i="11" s="1"/>
  <c r="U322" i="11"/>
  <c r="W322" i="11" s="1"/>
  <c r="U323" i="11"/>
  <c r="W323" i="11" s="1"/>
  <c r="U321" i="11"/>
  <c r="W321" i="11" s="1"/>
  <c r="U324" i="11"/>
  <c r="W324" i="11" s="1"/>
  <c r="U320" i="11"/>
  <c r="W320" i="11" s="1"/>
  <c r="U316" i="11"/>
  <c r="W316" i="11" s="1"/>
  <c r="U315" i="11"/>
  <c r="W315" i="11" s="1"/>
  <c r="U318" i="11"/>
  <c r="W318" i="11" s="1"/>
  <c r="U317" i="11"/>
  <c r="W317" i="11" s="1"/>
  <c r="U314" i="11"/>
  <c r="W314" i="11" s="1"/>
  <c r="U313" i="11"/>
  <c r="W313" i="11" s="1"/>
  <c r="U309" i="11"/>
  <c r="W309" i="11" s="1"/>
  <c r="U308" i="11"/>
  <c r="W308" i="11" s="1"/>
  <c r="U306" i="11"/>
  <c r="W306" i="11" s="1"/>
  <c r="U307" i="11"/>
  <c r="W307" i="11" s="1"/>
  <c r="U311" i="11"/>
  <c r="W311" i="11" s="1"/>
  <c r="U310" i="11"/>
  <c r="W310" i="11" s="1"/>
  <c r="U303" i="11"/>
  <c r="W303" i="11" s="1"/>
  <c r="U304" i="11"/>
  <c r="W304" i="11" s="1"/>
  <c r="U301" i="11"/>
  <c r="W301" i="11" s="1"/>
  <c r="U299" i="11"/>
  <c r="W299" i="11" s="1"/>
  <c r="U302" i="11"/>
  <c r="W302" i="11" s="1"/>
  <c r="U300" i="11"/>
  <c r="W300" i="11" s="1"/>
  <c r="U293" i="11"/>
  <c r="W293" i="11" s="1"/>
  <c r="U297" i="11"/>
  <c r="W297" i="11" s="1"/>
  <c r="U292" i="11"/>
  <c r="W292" i="11" s="1"/>
  <c r="U296" i="11"/>
  <c r="W296" i="11" s="1"/>
  <c r="U294" i="11"/>
  <c r="W294" i="11" s="1"/>
  <c r="U295" i="11"/>
  <c r="W295" i="11" s="1"/>
  <c r="U286" i="11"/>
  <c r="W286" i="11" s="1"/>
  <c r="U282" i="11"/>
  <c r="W282" i="11" s="1"/>
  <c r="U279" i="11"/>
  <c r="W279" i="11" s="1"/>
  <c r="U283" i="11"/>
  <c r="W283" i="11" s="1"/>
  <c r="U288" i="11"/>
  <c r="W288" i="11" s="1"/>
  <c r="U280" i="11"/>
  <c r="W280" i="11" s="1"/>
  <c r="U289" i="11"/>
  <c r="W289" i="11" s="1"/>
  <c r="U287" i="11"/>
  <c r="W287" i="11" s="1"/>
  <c r="U281" i="11"/>
  <c r="W281" i="11" s="1"/>
  <c r="U285" i="11"/>
  <c r="W285" i="11" s="1"/>
  <c r="U290" i="11"/>
  <c r="W290" i="11" s="1"/>
  <c r="U265" i="11"/>
  <c r="W265" i="11" s="1"/>
  <c r="U266" i="11"/>
  <c r="W266" i="11" s="1"/>
  <c r="U264" i="11"/>
  <c r="W264" i="11" s="1"/>
  <c r="U274" i="11"/>
  <c r="W274" i="11" s="1"/>
  <c r="U269" i="11"/>
  <c r="W269" i="11" s="1"/>
  <c r="U268" i="11"/>
  <c r="W268" i="11" s="1"/>
  <c r="U273" i="11"/>
  <c r="W273" i="11" s="1"/>
  <c r="U276" i="11"/>
  <c r="W276" i="11" s="1"/>
  <c r="U275" i="11"/>
  <c r="W275" i="11" s="1"/>
  <c r="U267" i="11"/>
  <c r="W267" i="11" s="1"/>
  <c r="U254" i="11"/>
  <c r="W254" i="11" s="1"/>
  <c r="U261" i="11"/>
  <c r="W261" i="11" s="1"/>
  <c r="U255" i="11"/>
  <c r="W255" i="11" s="1"/>
  <c r="U260" i="11"/>
  <c r="W260" i="11" s="1"/>
  <c r="U263" i="11"/>
  <c r="W263" i="11" s="1"/>
  <c r="U262" i="11"/>
  <c r="W262" i="11" s="1"/>
  <c r="U256" i="11"/>
  <c r="W256" i="11" s="1"/>
  <c r="U259" i="11"/>
  <c r="W259" i="11" s="1"/>
  <c r="U257" i="11"/>
  <c r="W257" i="11" s="1"/>
  <c r="U258" i="11"/>
  <c r="W258" i="11" s="1"/>
  <c r="U250" i="11"/>
  <c r="W250" i="11" s="1"/>
  <c r="U246" i="11"/>
  <c r="W246" i="11" s="1"/>
  <c r="U239" i="11"/>
  <c r="W239" i="11" s="1"/>
  <c r="U238" i="11"/>
  <c r="W238" i="11" s="1"/>
  <c r="U243" i="11"/>
  <c r="W243" i="11" s="1"/>
  <c r="U235" i="11"/>
  <c r="W235" i="11" s="1"/>
  <c r="U249" i="11"/>
  <c r="W249" i="11" s="1"/>
  <c r="U247" i="11"/>
  <c r="W247" i="11" s="1"/>
  <c r="U236" i="11"/>
  <c r="W236" i="11" s="1"/>
  <c r="U237" i="11"/>
  <c r="W237" i="11" s="1"/>
  <c r="U240" i="11"/>
  <c r="W240" i="11" s="1"/>
  <c r="U241" i="11"/>
  <c r="W241" i="11" s="1"/>
  <c r="U252" i="11"/>
  <c r="W252" i="11" s="1"/>
  <c r="U242" i="11"/>
  <c r="W242" i="11" s="1"/>
  <c r="U244" i="11"/>
  <c r="W244" i="11" s="1"/>
  <c r="U245" i="11"/>
  <c r="W245" i="11" s="1"/>
  <c r="U253" i="11"/>
  <c r="W253" i="11" s="1"/>
  <c r="U248" i="11"/>
  <c r="W248" i="11" s="1"/>
  <c r="U251" i="11"/>
  <c r="W251" i="11" s="1"/>
  <c r="V6" i="9"/>
  <c r="X6" i="9" s="1"/>
  <c r="V9" i="9"/>
  <c r="X9" i="9" s="1"/>
  <c r="V22" i="9"/>
  <c r="X22" i="9" s="1"/>
  <c r="V25" i="9"/>
  <c r="X25" i="9" s="1"/>
  <c r="V36" i="9"/>
  <c r="X36" i="9" s="1"/>
  <c r="V43" i="9"/>
  <c r="X43" i="9" s="1"/>
  <c r="V47" i="9"/>
  <c r="X47" i="9" s="1"/>
  <c r="V54" i="9"/>
  <c r="X54" i="9" s="1"/>
  <c r="V58" i="9"/>
  <c r="X58" i="9" s="1"/>
  <c r="V76" i="9"/>
  <c r="X76" i="9" s="1"/>
  <c r="V80" i="9"/>
  <c r="X80" i="9" s="1"/>
  <c r="V83" i="9"/>
  <c r="X83" i="9" s="1"/>
  <c r="V94" i="9"/>
  <c r="X94" i="9" s="1"/>
  <c r="V115" i="9"/>
  <c r="X115" i="9" s="1"/>
  <c r="V122" i="9"/>
  <c r="X122" i="9" s="1"/>
  <c r="V10" i="9"/>
  <c r="X10" i="9" s="1"/>
  <c r="V13" i="9"/>
  <c r="X13" i="9" s="1"/>
  <c r="V26" i="9"/>
  <c r="X26" i="9" s="1"/>
  <c r="V44" i="9"/>
  <c r="X44" i="9" s="1"/>
  <c r="V48" i="9"/>
  <c r="X48" i="9" s="1"/>
  <c r="V55" i="9"/>
  <c r="X55" i="9" s="1"/>
  <c r="V77" i="9"/>
  <c r="X77" i="9" s="1"/>
  <c r="V84" i="9"/>
  <c r="X84" i="9" s="1"/>
  <c r="V91" i="9"/>
  <c r="X91" i="9" s="1"/>
  <c r="V95" i="9"/>
  <c r="X95" i="9" s="1"/>
  <c r="V105" i="9"/>
  <c r="X105" i="9" s="1"/>
  <c r="V116" i="9"/>
  <c r="X116" i="9" s="1"/>
  <c r="V14" i="9"/>
  <c r="X14" i="9" s="1"/>
  <c r="V17" i="9"/>
  <c r="X17" i="9" s="1"/>
  <c r="V45" i="9"/>
  <c r="X45" i="9" s="1"/>
  <c r="V49" i="9"/>
  <c r="X49" i="9" s="1"/>
  <c r="V56" i="9"/>
  <c r="X56" i="9" s="1"/>
  <c r="V67" i="9"/>
  <c r="X67" i="9" s="1"/>
  <c r="V78" i="9"/>
  <c r="X78" i="9" s="1"/>
  <c r="V92" i="9"/>
  <c r="X92" i="9" s="1"/>
  <c r="V96" i="9"/>
  <c r="X96" i="9" s="1"/>
  <c r="V99" i="9"/>
  <c r="X99" i="9" s="1"/>
  <c r="V106" i="9"/>
  <c r="X106" i="9" s="1"/>
  <c r="V131" i="9"/>
  <c r="X131" i="9" s="1"/>
  <c r="V138" i="9"/>
  <c r="X138" i="9" s="1"/>
  <c r="V141" i="9"/>
  <c r="X141" i="9" s="1"/>
  <c r="V154" i="9"/>
  <c r="X154" i="9" s="1"/>
  <c r="V157" i="9"/>
  <c r="X157" i="9" s="1"/>
  <c r="V172" i="9"/>
  <c r="X172" i="9" s="1"/>
  <c r="V180" i="9"/>
  <c r="X180" i="9" s="1"/>
  <c r="V188" i="9"/>
  <c r="X188" i="9" s="1"/>
  <c r="V196" i="9"/>
  <c r="X196" i="9" s="1"/>
  <c r="V204" i="9"/>
  <c r="X204" i="9" s="1"/>
  <c r="V212" i="9"/>
  <c r="X212" i="9" s="1"/>
  <c r="V220" i="9"/>
  <c r="X220" i="9" s="1"/>
  <c r="V228" i="9"/>
  <c r="X228" i="9" s="1"/>
  <c r="V239" i="9"/>
  <c r="X239" i="9" s="1"/>
  <c r="V242" i="9"/>
  <c r="X242" i="9" s="1"/>
  <c r="V253" i="9"/>
  <c r="X253" i="9" s="1"/>
  <c r="V8" i="9"/>
  <c r="X8" i="9" s="1"/>
  <c r="V11" i="9"/>
  <c r="X11" i="9" s="1"/>
  <c r="V24" i="9"/>
  <c r="X24" i="9" s="1"/>
  <c r="V27" i="9"/>
  <c r="X27" i="9" s="1"/>
  <c r="V31" i="9"/>
  <c r="X31" i="9" s="1"/>
  <c r="V38" i="9"/>
  <c r="X38" i="9" s="1"/>
  <c r="V42" i="9"/>
  <c r="X42" i="9" s="1"/>
  <c r="V60" i="9"/>
  <c r="X60" i="9" s="1"/>
  <c r="V64" i="9"/>
  <c r="X64" i="9" s="1"/>
  <c r="V71" i="9"/>
  <c r="X71" i="9" s="1"/>
  <c r="V82" i="9"/>
  <c r="X82" i="9" s="1"/>
  <c r="V85" i="9"/>
  <c r="X85" i="9" s="1"/>
  <c r="V89" i="9"/>
  <c r="X89" i="9" s="1"/>
  <c r="V103" i="9"/>
  <c r="X103" i="9" s="1"/>
  <c r="V110" i="9"/>
  <c r="X110" i="9" s="1"/>
  <c r="V114" i="9"/>
  <c r="X114" i="9" s="1"/>
  <c r="V117" i="9"/>
  <c r="X117" i="9" s="1"/>
  <c r="V124" i="9"/>
  <c r="X124" i="9" s="1"/>
  <c r="V128" i="9"/>
  <c r="X128" i="9" s="1"/>
  <c r="V135" i="9"/>
  <c r="X135" i="9" s="1"/>
  <c r="V148" i="9"/>
  <c r="X148" i="9" s="1"/>
  <c r="V151" i="9"/>
  <c r="X151" i="9" s="1"/>
  <c r="V164" i="9"/>
  <c r="X164" i="9" s="1"/>
  <c r="V167" i="9"/>
  <c r="X167" i="9" s="1"/>
  <c r="V170" i="9"/>
  <c r="X170" i="9" s="1"/>
  <c r="V175" i="9"/>
  <c r="X175" i="9" s="1"/>
  <c r="V183" i="9"/>
  <c r="X183" i="9" s="1"/>
  <c r="V191" i="9"/>
  <c r="X191" i="9" s="1"/>
  <c r="V199" i="9"/>
  <c r="X199" i="9" s="1"/>
  <c r="V207" i="9"/>
  <c r="X207" i="9" s="1"/>
  <c r="V215" i="9"/>
  <c r="X215" i="9" s="1"/>
  <c r="V223" i="9"/>
  <c r="X223" i="9" s="1"/>
  <c r="V231" i="9"/>
  <c r="X231" i="9" s="1"/>
  <c r="V234" i="9"/>
  <c r="X234" i="9" s="1"/>
  <c r="V245" i="9"/>
  <c r="X245" i="9" s="1"/>
  <c r="V257" i="9"/>
  <c r="X257" i="9" s="1"/>
  <c r="V260" i="9"/>
  <c r="X260" i="9" s="1"/>
  <c r="V263" i="9"/>
  <c r="X263" i="9" s="1"/>
  <c r="V3" i="9"/>
  <c r="X3" i="9" s="1"/>
  <c r="V16" i="9"/>
  <c r="X16" i="9" s="1"/>
  <c r="V29" i="9"/>
  <c r="X29" i="9" s="1"/>
  <c r="V51" i="9"/>
  <c r="X51" i="9" s="1"/>
  <c r="V66" i="9"/>
  <c r="X66" i="9" s="1"/>
  <c r="V73" i="9"/>
  <c r="X73" i="9" s="1"/>
  <c r="V87" i="9"/>
  <c r="X87" i="9" s="1"/>
  <c r="V101" i="9"/>
  <c r="X101" i="9" s="1"/>
  <c r="V108" i="9"/>
  <c r="X108" i="9" s="1"/>
  <c r="V137" i="9"/>
  <c r="X137" i="9" s="1"/>
  <c r="V142" i="9"/>
  <c r="X142" i="9" s="1"/>
  <c r="V146" i="9"/>
  <c r="X146" i="9" s="1"/>
  <c r="V150" i="9"/>
  <c r="X150" i="9" s="1"/>
  <c r="V174" i="9"/>
  <c r="X174" i="9" s="1"/>
  <c r="V178" i="9"/>
  <c r="X178" i="9" s="1"/>
  <c r="V192" i="9"/>
  <c r="X192" i="9" s="1"/>
  <c r="V206" i="9"/>
  <c r="X206" i="9" s="1"/>
  <c r="V210" i="9"/>
  <c r="X210" i="9" s="1"/>
  <c r="V224" i="9"/>
  <c r="X224" i="9" s="1"/>
  <c r="V235" i="9"/>
  <c r="X235" i="9" s="1"/>
  <c r="V246" i="9"/>
  <c r="X246" i="9" s="1"/>
  <c r="V254" i="9"/>
  <c r="X254" i="9" s="1"/>
  <c r="V262" i="9"/>
  <c r="X262" i="9" s="1"/>
  <c r="V291" i="9"/>
  <c r="X291" i="9" s="1"/>
  <c r="V298" i="9"/>
  <c r="X298" i="9" s="1"/>
  <c r="V340" i="9"/>
  <c r="X340" i="9" s="1"/>
  <c r="V4" i="9"/>
  <c r="X4" i="9" s="1"/>
  <c r="V23" i="9"/>
  <c r="X23" i="9" s="1"/>
  <c r="V30" i="9"/>
  <c r="X30" i="9" s="1"/>
  <c r="V37" i="9"/>
  <c r="X37" i="9" s="1"/>
  <c r="V52" i="9"/>
  <c r="X52" i="9" s="1"/>
  <c r="V59" i="9"/>
  <c r="X59" i="9" s="1"/>
  <c r="V74" i="9"/>
  <c r="X74" i="9" s="1"/>
  <c r="V81" i="9"/>
  <c r="X81" i="9" s="1"/>
  <c r="V88" i="9"/>
  <c r="X88" i="9" s="1"/>
  <c r="V102" i="9"/>
  <c r="X102" i="9" s="1"/>
  <c r="V109" i="9"/>
  <c r="X109" i="9" s="1"/>
  <c r="V123" i="9"/>
  <c r="X123" i="9" s="1"/>
  <c r="V129" i="9"/>
  <c r="X129" i="9" s="1"/>
  <c r="V133" i="9"/>
  <c r="X133" i="9" s="1"/>
  <c r="V155" i="9"/>
  <c r="X155" i="9" s="1"/>
  <c r="V159" i="9"/>
  <c r="X159" i="9" s="1"/>
  <c r="V163" i="9"/>
  <c r="X163" i="9" s="1"/>
  <c r="V168" i="9"/>
  <c r="X168" i="9" s="1"/>
  <c r="V171" i="9"/>
  <c r="X171" i="9" s="1"/>
  <c r="V185" i="9"/>
  <c r="X185" i="9" s="1"/>
  <c r="V189" i="9"/>
  <c r="X189" i="9" s="1"/>
  <c r="V203" i="9"/>
  <c r="X203" i="9" s="1"/>
  <c r="V217" i="9"/>
  <c r="X217" i="9" s="1"/>
  <c r="V221" i="9"/>
  <c r="X221" i="9" s="1"/>
  <c r="V243" i="9"/>
  <c r="X243" i="9" s="1"/>
  <c r="V250" i="9"/>
  <c r="X250" i="9" s="1"/>
  <c r="V271" i="9"/>
  <c r="X271" i="9" s="1"/>
  <c r="V278" i="9"/>
  <c r="X278" i="9" s="1"/>
  <c r="V305" i="9"/>
  <c r="X305" i="9" s="1"/>
  <c r="V361" i="9"/>
  <c r="X361" i="9" s="1"/>
  <c r="V5" i="9"/>
  <c r="X5" i="9" s="1"/>
  <c r="V18" i="9"/>
  <c r="X18" i="9" s="1"/>
  <c r="V46" i="9"/>
  <c r="X46" i="9" s="1"/>
  <c r="V53" i="9"/>
  <c r="X53" i="9" s="1"/>
  <c r="V68" i="9"/>
  <c r="X68" i="9" s="1"/>
  <c r="V75" i="9"/>
  <c r="X75" i="9" s="1"/>
  <c r="V182" i="9"/>
  <c r="X182" i="9" s="1"/>
  <c r="V186" i="9"/>
  <c r="X186" i="9" s="1"/>
  <c r="V200" i="9"/>
  <c r="X200" i="9" s="1"/>
  <c r="V214" i="9"/>
  <c r="X214" i="9" s="1"/>
  <c r="V218" i="9"/>
  <c r="X218" i="9" s="1"/>
  <c r="V232" i="9"/>
  <c r="X232" i="9" s="1"/>
  <c r="V251" i="9"/>
  <c r="X251" i="9" s="1"/>
  <c r="V259" i="9"/>
  <c r="X259" i="9" s="1"/>
  <c r="V312" i="9"/>
  <c r="X312" i="9" s="1"/>
  <c r="V347" i="9"/>
  <c r="X347" i="9" s="1"/>
  <c r="V12" i="9"/>
  <c r="X12" i="9" s="1"/>
  <c r="V32" i="9"/>
  <c r="X32" i="9" s="1"/>
  <c r="V39" i="9"/>
  <c r="X39" i="9" s="1"/>
  <c r="V61" i="9"/>
  <c r="X61" i="9" s="1"/>
  <c r="V90" i="9"/>
  <c r="X90" i="9" s="1"/>
  <c r="V97" i="9"/>
  <c r="X97" i="9" s="1"/>
  <c r="V104" i="9"/>
  <c r="X104" i="9" s="1"/>
  <c r="V111" i="9"/>
  <c r="X111" i="9" s="1"/>
  <c r="V118" i="9"/>
  <c r="X118" i="9" s="1"/>
  <c r="V125" i="9"/>
  <c r="X125" i="9" s="1"/>
  <c r="V130" i="9"/>
  <c r="X130" i="9" s="1"/>
  <c r="V134" i="9"/>
  <c r="X134" i="9" s="1"/>
  <c r="V139" i="9"/>
  <c r="X139" i="9" s="1"/>
  <c r="V143" i="9"/>
  <c r="X143" i="9" s="1"/>
  <c r="V147" i="9"/>
  <c r="X147" i="9" s="1"/>
  <c r="V152" i="9"/>
  <c r="X152" i="9" s="1"/>
  <c r="V156" i="9"/>
  <c r="X156" i="9" s="1"/>
  <c r="V160" i="9"/>
  <c r="X160" i="9" s="1"/>
  <c r="V179" i="9"/>
  <c r="X179" i="9" s="1"/>
  <c r="V193" i="9"/>
  <c r="X193" i="9" s="1"/>
  <c r="V197" i="9"/>
  <c r="X197" i="9" s="1"/>
  <c r="V211" i="9"/>
  <c r="X211" i="9" s="1"/>
  <c r="V225" i="9"/>
  <c r="X225" i="9" s="1"/>
  <c r="V229" i="9"/>
  <c r="X229" i="9" s="1"/>
  <c r="V236" i="9"/>
  <c r="X236" i="9" s="1"/>
  <c r="V240" i="9"/>
  <c r="X240" i="9" s="1"/>
  <c r="V247" i="9"/>
  <c r="X247" i="9" s="1"/>
  <c r="V255" i="9"/>
  <c r="X255" i="9" s="1"/>
  <c r="V272" i="9"/>
  <c r="X272" i="9" s="1"/>
  <c r="V319" i="9"/>
  <c r="X319" i="9" s="1"/>
  <c r="V19" i="9"/>
  <c r="X19" i="9" s="1"/>
  <c r="V33" i="9"/>
  <c r="X33" i="9" s="1"/>
  <c r="V40" i="9"/>
  <c r="X40" i="9" s="1"/>
  <c r="V62" i="9"/>
  <c r="X62" i="9" s="1"/>
  <c r="V69" i="9"/>
  <c r="X69" i="9" s="1"/>
  <c r="V98" i="9"/>
  <c r="X98" i="9" s="1"/>
  <c r="V112" i="9"/>
  <c r="X112" i="9" s="1"/>
  <c r="V119" i="9"/>
  <c r="X119" i="9" s="1"/>
  <c r="V161" i="9"/>
  <c r="X161" i="9" s="1"/>
  <c r="V165" i="9"/>
  <c r="X165" i="9" s="1"/>
  <c r="V169" i="9"/>
  <c r="X169" i="9" s="1"/>
  <c r="V176" i="9"/>
  <c r="X176" i="9" s="1"/>
  <c r="V190" i="9"/>
  <c r="X190" i="9" s="1"/>
  <c r="V194" i="9"/>
  <c r="X194" i="9" s="1"/>
  <c r="V208" i="9"/>
  <c r="X208" i="9" s="1"/>
  <c r="V222" i="9"/>
  <c r="X222" i="9" s="1"/>
  <c r="V226" i="9"/>
  <c r="X226" i="9" s="1"/>
  <c r="V233" i="9"/>
  <c r="X233" i="9" s="1"/>
  <c r="V237" i="9"/>
  <c r="X237" i="9" s="1"/>
  <c r="V244" i="9"/>
  <c r="X244" i="9" s="1"/>
  <c r="V248" i="9"/>
  <c r="X248" i="9" s="1"/>
  <c r="V21" i="9"/>
  <c r="X21" i="9" s="1"/>
  <c r="V35" i="9"/>
  <c r="X35" i="9" s="1"/>
  <c r="V50" i="9"/>
  <c r="X50" i="9" s="1"/>
  <c r="V57" i="9"/>
  <c r="X57" i="9" s="1"/>
  <c r="V79" i="9"/>
  <c r="X79" i="9" s="1"/>
  <c r="V93" i="9"/>
  <c r="X93" i="9" s="1"/>
  <c r="V100" i="9"/>
  <c r="X100" i="9" s="1"/>
  <c r="V121" i="9"/>
  <c r="X121" i="9" s="1"/>
  <c r="V132" i="9"/>
  <c r="X132" i="9" s="1"/>
  <c r="V145" i="9"/>
  <c r="X145" i="9" s="1"/>
  <c r="V149" i="9"/>
  <c r="X149" i="9" s="1"/>
  <c r="V153" i="9"/>
  <c r="X153" i="9" s="1"/>
  <c r="V158" i="9"/>
  <c r="X158" i="9" s="1"/>
  <c r="V162" i="9"/>
  <c r="X162" i="9" s="1"/>
  <c r="V184" i="9"/>
  <c r="X184" i="9" s="1"/>
  <c r="V198" i="9"/>
  <c r="X198" i="9" s="1"/>
  <c r="V202" i="9"/>
  <c r="X202" i="9" s="1"/>
  <c r="V216" i="9"/>
  <c r="X216" i="9" s="1"/>
  <c r="V230" i="9"/>
  <c r="X230" i="9" s="1"/>
  <c r="V249" i="9"/>
  <c r="X249" i="9" s="1"/>
  <c r="V261" i="9"/>
  <c r="X261" i="9" s="1"/>
  <c r="V270" i="9"/>
  <c r="X270" i="9" s="1"/>
  <c r="V7" i="9"/>
  <c r="X7" i="9" s="1"/>
  <c r="V34" i="9"/>
  <c r="X34" i="9" s="1"/>
  <c r="V63" i="9"/>
  <c r="X63" i="9" s="1"/>
  <c r="V120" i="9"/>
  <c r="X120" i="9" s="1"/>
  <c r="V140" i="9"/>
  <c r="X140" i="9" s="1"/>
  <c r="V173" i="9"/>
  <c r="X173" i="9" s="1"/>
  <c r="V187" i="9"/>
  <c r="X187" i="9" s="1"/>
  <c r="V201" i="9"/>
  <c r="X201" i="9" s="1"/>
  <c r="V65" i="9"/>
  <c r="X65" i="9" s="1"/>
  <c r="V277" i="9"/>
  <c r="X277" i="9" s="1"/>
  <c r="V41" i="9"/>
  <c r="X41" i="9" s="1"/>
  <c r="V70" i="9"/>
  <c r="X70" i="9" s="1"/>
  <c r="V126" i="9"/>
  <c r="X126" i="9" s="1"/>
  <c r="V144" i="9"/>
  <c r="X144" i="9" s="1"/>
  <c r="V205" i="9"/>
  <c r="X205" i="9" s="1"/>
  <c r="V219" i="9"/>
  <c r="X219" i="9" s="1"/>
  <c r="V333" i="9"/>
  <c r="X333" i="9" s="1"/>
  <c r="V15" i="9"/>
  <c r="X15" i="9" s="1"/>
  <c r="V72" i="9"/>
  <c r="X72" i="9" s="1"/>
  <c r="V127" i="9"/>
  <c r="X127" i="9" s="1"/>
  <c r="V177" i="9"/>
  <c r="X177" i="9" s="1"/>
  <c r="V107" i="9"/>
  <c r="X107" i="9" s="1"/>
  <c r="V181" i="9"/>
  <c r="X181" i="9" s="1"/>
  <c r="V209" i="9"/>
  <c r="X209" i="9" s="1"/>
  <c r="V238" i="9"/>
  <c r="X238" i="9" s="1"/>
  <c r="V354" i="9"/>
  <c r="X354" i="9" s="1"/>
  <c r="V2" i="9"/>
  <c r="X2" i="9" s="1"/>
  <c r="V20" i="9"/>
  <c r="X20" i="9" s="1"/>
  <c r="V252" i="9"/>
  <c r="X252" i="9" s="1"/>
  <c r="V166" i="9"/>
  <c r="X166" i="9" s="1"/>
  <c r="V195" i="9"/>
  <c r="X195" i="9" s="1"/>
  <c r="V284" i="9"/>
  <c r="X284" i="9" s="1"/>
  <c r="V113" i="9"/>
  <c r="X113" i="9" s="1"/>
  <c r="V136" i="9"/>
  <c r="X136" i="9" s="1"/>
  <c r="V241" i="9"/>
  <c r="X241" i="9" s="1"/>
  <c r="V256" i="9"/>
  <c r="X256" i="9" s="1"/>
  <c r="V28" i="9"/>
  <c r="X28" i="9" s="1"/>
  <c r="V86" i="9"/>
  <c r="X86" i="9" s="1"/>
  <c r="V213" i="9"/>
  <c r="X213" i="9" s="1"/>
  <c r="V227" i="9"/>
  <c r="X227" i="9" s="1"/>
  <c r="V258" i="9"/>
  <c r="X258" i="9" s="1"/>
  <c r="V365" i="9"/>
  <c r="X365" i="9" s="1"/>
  <c r="V363" i="9"/>
  <c r="X363" i="9" s="1"/>
  <c r="V360" i="9"/>
  <c r="X360" i="9" s="1"/>
  <c r="V364" i="9"/>
  <c r="X364" i="9" s="1"/>
  <c r="V366" i="9"/>
  <c r="X366" i="9" s="1"/>
  <c r="V359" i="9"/>
  <c r="X359" i="9" s="1"/>
  <c r="V358" i="9"/>
  <c r="X358" i="9" s="1"/>
  <c r="V362" i="9"/>
  <c r="X362" i="9" s="1"/>
  <c r="V356" i="9"/>
  <c r="X356" i="9" s="1"/>
  <c r="V357" i="9"/>
  <c r="X357" i="9" s="1"/>
  <c r="V352" i="9"/>
  <c r="X352" i="9" s="1"/>
  <c r="V351" i="9"/>
  <c r="X351" i="9" s="1"/>
  <c r="V355" i="9"/>
  <c r="X355" i="9" s="1"/>
  <c r="V353" i="9"/>
  <c r="X353" i="9" s="1"/>
  <c r="V350" i="9"/>
  <c r="X350" i="9" s="1"/>
  <c r="V349" i="9"/>
  <c r="X349" i="9" s="1"/>
  <c r="V342" i="9"/>
  <c r="X342" i="9" s="1"/>
  <c r="V344" i="9"/>
  <c r="X344" i="9" s="1"/>
  <c r="V348" i="9"/>
  <c r="X348" i="9" s="1"/>
  <c r="V345" i="9"/>
  <c r="X345" i="9" s="1"/>
  <c r="V346" i="9"/>
  <c r="X346" i="9" s="1"/>
  <c r="V343" i="9"/>
  <c r="X343" i="9" s="1"/>
  <c r="V341" i="9"/>
  <c r="X341" i="9" s="1"/>
  <c r="V337" i="9"/>
  <c r="X337" i="9" s="1"/>
  <c r="V339" i="9"/>
  <c r="X339" i="9" s="1"/>
  <c r="V338" i="9"/>
  <c r="X338" i="9" s="1"/>
  <c r="V336" i="9"/>
  <c r="X336" i="9" s="1"/>
  <c r="V335" i="9"/>
  <c r="X335" i="9" s="1"/>
  <c r="V334" i="9"/>
  <c r="X334" i="9" s="1"/>
  <c r="V332" i="9"/>
  <c r="X332" i="9" s="1"/>
  <c r="V327" i="9"/>
  <c r="X327" i="9" s="1"/>
  <c r="V329" i="9"/>
  <c r="X329" i="9" s="1"/>
  <c r="V331" i="9"/>
  <c r="X331" i="9" s="1"/>
  <c r="V328" i="9"/>
  <c r="X328" i="9" s="1"/>
  <c r="V330" i="9"/>
  <c r="X330" i="9" s="1"/>
  <c r="V326" i="9"/>
  <c r="X326" i="9" s="1"/>
  <c r="V323" i="9"/>
  <c r="X323" i="9" s="1"/>
  <c r="V321" i="9"/>
  <c r="X321" i="9" s="1"/>
  <c r="V325" i="9"/>
  <c r="X325" i="9" s="1"/>
  <c r="V324" i="9"/>
  <c r="X324" i="9" s="1"/>
  <c r="V322" i="9"/>
  <c r="X322" i="9" s="1"/>
  <c r="V316" i="9"/>
  <c r="X316" i="9" s="1"/>
  <c r="V315" i="9"/>
  <c r="X315" i="9" s="1"/>
  <c r="V314" i="9"/>
  <c r="X314" i="9" s="1"/>
  <c r="V313" i="9"/>
  <c r="X313" i="9" s="1"/>
  <c r="V309" i="9"/>
  <c r="X309" i="9" s="1"/>
  <c r="V320" i="9"/>
  <c r="X320" i="9" s="1"/>
  <c r="V311" i="9"/>
  <c r="X311" i="9" s="1"/>
  <c r="V308" i="9"/>
  <c r="X308" i="9" s="1"/>
  <c r="V310" i="9"/>
  <c r="X310" i="9" s="1"/>
  <c r="V317" i="9"/>
  <c r="X317" i="9" s="1"/>
  <c r="V318" i="9"/>
  <c r="X318" i="9" s="1"/>
  <c r="V307" i="9"/>
  <c r="X307" i="9" s="1"/>
  <c r="V306" i="9"/>
  <c r="X306" i="9" s="1"/>
  <c r="V301" i="9"/>
  <c r="X301" i="9" s="1"/>
  <c r="V294" i="9"/>
  <c r="X294" i="9" s="1"/>
  <c r="V297" i="9"/>
  <c r="X297" i="9" s="1"/>
  <c r="V299" i="9"/>
  <c r="X299" i="9" s="1"/>
  <c r="V302" i="9"/>
  <c r="X302" i="9" s="1"/>
  <c r="V303" i="9"/>
  <c r="X303" i="9" s="1"/>
  <c r="V295" i="9"/>
  <c r="X295" i="9" s="1"/>
  <c r="V296" i="9"/>
  <c r="X296" i="9" s="1"/>
  <c r="V300" i="9"/>
  <c r="X300" i="9" s="1"/>
  <c r="V293" i="9"/>
  <c r="X293" i="9" s="1"/>
  <c r="V304" i="9"/>
  <c r="X304" i="9" s="1"/>
  <c r="V285" i="9"/>
  <c r="X285" i="9" s="1"/>
  <c r="V282" i="9"/>
  <c r="X282" i="9" s="1"/>
  <c r="V288" i="9"/>
  <c r="X288" i="9" s="1"/>
  <c r="V283" i="9"/>
  <c r="X283" i="9" s="1"/>
  <c r="V279" i="9"/>
  <c r="X279" i="9" s="1"/>
  <c r="V287" i="9"/>
  <c r="X287" i="9" s="1"/>
  <c r="V289" i="9"/>
  <c r="X289" i="9" s="1"/>
  <c r="V290" i="9"/>
  <c r="X290" i="9" s="1"/>
  <c r="V292" i="9"/>
  <c r="X292" i="9" s="1"/>
  <c r="V286" i="9"/>
  <c r="X286" i="9" s="1"/>
  <c r="V280" i="9"/>
  <c r="X280" i="9" s="1"/>
  <c r="V281" i="9"/>
  <c r="X281" i="9" s="1"/>
  <c r="V267" i="9"/>
  <c r="X267" i="9" s="1"/>
  <c r="V266" i="9"/>
  <c r="X266" i="9" s="1"/>
  <c r="V275" i="9"/>
  <c r="X275" i="9" s="1"/>
  <c r="V265" i="9"/>
  <c r="X265" i="9" s="1"/>
  <c r="V268" i="9"/>
  <c r="X268" i="9" s="1"/>
  <c r="V274" i="9"/>
  <c r="X274" i="9" s="1"/>
  <c r="V276" i="9"/>
  <c r="X276" i="9" s="1"/>
  <c r="V273" i="9"/>
  <c r="X273" i="9" s="1"/>
  <c r="V264" i="9"/>
  <c r="X264" i="9" s="1"/>
  <c r="V269" i="9"/>
  <c r="X269" i="9" s="1"/>
  <c r="V333" i="12"/>
  <c r="X333" i="12" s="1"/>
  <c r="V236" i="12"/>
  <c r="X236" i="12" s="1"/>
  <c r="V204" i="12"/>
  <c r="X204" i="12" s="1"/>
  <c r="V185" i="12"/>
  <c r="X185" i="12" s="1"/>
  <c r="V153" i="12"/>
  <c r="X153" i="12" s="1"/>
  <c r="V142" i="12"/>
  <c r="X142" i="12" s="1"/>
  <c r="V127" i="12"/>
  <c r="X127" i="12" s="1"/>
  <c r="V78" i="12"/>
  <c r="X78" i="12" s="1"/>
  <c r="V347" i="12"/>
  <c r="X347" i="12" s="1"/>
  <c r="V258" i="12"/>
  <c r="X258" i="12" s="1"/>
  <c r="V239" i="12"/>
  <c r="X239" i="12" s="1"/>
  <c r="V226" i="12"/>
  <c r="X226" i="12" s="1"/>
  <c r="V216" i="12"/>
  <c r="X216" i="12" s="1"/>
  <c r="V194" i="12"/>
  <c r="X194" i="12" s="1"/>
  <c r="V178" i="12"/>
  <c r="X178" i="12" s="1"/>
  <c r="V162" i="12"/>
  <c r="X162" i="12" s="1"/>
  <c r="V134" i="12"/>
  <c r="X134" i="12" s="1"/>
  <c r="V119" i="12"/>
  <c r="X119" i="12" s="1"/>
  <c r="V104" i="12"/>
  <c r="X104" i="12" s="1"/>
  <c r="V85" i="12"/>
  <c r="X85" i="12" s="1"/>
  <c r="V284" i="12"/>
  <c r="X284" i="12" s="1"/>
  <c r="V245" i="12"/>
  <c r="X245" i="12" s="1"/>
  <c r="V184" i="12"/>
  <c r="X184" i="12" s="1"/>
  <c r="V168" i="12"/>
  <c r="X168" i="12" s="1"/>
  <c r="V152" i="12"/>
  <c r="X152" i="12" s="1"/>
  <c r="V115" i="12"/>
  <c r="X115" i="12" s="1"/>
  <c r="V96" i="12"/>
  <c r="X96" i="12" s="1"/>
  <c r="V361" i="12"/>
  <c r="X361" i="12" s="1"/>
  <c r="V257" i="12"/>
  <c r="X257" i="12" s="1"/>
  <c r="V251" i="12"/>
  <c r="X251" i="12" s="1"/>
  <c r="V238" i="12"/>
  <c r="X238" i="12" s="1"/>
  <c r="V219" i="12"/>
  <c r="X219" i="12" s="1"/>
  <c r="V206" i="12"/>
  <c r="X206" i="12" s="1"/>
  <c r="V190" i="12"/>
  <c r="X190" i="12" s="1"/>
  <c r="V158" i="12"/>
  <c r="X158" i="12" s="1"/>
  <c r="V148" i="12"/>
  <c r="X148" i="12" s="1"/>
  <c r="V137" i="12"/>
  <c r="X137" i="12" s="1"/>
  <c r="V107" i="12"/>
  <c r="X107" i="12" s="1"/>
  <c r="V92" i="12"/>
  <c r="X92" i="12" s="1"/>
  <c r="V84" i="12"/>
  <c r="X84" i="12" s="1"/>
  <c r="V263" i="12"/>
  <c r="X263" i="12" s="1"/>
  <c r="V250" i="12"/>
  <c r="X250" i="12" s="1"/>
  <c r="V240" i="12"/>
  <c r="X240" i="12" s="1"/>
  <c r="V218" i="12"/>
  <c r="X218" i="12" s="1"/>
  <c r="V208" i="12"/>
  <c r="X208" i="12" s="1"/>
  <c r="V199" i="12"/>
  <c r="X199" i="12" s="1"/>
  <c r="V167" i="12"/>
  <c r="X167" i="12" s="1"/>
  <c r="V151" i="12"/>
  <c r="X151" i="12" s="1"/>
  <c r="V136" i="12"/>
  <c r="X136" i="12" s="1"/>
  <c r="V117" i="12"/>
  <c r="X117" i="12" s="1"/>
  <c r="V102" i="12"/>
  <c r="X102" i="12" s="1"/>
  <c r="V87" i="12"/>
  <c r="X87" i="12" s="1"/>
  <c r="V233" i="12"/>
  <c r="X233" i="12" s="1"/>
  <c r="V173" i="12"/>
  <c r="X173" i="12" s="1"/>
  <c r="V147" i="12"/>
  <c r="X147" i="12" s="1"/>
  <c r="V237" i="12"/>
  <c r="X237" i="12" s="1"/>
  <c r="V160" i="12"/>
  <c r="X160" i="12" s="1"/>
  <c r="V198" i="12"/>
  <c r="X198" i="12" s="1"/>
  <c r="V95" i="12"/>
  <c r="X95" i="12" s="1"/>
  <c r="V69" i="12"/>
  <c r="X69" i="12" s="1"/>
  <c r="V52" i="12"/>
  <c r="X52" i="12" s="1"/>
  <c r="V36" i="12"/>
  <c r="X36" i="12" s="1"/>
  <c r="V28" i="12"/>
  <c r="X28" i="12" s="1"/>
  <c r="V20" i="12"/>
  <c r="X20" i="12" s="1"/>
  <c r="V4" i="12"/>
  <c r="X4" i="12" s="1"/>
  <c r="V64" i="12"/>
  <c r="X64" i="12" s="1"/>
  <c r="V312" i="12"/>
  <c r="X312" i="12" s="1"/>
  <c r="V163" i="12"/>
  <c r="X163" i="12" s="1"/>
  <c r="V135" i="12"/>
  <c r="X135" i="12" s="1"/>
  <c r="V105" i="12"/>
  <c r="X105" i="12" s="1"/>
  <c r="V58" i="12"/>
  <c r="X58" i="12" s="1"/>
  <c r="V177" i="12"/>
  <c r="X177" i="12" s="1"/>
  <c r="V230" i="12"/>
  <c r="X230" i="12" s="1"/>
  <c r="V161" i="12"/>
  <c r="X161" i="12" s="1"/>
  <c r="V124" i="12"/>
  <c r="X124" i="12" s="1"/>
  <c r="V83" i="12"/>
  <c r="X83" i="12" s="1"/>
  <c r="V47" i="12"/>
  <c r="X47" i="12" s="1"/>
  <c r="V39" i="12"/>
  <c r="X39" i="12" s="1"/>
  <c r="V31" i="12"/>
  <c r="X31" i="12" s="1"/>
  <c r="V15" i="12"/>
  <c r="X15" i="12" s="1"/>
  <c r="V7" i="12"/>
  <c r="X7" i="12" s="1"/>
  <c r="V57" i="12"/>
  <c r="X57" i="12" s="1"/>
  <c r="V192" i="12"/>
  <c r="X192" i="12" s="1"/>
  <c r="V129" i="12"/>
  <c r="X129" i="12" s="1"/>
  <c r="V99" i="12"/>
  <c r="X99" i="12" s="1"/>
  <c r="V63" i="12"/>
  <c r="X63" i="12" s="1"/>
  <c r="V326" i="12"/>
  <c r="X326" i="12" s="1"/>
  <c r="V217" i="12"/>
  <c r="X217" i="12" s="1"/>
  <c r="V128" i="12"/>
  <c r="X128" i="12" s="1"/>
  <c r="V98" i="12"/>
  <c r="X98" i="12" s="1"/>
  <c r="V59" i="12"/>
  <c r="X59" i="12" s="1"/>
  <c r="V10" i="12"/>
  <c r="X10" i="12" s="1"/>
  <c r="V193" i="12"/>
  <c r="X193" i="12" s="1"/>
  <c r="V41" i="12"/>
  <c r="X41" i="12" s="1"/>
  <c r="V80" i="12"/>
  <c r="X80" i="12" s="1"/>
  <c r="V110" i="12"/>
  <c r="X110" i="12" s="1"/>
  <c r="V22" i="12"/>
  <c r="X22" i="12" s="1"/>
  <c r="V18" i="12"/>
  <c r="X18" i="12" s="1"/>
  <c r="V33" i="12"/>
  <c r="X33" i="12" s="1"/>
  <c r="V176" i="12"/>
  <c r="X176" i="12" s="1"/>
  <c r="V5" i="12"/>
  <c r="X5" i="12" s="1"/>
  <c r="V46" i="12"/>
  <c r="X46" i="12" s="1"/>
  <c r="V14" i="12"/>
  <c r="X14" i="12" s="1"/>
  <c r="V13" i="12"/>
  <c r="X13" i="12" s="1"/>
  <c r="V17" i="12"/>
  <c r="X17" i="12" s="1"/>
  <c r="V358" i="12"/>
  <c r="X358" i="12" s="1"/>
  <c r="V365" i="12"/>
  <c r="X365" i="12" s="1"/>
  <c r="V364" i="12"/>
  <c r="X364" i="12" s="1"/>
  <c r="V356" i="12"/>
  <c r="X356" i="12" s="1"/>
  <c r="V351" i="12"/>
  <c r="X351" i="12" s="1"/>
  <c r="V343" i="12"/>
  <c r="X343" i="12" s="1"/>
  <c r="V346" i="12"/>
  <c r="X346" i="12" s="1"/>
  <c r="V345" i="12"/>
  <c r="X345" i="12" s="1"/>
  <c r="V336" i="12"/>
  <c r="X336" i="12" s="1"/>
  <c r="V338" i="12"/>
  <c r="X338" i="12" s="1"/>
  <c r="V330" i="12"/>
  <c r="X330" i="12" s="1"/>
  <c r="V328" i="12"/>
  <c r="X328" i="12" s="1"/>
  <c r="V331" i="12"/>
  <c r="X331" i="12" s="1"/>
  <c r="V324" i="12"/>
  <c r="X324" i="12" s="1"/>
  <c r="V322" i="12"/>
  <c r="X322" i="12" s="1"/>
  <c r="V307" i="12"/>
  <c r="X307" i="12" s="1"/>
  <c r="V310" i="12"/>
  <c r="X310" i="12" s="1"/>
  <c r="V317" i="12"/>
  <c r="X317" i="12" s="1"/>
  <c r="V311" i="12"/>
  <c r="X311" i="12" s="1"/>
  <c r="V303" i="12"/>
  <c r="X303" i="12" s="1"/>
  <c r="V297" i="12"/>
  <c r="X297" i="12" s="1"/>
  <c r="V300" i="12"/>
  <c r="X300" i="12" s="1"/>
  <c r="V293" i="12"/>
  <c r="X293" i="12" s="1"/>
  <c r="V296" i="12"/>
  <c r="X296" i="12" s="1"/>
  <c r="V267" i="12"/>
  <c r="X267" i="12" s="1"/>
  <c r="V285" i="12"/>
  <c r="X285" i="12" s="1"/>
  <c r="V266" i="12"/>
  <c r="X266" i="12" s="1"/>
  <c r="V286" i="12"/>
  <c r="X286" i="12" s="1"/>
  <c r="V268" i="12"/>
  <c r="X268" i="12" s="1"/>
  <c r="V282" i="12"/>
  <c r="X282" i="12" s="1"/>
  <c r="V280" i="12"/>
  <c r="X280" i="12" s="1"/>
  <c r="V274" i="12"/>
  <c r="X274" i="12" s="1"/>
  <c r="U333" i="12"/>
  <c r="W333" i="12" s="1"/>
  <c r="U326" i="12"/>
  <c r="W326" i="12" s="1"/>
  <c r="U262" i="12"/>
  <c r="W262" i="12" s="1"/>
  <c r="U259" i="12"/>
  <c r="W259" i="12" s="1"/>
  <c r="U249" i="12"/>
  <c r="W249" i="12" s="1"/>
  <c r="U246" i="12"/>
  <c r="W246" i="12" s="1"/>
  <c r="U243" i="12"/>
  <c r="W243" i="12" s="1"/>
  <c r="U233" i="12"/>
  <c r="W233" i="12" s="1"/>
  <c r="U230" i="12"/>
  <c r="W230" i="12" s="1"/>
  <c r="U227" i="12"/>
  <c r="W227" i="12" s="1"/>
  <c r="U217" i="12"/>
  <c r="W217" i="12" s="1"/>
  <c r="U214" i="12"/>
  <c r="W214" i="12" s="1"/>
  <c r="U211" i="12"/>
  <c r="W211" i="12" s="1"/>
  <c r="U201" i="12"/>
  <c r="W201" i="12" s="1"/>
  <c r="U198" i="12"/>
  <c r="W198" i="12" s="1"/>
  <c r="U195" i="12"/>
  <c r="W195" i="12" s="1"/>
  <c r="U182" i="12"/>
  <c r="W182" i="12" s="1"/>
  <c r="U179" i="12"/>
  <c r="W179" i="12" s="1"/>
  <c r="U166" i="12"/>
  <c r="W166" i="12" s="1"/>
  <c r="U163" i="12"/>
  <c r="W163" i="12" s="1"/>
  <c r="U150" i="12"/>
  <c r="W150" i="12" s="1"/>
  <c r="U139" i="12"/>
  <c r="W139" i="12" s="1"/>
  <c r="U135" i="12"/>
  <c r="W135" i="12" s="1"/>
  <c r="U124" i="12"/>
  <c r="W124" i="12" s="1"/>
  <c r="U120" i="12"/>
  <c r="W120" i="12" s="1"/>
  <c r="U116" i="12"/>
  <c r="W116" i="12" s="1"/>
  <c r="U109" i="12"/>
  <c r="W109" i="12" s="1"/>
  <c r="U105" i="12"/>
  <c r="W105" i="12" s="1"/>
  <c r="U101" i="12"/>
  <c r="W101" i="12" s="1"/>
  <c r="U90" i="12"/>
  <c r="W90" i="12" s="1"/>
  <c r="U86" i="12"/>
  <c r="W86" i="12" s="1"/>
  <c r="U75" i="12"/>
  <c r="W75" i="12" s="1"/>
  <c r="U340" i="12"/>
  <c r="W340" i="12" s="1"/>
  <c r="U278" i="12"/>
  <c r="W278" i="12" s="1"/>
  <c r="U252" i="12"/>
  <c r="W252" i="12" s="1"/>
  <c r="U236" i="12"/>
  <c r="W236" i="12" s="1"/>
  <c r="U220" i="12"/>
  <c r="W220" i="12" s="1"/>
  <c r="U204" i="12"/>
  <c r="W204" i="12" s="1"/>
  <c r="U188" i="12"/>
  <c r="W188" i="12" s="1"/>
  <c r="U185" i="12"/>
  <c r="W185" i="12" s="1"/>
  <c r="U172" i="12"/>
  <c r="W172" i="12" s="1"/>
  <c r="U169" i="12"/>
  <c r="W169" i="12" s="1"/>
  <c r="U156" i="12"/>
  <c r="W156" i="12" s="1"/>
  <c r="U153" i="12"/>
  <c r="W153" i="12" s="1"/>
  <c r="U146" i="12"/>
  <c r="W146" i="12" s="1"/>
  <c r="U142" i="12"/>
  <c r="W142" i="12" s="1"/>
  <c r="U131" i="12"/>
  <c r="W131" i="12" s="1"/>
  <c r="U127" i="12"/>
  <c r="W127" i="12" s="1"/>
  <c r="U112" i="12"/>
  <c r="W112" i="12" s="1"/>
  <c r="U97" i="12"/>
  <c r="W97" i="12" s="1"/>
  <c r="U82" i="12"/>
  <c r="W82" i="12" s="1"/>
  <c r="U78" i="12"/>
  <c r="W78" i="12" s="1"/>
  <c r="U354" i="12"/>
  <c r="W354" i="12" s="1"/>
  <c r="U347" i="12"/>
  <c r="W347" i="12" s="1"/>
  <c r="U271" i="12"/>
  <c r="W271" i="12" s="1"/>
  <c r="U258" i="12"/>
  <c r="W258" i="12" s="1"/>
  <c r="U255" i="12"/>
  <c r="W255" i="12" s="1"/>
  <c r="U248" i="12"/>
  <c r="W248" i="12" s="1"/>
  <c r="U242" i="12"/>
  <c r="W242" i="12" s="1"/>
  <c r="U239" i="12"/>
  <c r="W239" i="12" s="1"/>
  <c r="U232" i="12"/>
  <c r="W232" i="12" s="1"/>
  <c r="U226" i="12"/>
  <c r="W226" i="12" s="1"/>
  <c r="U223" i="12"/>
  <c r="W223" i="12" s="1"/>
  <c r="U216" i="12"/>
  <c r="W216" i="12" s="1"/>
  <c r="U210" i="12"/>
  <c r="W210" i="12" s="1"/>
  <c r="U207" i="12"/>
  <c r="W207" i="12" s="1"/>
  <c r="U200" i="12"/>
  <c r="W200" i="12" s="1"/>
  <c r="U194" i="12"/>
  <c r="W194" i="12" s="1"/>
  <c r="U191" i="12"/>
  <c r="W191" i="12" s="1"/>
  <c r="U178" i="12"/>
  <c r="W178" i="12" s="1"/>
  <c r="U175" i="12"/>
  <c r="W175" i="12" s="1"/>
  <c r="U162" i="12"/>
  <c r="W162" i="12" s="1"/>
  <c r="U159" i="12"/>
  <c r="W159" i="12" s="1"/>
  <c r="U149" i="12"/>
  <c r="W149" i="12" s="1"/>
  <c r="U138" i="12"/>
  <c r="W138" i="12" s="1"/>
  <c r="U134" i="12"/>
  <c r="W134" i="12" s="1"/>
  <c r="U123" i="12"/>
  <c r="W123" i="12" s="1"/>
  <c r="U119" i="12"/>
  <c r="W119" i="12" s="1"/>
  <c r="U108" i="12"/>
  <c r="W108" i="12" s="1"/>
  <c r="U104" i="12"/>
  <c r="W104" i="12" s="1"/>
  <c r="U100" i="12"/>
  <c r="W100" i="12" s="1"/>
  <c r="U93" i="12"/>
  <c r="W93" i="12" s="1"/>
  <c r="U89" i="12"/>
  <c r="W89" i="12" s="1"/>
  <c r="U85" i="12"/>
  <c r="W85" i="12" s="1"/>
  <c r="U74" i="12"/>
  <c r="W74" i="12" s="1"/>
  <c r="U284" i="12"/>
  <c r="W284" i="12" s="1"/>
  <c r="U261" i="12"/>
  <c r="W261" i="12" s="1"/>
  <c r="U245" i="12"/>
  <c r="W245" i="12" s="1"/>
  <c r="U229" i="12"/>
  <c r="W229" i="12" s="1"/>
  <c r="U213" i="12"/>
  <c r="W213" i="12" s="1"/>
  <c r="U197" i="12"/>
  <c r="W197" i="12" s="1"/>
  <c r="U184" i="12"/>
  <c r="W184" i="12" s="1"/>
  <c r="U181" i="12"/>
  <c r="W181" i="12" s="1"/>
  <c r="U168" i="12"/>
  <c r="W168" i="12" s="1"/>
  <c r="U165" i="12"/>
  <c r="W165" i="12" s="1"/>
  <c r="U152" i="12"/>
  <c r="W152" i="12" s="1"/>
  <c r="U145" i="12"/>
  <c r="W145" i="12" s="1"/>
  <c r="U130" i="12"/>
  <c r="W130" i="12" s="1"/>
  <c r="U126" i="12"/>
  <c r="W126" i="12" s="1"/>
  <c r="U115" i="12"/>
  <c r="W115" i="12" s="1"/>
  <c r="U111" i="12"/>
  <c r="W111" i="12" s="1"/>
  <c r="U96" i="12"/>
  <c r="W96" i="12" s="1"/>
  <c r="U81" i="12"/>
  <c r="W81" i="12" s="1"/>
  <c r="U298" i="12"/>
  <c r="W298" i="12" s="1"/>
  <c r="U260" i="12"/>
  <c r="W260" i="12" s="1"/>
  <c r="U244" i="12"/>
  <c r="W244" i="12" s="1"/>
  <c r="U228" i="12"/>
  <c r="W228" i="12" s="1"/>
  <c r="U212" i="12"/>
  <c r="W212" i="12" s="1"/>
  <c r="U196" i="12"/>
  <c r="W196" i="12" s="1"/>
  <c r="U193" i="12"/>
  <c r="W193" i="12" s="1"/>
  <c r="U177" i="12"/>
  <c r="W177" i="12" s="1"/>
  <c r="U164" i="12"/>
  <c r="W164" i="12" s="1"/>
  <c r="U161" i="12"/>
  <c r="W161" i="12" s="1"/>
  <c r="U144" i="12"/>
  <c r="W144" i="12" s="1"/>
  <c r="U129" i="12"/>
  <c r="W129" i="12" s="1"/>
  <c r="U114" i="12"/>
  <c r="W114" i="12" s="1"/>
  <c r="U110" i="12"/>
  <c r="W110" i="12" s="1"/>
  <c r="U99" i="12"/>
  <c r="W99" i="12" s="1"/>
  <c r="U95" i="12"/>
  <c r="W95" i="12" s="1"/>
  <c r="U80" i="12"/>
  <c r="W80" i="12" s="1"/>
  <c r="U305" i="12"/>
  <c r="W305" i="12" s="1"/>
  <c r="U250" i="12"/>
  <c r="W250" i="12" s="1"/>
  <c r="U241" i="12"/>
  <c r="W241" i="12" s="1"/>
  <c r="U224" i="12"/>
  <c r="W224" i="12" s="1"/>
  <c r="U199" i="12"/>
  <c r="W199" i="12" s="1"/>
  <c r="U190" i="12"/>
  <c r="W190" i="12" s="1"/>
  <c r="U157" i="12"/>
  <c r="W157" i="12" s="1"/>
  <c r="U137" i="12"/>
  <c r="W137" i="12" s="1"/>
  <c r="U128" i="12"/>
  <c r="W128" i="12" s="1"/>
  <c r="U117" i="12"/>
  <c r="W117" i="12" s="1"/>
  <c r="U107" i="12"/>
  <c r="W107" i="12" s="1"/>
  <c r="U98" i="12"/>
  <c r="W98" i="12" s="1"/>
  <c r="U87" i="12"/>
  <c r="W87" i="12" s="1"/>
  <c r="U77" i="12"/>
  <c r="W77" i="12" s="1"/>
  <c r="U70" i="12"/>
  <c r="W70" i="12" s="1"/>
  <c r="U59" i="12"/>
  <c r="W59" i="12" s="1"/>
  <c r="U56" i="12"/>
  <c r="W56" i="12" s="1"/>
  <c r="U49" i="12"/>
  <c r="W49" i="12" s="1"/>
  <c r="U45" i="12"/>
  <c r="W45" i="12" s="1"/>
  <c r="U41" i="12"/>
  <c r="W41" i="12" s="1"/>
  <c r="U37" i="12"/>
  <c r="W37" i="12" s="1"/>
  <c r="U33" i="12"/>
  <c r="W33" i="12" s="1"/>
  <c r="U29" i="12"/>
  <c r="W29" i="12" s="1"/>
  <c r="U25" i="12"/>
  <c r="W25" i="12" s="1"/>
  <c r="U21" i="12"/>
  <c r="W21" i="12" s="1"/>
  <c r="U17" i="12"/>
  <c r="W17" i="12" s="1"/>
  <c r="U13" i="12"/>
  <c r="W13" i="12" s="1"/>
  <c r="U9" i="12"/>
  <c r="W9" i="12" s="1"/>
  <c r="U5" i="12"/>
  <c r="W5" i="12" s="1"/>
  <c r="U122" i="12"/>
  <c r="W122" i="12" s="1"/>
  <c r="U72" i="12"/>
  <c r="W72" i="12" s="1"/>
  <c r="U51" i="12"/>
  <c r="W51" i="12" s="1"/>
  <c r="U35" i="12"/>
  <c r="W35" i="12" s="1"/>
  <c r="U11" i="12"/>
  <c r="W11" i="12" s="1"/>
  <c r="U257" i="12"/>
  <c r="W257" i="12" s="1"/>
  <c r="U240" i="12"/>
  <c r="W240" i="12" s="1"/>
  <c r="U215" i="12"/>
  <c r="W215" i="12" s="1"/>
  <c r="U206" i="12"/>
  <c r="W206" i="12" s="1"/>
  <c r="U173" i="12"/>
  <c r="W173" i="12" s="1"/>
  <c r="U155" i="12"/>
  <c r="W155" i="12" s="1"/>
  <c r="U147" i="12"/>
  <c r="W147" i="12" s="1"/>
  <c r="U136" i="12"/>
  <c r="W136" i="12" s="1"/>
  <c r="U106" i="12"/>
  <c r="W106" i="12" s="1"/>
  <c r="U76" i="12"/>
  <c r="W76" i="12" s="1"/>
  <c r="U66" i="12"/>
  <c r="W66" i="12" s="1"/>
  <c r="U62" i="12"/>
  <c r="W62" i="12" s="1"/>
  <c r="U203" i="12"/>
  <c r="W203" i="12" s="1"/>
  <c r="U143" i="12"/>
  <c r="W143" i="12" s="1"/>
  <c r="U113" i="12"/>
  <c r="W113" i="12" s="1"/>
  <c r="U83" i="12"/>
  <c r="W83" i="12" s="1"/>
  <c r="U43" i="12"/>
  <c r="W43" i="12" s="1"/>
  <c r="U27" i="12"/>
  <c r="W27" i="12" s="1"/>
  <c r="U15" i="12"/>
  <c r="W15" i="12" s="1"/>
  <c r="U3" i="12"/>
  <c r="W3" i="12" s="1"/>
  <c r="U361" i="12"/>
  <c r="W361" i="12" s="1"/>
  <c r="U256" i="12"/>
  <c r="W256" i="12" s="1"/>
  <c r="U231" i="12"/>
  <c r="W231" i="12" s="1"/>
  <c r="U222" i="12"/>
  <c r="W222" i="12" s="1"/>
  <c r="U189" i="12"/>
  <c r="W189" i="12" s="1"/>
  <c r="U171" i="12"/>
  <c r="W171" i="12" s="1"/>
  <c r="U154" i="12"/>
  <c r="W154" i="12" s="1"/>
  <c r="U125" i="12"/>
  <c r="W125" i="12" s="1"/>
  <c r="U84" i="12"/>
  <c r="W84" i="12" s="1"/>
  <c r="U69" i="12"/>
  <c r="W69" i="12" s="1"/>
  <c r="U55" i="12"/>
  <c r="W55" i="12" s="1"/>
  <c r="U52" i="12"/>
  <c r="W52" i="12" s="1"/>
  <c r="U48" i="12"/>
  <c r="W48" i="12" s="1"/>
  <c r="U44" i="12"/>
  <c r="W44" i="12" s="1"/>
  <c r="U40" i="12"/>
  <c r="W40" i="12" s="1"/>
  <c r="U36" i="12"/>
  <c r="W36" i="12" s="1"/>
  <c r="U32" i="12"/>
  <c r="W32" i="12" s="1"/>
  <c r="U28" i="12"/>
  <c r="W28" i="12" s="1"/>
  <c r="U24" i="12"/>
  <c r="W24" i="12" s="1"/>
  <c r="U20" i="12"/>
  <c r="W20" i="12" s="1"/>
  <c r="U16" i="12"/>
  <c r="W16" i="12" s="1"/>
  <c r="U12" i="12"/>
  <c r="W12" i="12" s="1"/>
  <c r="U8" i="12"/>
  <c r="W8" i="12" s="1"/>
  <c r="U4" i="12"/>
  <c r="W4" i="12" s="1"/>
  <c r="U272" i="12"/>
  <c r="W272" i="12" s="1"/>
  <c r="U263" i="12"/>
  <c r="W263" i="12" s="1"/>
  <c r="U254" i="12"/>
  <c r="W254" i="12" s="1"/>
  <c r="U132" i="12"/>
  <c r="W132" i="12" s="1"/>
  <c r="U92" i="12"/>
  <c r="W92" i="12" s="1"/>
  <c r="U61" i="12"/>
  <c r="W61" i="12" s="1"/>
  <c r="U39" i="12"/>
  <c r="W39" i="12" s="1"/>
  <c r="U23" i="12"/>
  <c r="W23" i="12" s="1"/>
  <c r="U312" i="12"/>
  <c r="W312" i="12" s="1"/>
  <c r="U291" i="12"/>
  <c r="W291" i="12" s="1"/>
  <c r="U247" i="12"/>
  <c r="W247" i="12" s="1"/>
  <c r="U238" i="12"/>
  <c r="W238" i="12" s="1"/>
  <c r="U205" i="12"/>
  <c r="W205" i="12" s="1"/>
  <c r="U187" i="12"/>
  <c r="W187" i="12" s="1"/>
  <c r="U170" i="12"/>
  <c r="W170" i="12" s="1"/>
  <c r="U133" i="12"/>
  <c r="W133" i="12" s="1"/>
  <c r="U103" i="12"/>
  <c r="W103" i="12" s="1"/>
  <c r="U94" i="12"/>
  <c r="W94" i="12" s="1"/>
  <c r="U73" i="12"/>
  <c r="W73" i="12" s="1"/>
  <c r="U65" i="12"/>
  <c r="W65" i="12" s="1"/>
  <c r="U58" i="12"/>
  <c r="W58" i="12" s="1"/>
  <c r="U221" i="12"/>
  <c r="W221" i="12" s="1"/>
  <c r="U186" i="12"/>
  <c r="W186" i="12" s="1"/>
  <c r="U102" i="12"/>
  <c r="W102" i="12" s="1"/>
  <c r="U68" i="12"/>
  <c r="W68" i="12" s="1"/>
  <c r="U47" i="12"/>
  <c r="W47" i="12" s="1"/>
  <c r="U31" i="12"/>
  <c r="W31" i="12" s="1"/>
  <c r="U19" i="12"/>
  <c r="W19" i="12" s="1"/>
  <c r="U7" i="12"/>
  <c r="W7" i="12" s="1"/>
  <c r="U253" i="12"/>
  <c r="W253" i="12" s="1"/>
  <c r="U235" i="12"/>
  <c r="W235" i="12" s="1"/>
  <c r="U218" i="12"/>
  <c r="W218" i="12" s="1"/>
  <c r="U209" i="12"/>
  <c r="W209" i="12" s="1"/>
  <c r="U176" i="12"/>
  <c r="W176" i="12" s="1"/>
  <c r="U167" i="12"/>
  <c r="W167" i="12" s="1"/>
  <c r="U158" i="12"/>
  <c r="W158" i="12" s="1"/>
  <c r="U140" i="12"/>
  <c r="W140" i="12" s="1"/>
  <c r="U71" i="12"/>
  <c r="W71" i="12" s="1"/>
  <c r="U60" i="12"/>
  <c r="W60" i="12" s="1"/>
  <c r="U50" i="12"/>
  <c r="W50" i="12" s="1"/>
  <c r="U46" i="12"/>
  <c r="W46" i="12" s="1"/>
  <c r="U42" i="12"/>
  <c r="W42" i="12" s="1"/>
  <c r="U38" i="12"/>
  <c r="W38" i="12" s="1"/>
  <c r="U34" i="12"/>
  <c r="W34" i="12" s="1"/>
  <c r="U30" i="12"/>
  <c r="W30" i="12" s="1"/>
  <c r="U26" i="12"/>
  <c r="W26" i="12" s="1"/>
  <c r="U22" i="12"/>
  <c r="W22" i="12" s="1"/>
  <c r="U18" i="12"/>
  <c r="W18" i="12" s="1"/>
  <c r="U14" i="12"/>
  <c r="W14" i="12" s="1"/>
  <c r="U10" i="12"/>
  <c r="W10" i="12" s="1"/>
  <c r="U6" i="12"/>
  <c r="W6" i="12" s="1"/>
  <c r="U2" i="12"/>
  <c r="W2" i="12" s="1"/>
  <c r="U277" i="12"/>
  <c r="W277" i="12" s="1"/>
  <c r="U251" i="12"/>
  <c r="W251" i="12" s="1"/>
  <c r="U234" i="12"/>
  <c r="W234" i="12" s="1"/>
  <c r="U225" i="12"/>
  <c r="W225" i="12" s="1"/>
  <c r="U208" i="12"/>
  <c r="W208" i="12" s="1"/>
  <c r="U192" i="12"/>
  <c r="W192" i="12" s="1"/>
  <c r="U183" i="12"/>
  <c r="W183" i="12" s="1"/>
  <c r="U174" i="12"/>
  <c r="W174" i="12" s="1"/>
  <c r="U148" i="12"/>
  <c r="W148" i="12" s="1"/>
  <c r="U118" i="12"/>
  <c r="W118" i="12" s="1"/>
  <c r="U88" i="12"/>
  <c r="W88" i="12" s="1"/>
  <c r="U79" i="12"/>
  <c r="W79" i="12" s="1"/>
  <c r="U67" i="12"/>
  <c r="W67" i="12" s="1"/>
  <c r="U63" i="12"/>
  <c r="W63" i="12" s="1"/>
  <c r="U53" i="12"/>
  <c r="W53" i="12" s="1"/>
  <c r="U270" i="12"/>
  <c r="W270" i="12" s="1"/>
  <c r="U202" i="12"/>
  <c r="W202" i="12" s="1"/>
  <c r="U64" i="12"/>
  <c r="W64" i="12" s="1"/>
  <c r="U121" i="12"/>
  <c r="W121" i="12" s="1"/>
  <c r="U57" i="12"/>
  <c r="W57" i="12" s="1"/>
  <c r="U237" i="12"/>
  <c r="W237" i="12" s="1"/>
  <c r="U91" i="12"/>
  <c r="W91" i="12" s="1"/>
  <c r="U319" i="12"/>
  <c r="W319" i="12" s="1"/>
  <c r="U54" i="12"/>
  <c r="W54" i="12" s="1"/>
  <c r="U160" i="12"/>
  <c r="W160" i="12" s="1"/>
  <c r="U219" i="12"/>
  <c r="W219" i="12" s="1"/>
  <c r="U151" i="12"/>
  <c r="W151" i="12" s="1"/>
  <c r="U141" i="12"/>
  <c r="W141" i="12" s="1"/>
  <c r="U363" i="12"/>
  <c r="W363" i="12" s="1"/>
  <c r="U365" i="12"/>
  <c r="W365" i="12" s="1"/>
  <c r="U359" i="12"/>
  <c r="W359" i="12" s="1"/>
  <c r="U364" i="12"/>
  <c r="W364" i="12" s="1"/>
  <c r="U360" i="12"/>
  <c r="W360" i="12" s="1"/>
  <c r="U362" i="12"/>
  <c r="W362" i="12" s="1"/>
  <c r="U366" i="12"/>
  <c r="W366" i="12" s="1"/>
  <c r="U358" i="12"/>
  <c r="W358" i="12" s="1"/>
  <c r="U357" i="12"/>
  <c r="W357" i="12" s="1"/>
  <c r="U356" i="12"/>
  <c r="W356" i="12" s="1"/>
  <c r="U355" i="12"/>
  <c r="W355" i="12" s="1"/>
  <c r="U350" i="12"/>
  <c r="W350" i="12" s="1"/>
  <c r="U353" i="12"/>
  <c r="W353" i="12" s="1"/>
  <c r="U352" i="12"/>
  <c r="W352" i="12" s="1"/>
  <c r="U351" i="12"/>
  <c r="W351" i="12" s="1"/>
  <c r="U344" i="12"/>
  <c r="W344" i="12" s="1"/>
  <c r="U346" i="12"/>
  <c r="W346" i="12" s="1"/>
  <c r="U349" i="12"/>
  <c r="W349" i="12" s="1"/>
  <c r="U342" i="12"/>
  <c r="W342" i="12" s="1"/>
  <c r="U343" i="12"/>
  <c r="W343" i="12" s="1"/>
  <c r="U348" i="12"/>
  <c r="W348" i="12" s="1"/>
  <c r="U345" i="12"/>
  <c r="W345" i="12" s="1"/>
  <c r="U341" i="12"/>
  <c r="W341" i="12" s="1"/>
  <c r="U336" i="12"/>
  <c r="W336" i="12" s="1"/>
  <c r="U339" i="12"/>
  <c r="W339" i="12" s="1"/>
  <c r="U337" i="12"/>
  <c r="W337" i="12" s="1"/>
  <c r="U338" i="12"/>
  <c r="W338" i="12" s="1"/>
  <c r="U335" i="12"/>
  <c r="W335" i="12" s="1"/>
  <c r="U330" i="12"/>
  <c r="W330" i="12" s="1"/>
  <c r="U329" i="12"/>
  <c r="W329" i="12" s="1"/>
  <c r="U331" i="12"/>
  <c r="W331" i="12" s="1"/>
  <c r="U334" i="12"/>
  <c r="W334" i="12" s="1"/>
  <c r="U328" i="12"/>
  <c r="W328" i="12" s="1"/>
  <c r="U332" i="12"/>
  <c r="W332" i="12" s="1"/>
  <c r="U327" i="12"/>
  <c r="W327" i="12" s="1"/>
  <c r="U322" i="12"/>
  <c r="W322" i="12" s="1"/>
  <c r="U321" i="12"/>
  <c r="W321" i="12" s="1"/>
  <c r="U325" i="12"/>
  <c r="W325" i="12" s="1"/>
  <c r="U323" i="12"/>
  <c r="W323" i="12" s="1"/>
  <c r="U324" i="12"/>
  <c r="W324" i="12" s="1"/>
  <c r="U317" i="12"/>
  <c r="W317" i="12" s="1"/>
  <c r="U320" i="12"/>
  <c r="W320" i="12" s="1"/>
  <c r="U314" i="12"/>
  <c r="W314" i="12" s="1"/>
  <c r="U318" i="12"/>
  <c r="W318" i="12" s="1"/>
  <c r="U307" i="12"/>
  <c r="W307" i="12" s="1"/>
  <c r="U313" i="12"/>
  <c r="W313" i="12" s="1"/>
  <c r="U308" i="12"/>
  <c r="W308" i="12" s="1"/>
  <c r="U310" i="12"/>
  <c r="W310" i="12" s="1"/>
  <c r="U316" i="12"/>
  <c r="W316" i="12" s="1"/>
  <c r="U309" i="12"/>
  <c r="W309" i="12" s="1"/>
  <c r="U315" i="12"/>
  <c r="W315" i="12" s="1"/>
  <c r="U311" i="12"/>
  <c r="W311" i="12" s="1"/>
  <c r="U306" i="12"/>
  <c r="W306" i="12" s="1"/>
  <c r="U294" i="12"/>
  <c r="W294" i="12" s="1"/>
  <c r="U292" i="12"/>
  <c r="W292" i="12" s="1"/>
  <c r="U300" i="12"/>
  <c r="W300" i="12" s="1"/>
  <c r="U297" i="12"/>
  <c r="W297" i="12" s="1"/>
  <c r="U299" i="12"/>
  <c r="W299" i="12" s="1"/>
  <c r="U180" i="12"/>
  <c r="W180" i="12" s="1"/>
  <c r="U303" i="12"/>
  <c r="W303" i="12" s="1"/>
  <c r="U302" i="12"/>
  <c r="W302" i="12" s="1"/>
  <c r="U296" i="12"/>
  <c r="W296" i="12" s="1"/>
  <c r="U293" i="12"/>
  <c r="W293" i="12" s="1"/>
  <c r="U301" i="12"/>
  <c r="W301" i="12" s="1"/>
  <c r="U304" i="12"/>
  <c r="W304" i="12" s="1"/>
  <c r="U295" i="12"/>
  <c r="W295" i="12" s="1"/>
  <c r="U266" i="12"/>
  <c r="W266" i="12" s="1"/>
  <c r="U267" i="12"/>
  <c r="W267" i="12" s="1"/>
  <c r="U275" i="12"/>
  <c r="W275" i="12" s="1"/>
  <c r="U286" i="12"/>
  <c r="W286" i="12" s="1"/>
  <c r="U264" i="12"/>
  <c r="W264" i="12" s="1"/>
  <c r="U274" i="12"/>
  <c r="W274" i="12" s="1"/>
  <c r="U290" i="12"/>
  <c r="W290" i="12" s="1"/>
  <c r="U268" i="12"/>
  <c r="W268" i="12" s="1"/>
  <c r="U280" i="12"/>
  <c r="W280" i="12" s="1"/>
  <c r="U273" i="12"/>
  <c r="W273" i="12" s="1"/>
  <c r="U283" i="12"/>
  <c r="W283" i="12" s="1"/>
  <c r="U282" i="12"/>
  <c r="W282" i="12" s="1"/>
  <c r="U279" i="12"/>
  <c r="W279" i="12" s="1"/>
  <c r="U287" i="12"/>
  <c r="W287" i="12" s="1"/>
  <c r="U288" i="12"/>
  <c r="W288" i="12" s="1"/>
  <c r="U265" i="12"/>
  <c r="W265" i="12" s="1"/>
  <c r="U289" i="12"/>
  <c r="W289" i="12" s="1"/>
  <c r="U285" i="12"/>
  <c r="W285" i="12" s="1"/>
  <c r="U276" i="12"/>
  <c r="W276" i="12" s="1"/>
  <c r="U269" i="12"/>
  <c r="W269" i="12" s="1"/>
  <c r="U281" i="12"/>
  <c r="W281" i="12" s="1"/>
  <c r="L360" i="10"/>
  <c r="L362" i="10" s="1"/>
  <c r="L363" i="10" s="1"/>
  <c r="L364" i="10" s="1"/>
  <c r="L365" i="10" s="1"/>
  <c r="L366" i="10" s="1"/>
  <c r="L359" i="10"/>
  <c r="K359" i="10"/>
  <c r="K360" i="10"/>
  <c r="K362" i="10" s="1"/>
  <c r="K363" i="10" s="1"/>
  <c r="K364" i="10" s="1"/>
  <c r="K365" i="10" s="1"/>
  <c r="K366" i="10" s="1"/>
  <c r="L351" i="11"/>
  <c r="L352" i="11"/>
  <c r="L353" i="11" s="1"/>
  <c r="L355" i="11" s="1"/>
  <c r="K351" i="11"/>
  <c r="K352" i="11"/>
  <c r="K353" i="11" s="1"/>
  <c r="K355" i="11" s="1"/>
  <c r="F20" i="16"/>
  <c r="V287" i="12" l="1"/>
  <c r="X287" i="12" s="1"/>
  <c r="V288" i="12"/>
  <c r="X288" i="12" s="1"/>
  <c r="V292" i="12"/>
  <c r="X292" i="12" s="1"/>
  <c r="V301" i="12"/>
  <c r="X301" i="12" s="1"/>
  <c r="V314" i="12"/>
  <c r="X314" i="12" s="1"/>
  <c r="V325" i="12"/>
  <c r="X325" i="12" s="1"/>
  <c r="V329" i="12"/>
  <c r="X329" i="12" s="1"/>
  <c r="V341" i="12"/>
  <c r="X341" i="12" s="1"/>
  <c r="V350" i="12"/>
  <c r="X350" i="12" s="1"/>
  <c r="V366" i="12"/>
  <c r="X366" i="12" s="1"/>
  <c r="V49" i="12"/>
  <c r="X49" i="12" s="1"/>
  <c r="V71" i="12"/>
  <c r="X71" i="12" s="1"/>
  <c r="V298" i="12"/>
  <c r="X298" i="12" s="1"/>
  <c r="V253" i="12"/>
  <c r="X253" i="12" s="1"/>
  <c r="V262" i="12"/>
  <c r="X262" i="12" s="1"/>
  <c r="V109" i="12"/>
  <c r="X109" i="12" s="1"/>
  <c r="V53" i="12"/>
  <c r="X53" i="12" s="1"/>
  <c r="V150" i="12"/>
  <c r="X150" i="12" s="1"/>
  <c r="V11" i="12"/>
  <c r="X11" i="12" s="1"/>
  <c r="V43" i="12"/>
  <c r="X43" i="12" s="1"/>
  <c r="V143" i="12"/>
  <c r="X143" i="12" s="1"/>
  <c r="V228" i="12"/>
  <c r="X228" i="12" s="1"/>
  <c r="V144" i="12"/>
  <c r="X144" i="12" s="1"/>
  <c r="V246" i="12"/>
  <c r="X246" i="12" s="1"/>
  <c r="V32" i="12"/>
  <c r="X32" i="12" s="1"/>
  <c r="V86" i="12"/>
  <c r="X86" i="12" s="1"/>
  <c r="V195" i="12"/>
  <c r="X195" i="12" s="1"/>
  <c r="V182" i="12"/>
  <c r="X182" i="12" s="1"/>
  <c r="V106" i="12"/>
  <c r="X106" i="12" s="1"/>
  <c r="V154" i="12"/>
  <c r="X154" i="12" s="1"/>
  <c r="V215" i="12"/>
  <c r="X215" i="12" s="1"/>
  <c r="V256" i="12"/>
  <c r="X256" i="12" s="1"/>
  <c r="V103" i="12"/>
  <c r="X103" i="12" s="1"/>
  <c r="V155" i="12"/>
  <c r="X155" i="12" s="1"/>
  <c r="V209" i="12"/>
  <c r="X209" i="12" s="1"/>
  <c r="V254" i="12"/>
  <c r="X254" i="12" s="1"/>
  <c r="V111" i="12"/>
  <c r="X111" i="12" s="1"/>
  <c r="V181" i="12"/>
  <c r="X181" i="12" s="1"/>
  <c r="V74" i="12"/>
  <c r="X74" i="12" s="1"/>
  <c r="V123" i="12"/>
  <c r="X123" i="12" s="1"/>
  <c r="V191" i="12"/>
  <c r="X191" i="12" s="1"/>
  <c r="V232" i="12"/>
  <c r="X232" i="12" s="1"/>
  <c r="V354" i="12"/>
  <c r="X354" i="12" s="1"/>
  <c r="V146" i="12"/>
  <c r="X146" i="12" s="1"/>
  <c r="V220" i="12"/>
  <c r="X220" i="12" s="1"/>
  <c r="V264" i="12"/>
  <c r="X264" i="12" s="1"/>
  <c r="V276" i="12"/>
  <c r="X276" i="12" s="1"/>
  <c r="V281" i="12"/>
  <c r="X281" i="12" s="1"/>
  <c r="V294" i="12"/>
  <c r="X294" i="12" s="1"/>
  <c r="V306" i="12"/>
  <c r="X306" i="12" s="1"/>
  <c r="V316" i="12"/>
  <c r="X316" i="12" s="1"/>
  <c r="V321" i="12"/>
  <c r="X321" i="12" s="1"/>
  <c r="V334" i="12"/>
  <c r="X334" i="12" s="1"/>
  <c r="V344" i="12"/>
  <c r="X344" i="12" s="1"/>
  <c r="V355" i="12"/>
  <c r="X355" i="12" s="1"/>
  <c r="V359" i="12"/>
  <c r="X359" i="12" s="1"/>
  <c r="V29" i="12"/>
  <c r="X29" i="12" s="1"/>
  <c r="V21" i="12"/>
  <c r="X21" i="12" s="1"/>
  <c r="V34" i="12"/>
  <c r="X34" i="12" s="1"/>
  <c r="V2" i="12"/>
  <c r="X2" i="12" s="1"/>
  <c r="V26" i="12"/>
  <c r="X26" i="12" s="1"/>
  <c r="V139" i="12"/>
  <c r="X139" i="12" s="1"/>
  <c r="V67" i="12"/>
  <c r="X67" i="12" s="1"/>
  <c r="V201" i="12"/>
  <c r="X201" i="12" s="1"/>
  <c r="V19" i="12"/>
  <c r="X19" i="12" s="1"/>
  <c r="V51" i="12"/>
  <c r="X51" i="12" s="1"/>
  <c r="V179" i="12"/>
  <c r="X179" i="12" s="1"/>
  <c r="V65" i="12"/>
  <c r="X65" i="12" s="1"/>
  <c r="V196" i="12"/>
  <c r="X196" i="12" s="1"/>
  <c r="V8" i="12"/>
  <c r="X8" i="12" s="1"/>
  <c r="V40" i="12"/>
  <c r="X40" i="12" s="1"/>
  <c r="V116" i="12"/>
  <c r="X116" i="12" s="1"/>
  <c r="V319" i="12"/>
  <c r="X319" i="12" s="1"/>
  <c r="V259" i="12"/>
  <c r="X259" i="12" s="1"/>
  <c r="V121" i="12"/>
  <c r="X121" i="12" s="1"/>
  <c r="V170" i="12"/>
  <c r="X170" i="12" s="1"/>
  <c r="V224" i="12"/>
  <c r="X224" i="12" s="1"/>
  <c r="V305" i="12"/>
  <c r="X305" i="12" s="1"/>
  <c r="V118" i="12"/>
  <c r="X118" i="12" s="1"/>
  <c r="V171" i="12"/>
  <c r="X171" i="12" s="1"/>
  <c r="V222" i="12"/>
  <c r="X222" i="12" s="1"/>
  <c r="V270" i="12"/>
  <c r="X270" i="12" s="1"/>
  <c r="V126" i="12"/>
  <c r="X126" i="12" s="1"/>
  <c r="V197" i="12"/>
  <c r="X197" i="12" s="1"/>
  <c r="V89" i="12"/>
  <c r="X89" i="12" s="1"/>
  <c r="V138" i="12"/>
  <c r="X138" i="12" s="1"/>
  <c r="V200" i="12"/>
  <c r="X200" i="12" s="1"/>
  <c r="V242" i="12"/>
  <c r="X242" i="12" s="1"/>
  <c r="V82" i="12"/>
  <c r="X82" i="12" s="1"/>
  <c r="V156" i="12"/>
  <c r="X156" i="12" s="1"/>
  <c r="V252" i="12"/>
  <c r="X252" i="12" s="1"/>
  <c r="V275" i="12"/>
  <c r="X275" i="12" s="1"/>
  <c r="V290" i="12"/>
  <c r="X290" i="12" s="1"/>
  <c r="V273" i="12"/>
  <c r="X273" i="12" s="1"/>
  <c r="V304" i="12"/>
  <c r="X304" i="12" s="1"/>
  <c r="V315" i="12"/>
  <c r="X315" i="12" s="1"/>
  <c r="V309" i="12"/>
  <c r="X309" i="12" s="1"/>
  <c r="V323" i="12"/>
  <c r="X323" i="12" s="1"/>
  <c r="V335" i="12"/>
  <c r="X335" i="12" s="1"/>
  <c r="V348" i="12"/>
  <c r="X348" i="12" s="1"/>
  <c r="V353" i="12"/>
  <c r="X353" i="12" s="1"/>
  <c r="V360" i="12"/>
  <c r="X360" i="12" s="1"/>
  <c r="V45" i="12"/>
  <c r="X45" i="12" s="1"/>
  <c r="V37" i="12"/>
  <c r="X37" i="12" s="1"/>
  <c r="V50" i="12"/>
  <c r="X50" i="12" s="1"/>
  <c r="V9" i="12"/>
  <c r="X9" i="12" s="1"/>
  <c r="V42" i="12"/>
  <c r="X42" i="12" s="1"/>
  <c r="V157" i="12"/>
  <c r="X157" i="12" s="1"/>
  <c r="V79" i="12"/>
  <c r="X79" i="12" s="1"/>
  <c r="V227" i="12"/>
  <c r="X227" i="12" s="1"/>
  <c r="V23" i="12"/>
  <c r="X23" i="12" s="1"/>
  <c r="V61" i="12"/>
  <c r="X61" i="12" s="1"/>
  <c r="V212" i="12"/>
  <c r="X212" i="12" s="1"/>
  <c r="V75" i="12"/>
  <c r="X75" i="12" s="1"/>
  <c r="V205" i="12"/>
  <c r="X205" i="12" s="1"/>
  <c r="V12" i="12"/>
  <c r="X12" i="12" s="1"/>
  <c r="V44" i="12"/>
  <c r="X44" i="12" s="1"/>
  <c r="V180" i="12"/>
  <c r="X180" i="12" s="1"/>
  <c r="V62" i="12"/>
  <c r="X62" i="12" s="1"/>
  <c r="V72" i="12"/>
  <c r="X72" i="12" s="1"/>
  <c r="V125" i="12"/>
  <c r="X125" i="12" s="1"/>
  <c r="V183" i="12"/>
  <c r="X183" i="12" s="1"/>
  <c r="V231" i="12"/>
  <c r="X231" i="12" s="1"/>
  <c r="V73" i="12"/>
  <c r="X73" i="12" s="1"/>
  <c r="V122" i="12"/>
  <c r="X122" i="12" s="1"/>
  <c r="V174" i="12"/>
  <c r="X174" i="12" s="1"/>
  <c r="V225" i="12"/>
  <c r="X225" i="12" s="1"/>
  <c r="V277" i="12"/>
  <c r="X277" i="12" s="1"/>
  <c r="V130" i="12"/>
  <c r="X130" i="12" s="1"/>
  <c r="V213" i="12"/>
  <c r="X213" i="12" s="1"/>
  <c r="V93" i="12"/>
  <c r="X93" i="12" s="1"/>
  <c r="V149" i="12"/>
  <c r="X149" i="12" s="1"/>
  <c r="V207" i="12"/>
  <c r="X207" i="12" s="1"/>
  <c r="V248" i="12"/>
  <c r="X248" i="12" s="1"/>
  <c r="V97" i="12"/>
  <c r="X97" i="12" s="1"/>
  <c r="V169" i="12"/>
  <c r="X169" i="12" s="1"/>
  <c r="V278" i="12"/>
  <c r="X278" i="12" s="1"/>
  <c r="V289" i="12"/>
  <c r="X289" i="12" s="1"/>
  <c r="V265" i="12"/>
  <c r="X265" i="12" s="1"/>
  <c r="V269" i="12"/>
  <c r="X269" i="12" s="1"/>
  <c r="V302" i="12"/>
  <c r="X302" i="12" s="1"/>
  <c r="V320" i="12"/>
  <c r="X320" i="12" s="1"/>
  <c r="V308" i="12"/>
  <c r="X308" i="12" s="1"/>
  <c r="V327" i="12"/>
  <c r="X327" i="12" s="1"/>
  <c r="V337" i="12"/>
  <c r="X337" i="12" s="1"/>
  <c r="V349" i="12"/>
  <c r="X349" i="12" s="1"/>
  <c r="V352" i="12"/>
  <c r="X352" i="12" s="1"/>
  <c r="V362" i="12"/>
  <c r="X362" i="12" s="1"/>
  <c r="V211" i="12"/>
  <c r="X211" i="12" s="1"/>
  <c r="V101" i="12"/>
  <c r="X101" i="12" s="1"/>
  <c r="V6" i="12"/>
  <c r="X6" i="12" s="1"/>
  <c r="V25" i="12"/>
  <c r="X25" i="12" s="1"/>
  <c r="V56" i="12"/>
  <c r="X56" i="12" s="1"/>
  <c r="V166" i="12"/>
  <c r="X166" i="12" s="1"/>
  <c r="V90" i="12"/>
  <c r="X90" i="12" s="1"/>
  <c r="V260" i="12"/>
  <c r="X260" i="12" s="1"/>
  <c r="V27" i="12"/>
  <c r="X27" i="12" s="1"/>
  <c r="V68" i="12"/>
  <c r="X68" i="12" s="1"/>
  <c r="V221" i="12"/>
  <c r="X221" i="12" s="1"/>
  <c r="V94" i="12"/>
  <c r="X94" i="12" s="1"/>
  <c r="V214" i="12"/>
  <c r="X214" i="12" s="1"/>
  <c r="V16" i="12"/>
  <c r="X16" i="12" s="1"/>
  <c r="V48" i="12"/>
  <c r="X48" i="12" s="1"/>
  <c r="V189" i="12"/>
  <c r="X189" i="12" s="1"/>
  <c r="V66" i="12"/>
  <c r="X66" i="12" s="1"/>
  <c r="V76" i="12"/>
  <c r="X76" i="12" s="1"/>
  <c r="V132" i="12"/>
  <c r="X132" i="12" s="1"/>
  <c r="V186" i="12"/>
  <c r="X186" i="12" s="1"/>
  <c r="V234" i="12"/>
  <c r="X234" i="12" s="1"/>
  <c r="V77" i="12"/>
  <c r="X77" i="12" s="1"/>
  <c r="V133" i="12"/>
  <c r="X133" i="12" s="1"/>
  <c r="V187" i="12"/>
  <c r="X187" i="12" s="1"/>
  <c r="V235" i="12"/>
  <c r="X235" i="12" s="1"/>
  <c r="V291" i="12"/>
  <c r="X291" i="12" s="1"/>
  <c r="V145" i="12"/>
  <c r="X145" i="12" s="1"/>
  <c r="V229" i="12"/>
  <c r="X229" i="12" s="1"/>
  <c r="V100" i="12"/>
  <c r="X100" i="12" s="1"/>
  <c r="V159" i="12"/>
  <c r="X159" i="12" s="1"/>
  <c r="V210" i="12"/>
  <c r="X210" i="12" s="1"/>
  <c r="V255" i="12"/>
  <c r="X255" i="12" s="1"/>
  <c r="V112" i="12"/>
  <c r="X112" i="12" s="1"/>
  <c r="V172" i="12"/>
  <c r="X172" i="12" s="1"/>
  <c r="V340" i="12"/>
  <c r="X340" i="12" s="1"/>
  <c r="V283" i="12"/>
  <c r="X283" i="12" s="1"/>
  <c r="V279" i="12"/>
  <c r="X279" i="12" s="1"/>
  <c r="V299" i="12"/>
  <c r="X299" i="12" s="1"/>
  <c r="V295" i="12"/>
  <c r="X295" i="12" s="1"/>
  <c r="V313" i="12"/>
  <c r="X313" i="12" s="1"/>
  <c r="V318" i="12"/>
  <c r="X318" i="12" s="1"/>
  <c r="V332" i="12"/>
  <c r="X332" i="12" s="1"/>
  <c r="V339" i="12"/>
  <c r="X339" i="12" s="1"/>
  <c r="V342" i="12"/>
  <c r="X342" i="12" s="1"/>
  <c r="V357" i="12"/>
  <c r="X357" i="12" s="1"/>
  <c r="V363" i="12"/>
  <c r="X363" i="12" s="1"/>
  <c r="V30" i="12"/>
  <c r="X30" i="12" s="1"/>
  <c r="V244" i="12"/>
  <c r="X244" i="12" s="1"/>
  <c r="V38" i="12"/>
  <c r="X38" i="12" s="1"/>
  <c r="V60" i="12"/>
  <c r="X60" i="12" s="1"/>
  <c r="V70" i="12"/>
  <c r="X70" i="12" s="1"/>
  <c r="V243" i="12"/>
  <c r="X243" i="12" s="1"/>
  <c r="V120" i="12"/>
  <c r="X120" i="12" s="1"/>
  <c r="V3" i="12"/>
  <c r="X3" i="12" s="1"/>
  <c r="V35" i="12"/>
  <c r="X35" i="12" s="1"/>
  <c r="V113" i="12"/>
  <c r="X113" i="12" s="1"/>
  <c r="V272" i="12"/>
  <c r="X272" i="12" s="1"/>
  <c r="V114" i="12"/>
  <c r="X114" i="12" s="1"/>
  <c r="V54" i="12"/>
  <c r="X54" i="12" s="1"/>
  <c r="V24" i="12"/>
  <c r="X24" i="12" s="1"/>
  <c r="V55" i="12"/>
  <c r="X55" i="12" s="1"/>
  <c r="V249" i="12"/>
  <c r="X249" i="12" s="1"/>
  <c r="V164" i="12"/>
  <c r="X164" i="12" s="1"/>
  <c r="V91" i="12"/>
  <c r="X91" i="12" s="1"/>
  <c r="V140" i="12"/>
  <c r="X140" i="12" s="1"/>
  <c r="V202" i="12"/>
  <c r="X202" i="12" s="1"/>
  <c r="V247" i="12"/>
  <c r="X247" i="12" s="1"/>
  <c r="V88" i="12"/>
  <c r="X88" i="12" s="1"/>
  <c r="V141" i="12"/>
  <c r="X141" i="12" s="1"/>
  <c r="V203" i="12"/>
  <c r="X203" i="12" s="1"/>
  <c r="V241" i="12"/>
  <c r="X241" i="12" s="1"/>
  <c r="V81" i="12"/>
  <c r="X81" i="12" s="1"/>
  <c r="V165" i="12"/>
  <c r="X165" i="12" s="1"/>
  <c r="V261" i="12"/>
  <c r="X261" i="12" s="1"/>
  <c r="V108" i="12"/>
  <c r="X108" i="12" s="1"/>
  <c r="V175" i="12"/>
  <c r="X175" i="12" s="1"/>
  <c r="V223" i="12"/>
  <c r="X223" i="12" s="1"/>
  <c r="V271" i="12"/>
  <c r="X271" i="12" s="1"/>
  <c r="V131" i="12"/>
  <c r="X131" i="12" s="1"/>
  <c r="L357" i="11"/>
  <c r="L356" i="11"/>
  <c r="K357" i="11"/>
  <c r="K356" i="11"/>
  <c r="B20" i="2"/>
  <c r="C20" i="2"/>
  <c r="E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K359" i="11" l="1"/>
  <c r="K360" i="11" s="1"/>
  <c r="K362" i="11" s="1"/>
  <c r="K358" i="11"/>
  <c r="L358" i="11"/>
  <c r="L359" i="11"/>
  <c r="L360" i="11" s="1"/>
  <c r="L362" i="11" s="1"/>
  <c r="AJ232" i="12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L364" i="11" l="1"/>
  <c r="L363" i="11"/>
  <c r="K364" i="11"/>
  <c r="K363" i="11"/>
  <c r="F11" i="15"/>
  <c r="K366" i="11" l="1"/>
  <c r="K365" i="11"/>
  <c r="L366" i="11"/>
  <c r="L365" i="11"/>
  <c r="G11" i="15"/>
  <c r="AM5" i="10" l="1"/>
  <c r="AM6" i="10" s="1"/>
  <c r="AN7" i="9"/>
  <c r="AN8" i="9" s="1"/>
  <c r="AL8" i="11" a="1"/>
  <c r="AL8" i="11" s="1"/>
  <c r="AJ9" i="12"/>
  <c r="AJ10" i="12" s="1"/>
  <c r="AK15" i="8"/>
  <c r="AM14" i="8" s="1"/>
  <c r="AO6" i="9" l="1" a="1"/>
  <c r="AO6" i="9" s="1"/>
  <c r="AP6" i="9" a="1"/>
  <c r="AP6" i="9" s="1"/>
  <c r="AN4" i="10"/>
  <c r="AL8" i="12" a="1"/>
  <c r="AL8" i="12" s="1"/>
  <c r="AK11" i="11"/>
  <c r="AK12" i="11" s="1"/>
  <c r="AK13" i="11" s="1"/>
  <c r="AK14" i="11" s="1"/>
  <c r="AK15" i="11" s="1"/>
  <c r="AK16" i="11" s="1"/>
  <c r="AK17" i="11" s="1"/>
  <c r="AK18" i="11" s="1"/>
  <c r="AK19" i="11" s="1"/>
  <c r="AK20" i="11" s="1"/>
  <c r="AK21" i="11" s="1"/>
  <c r="AM20" i="11" s="1" a="1"/>
  <c r="AM20" i="11" s="1"/>
  <c r="AM8" i="11" a="1"/>
  <c r="AM8" i="11" s="1"/>
  <c r="AM12" i="11" a="1"/>
  <c r="AM12" i="11" s="1"/>
  <c r="AN9" i="9"/>
  <c r="AP8" i="9" s="1" a="1"/>
  <c r="AP8" i="9" s="1"/>
  <c r="AO7" i="9" a="1"/>
  <c r="AO7" i="9" s="1"/>
  <c r="AP7" i="9" a="1"/>
  <c r="AP7" i="9" s="1"/>
  <c r="AL9" i="12" a="1"/>
  <c r="AL9" i="12" s="1"/>
  <c r="AM7" i="10"/>
  <c r="AO5" i="10"/>
  <c r="AN5" i="10"/>
  <c r="AO4" i="10"/>
  <c r="AK9" i="12" a="1"/>
  <c r="AK9" i="12" s="1"/>
  <c r="AK8" i="12" a="1"/>
  <c r="AK8" i="12" s="1"/>
  <c r="AK16" i="8"/>
  <c r="AL15" i="8" s="1"/>
  <c r="AL14" i="8"/>
  <c r="AJ11" i="12"/>
  <c r="AL10" i="12" s="1" a="1"/>
  <c r="AL10" i="12" s="1"/>
  <c r="AL9" i="11" l="1" a="1"/>
  <c r="AL9" i="11" s="1"/>
  <c r="AO8" i="9" a="1"/>
  <c r="AO8" i="9" s="1"/>
  <c r="AM13" i="11" a="1"/>
  <c r="AM13" i="11" s="1"/>
  <c r="AL11" i="11" a="1"/>
  <c r="AL11" i="11" s="1"/>
  <c r="AL12" i="11" a="1"/>
  <c r="AL12" i="11" s="1"/>
  <c r="AM15" i="11" a="1"/>
  <c r="AM15" i="11" s="1"/>
  <c r="AL13" i="11" a="1"/>
  <c r="AL13" i="11" s="1"/>
  <c r="AM18" i="11" a="1"/>
  <c r="AM18" i="11" s="1"/>
  <c r="AL14" i="11" a="1"/>
  <c r="AL14" i="11" s="1"/>
  <c r="AL10" i="11" a="1"/>
  <c r="AL10" i="11" s="1"/>
  <c r="AM16" i="11" a="1"/>
  <c r="AM16" i="11" s="1"/>
  <c r="AL18" i="11" a="1"/>
  <c r="AL18" i="11" s="1"/>
  <c r="AM17" i="11" a="1"/>
  <c r="AM17" i="11" s="1"/>
  <c r="AL16" i="11" a="1"/>
  <c r="AL16" i="11" s="1"/>
  <c r="AM14" i="11" a="1"/>
  <c r="AM14" i="11" s="1"/>
  <c r="AL17" i="11" a="1"/>
  <c r="AL17" i="11" s="1"/>
  <c r="AL15" i="11" a="1"/>
  <c r="AL15" i="11" s="1"/>
  <c r="AL19" i="11" a="1"/>
  <c r="AL19" i="11" s="1"/>
  <c r="AM9" i="11" a="1"/>
  <c r="AM9" i="11" s="1"/>
  <c r="AM11" i="11" a="1"/>
  <c r="AM11" i="11" s="1"/>
  <c r="AM10" i="11" a="1"/>
  <c r="AM10" i="11" s="1"/>
  <c r="AM19" i="11" a="1"/>
  <c r="AM19" i="11" s="1"/>
  <c r="AK22" i="11"/>
  <c r="AM21" i="11" s="1" a="1"/>
  <c r="AM21" i="11" s="1"/>
  <c r="AL20" i="11" a="1"/>
  <c r="AL20" i="11" s="1"/>
  <c r="AN10" i="9"/>
  <c r="AP9" i="9" s="1" a="1"/>
  <c r="AP9" i="9" s="1"/>
  <c r="AM15" i="8"/>
  <c r="AM8" i="10"/>
  <c r="AN7" i="10" s="1"/>
  <c r="AO6" i="10"/>
  <c r="AN6" i="10"/>
  <c r="AK10" i="12" a="1"/>
  <c r="AK10" i="12" s="1"/>
  <c r="AK17" i="8"/>
  <c r="AM16" i="8" s="1"/>
  <c r="AJ12" i="12"/>
  <c r="AL11" i="12" s="1" a="1"/>
  <c r="AL11" i="12" s="1"/>
  <c r="AO9" i="9" l="1" a="1"/>
  <c r="AO9" i="9" s="1"/>
  <c r="AL21" i="11" a="1"/>
  <c r="AL21" i="11" s="1"/>
  <c r="AK23" i="11"/>
  <c r="AN11" i="9"/>
  <c r="AM9" i="10"/>
  <c r="AN8" i="10" s="1"/>
  <c r="AO7" i="10"/>
  <c r="AK11" i="12" a="1"/>
  <c r="AK11" i="12" s="1"/>
  <c r="AK18" i="8"/>
  <c r="AL17" i="8" s="1"/>
  <c r="AL16" i="8"/>
  <c r="AJ13" i="12"/>
  <c r="AM17" i="8" l="1"/>
  <c r="AK24" i="11"/>
  <c r="AL22" i="11" a="1"/>
  <c r="AL22" i="11" s="1"/>
  <c r="AM22" i="11" a="1"/>
  <c r="AM22" i="11" s="1"/>
  <c r="AN12" i="9"/>
  <c r="AP11" i="9" s="1" a="1"/>
  <c r="AP11" i="9" s="1"/>
  <c r="AP10" i="9" a="1"/>
  <c r="AP10" i="9" s="1"/>
  <c r="AO10" i="9" a="1"/>
  <c r="AO10" i="9" s="1"/>
  <c r="AL12" i="12" a="1"/>
  <c r="AL12" i="12" s="1"/>
  <c r="AK12" i="12" a="1"/>
  <c r="AK12" i="12" s="1"/>
  <c r="AM10" i="10"/>
  <c r="AO8" i="10"/>
  <c r="AK19" i="8"/>
  <c r="AJ14" i="12"/>
  <c r="AL13" i="12" s="1" a="1"/>
  <c r="AL13" i="12" s="1"/>
  <c r="AL23" i="11" l="1" a="1"/>
  <c r="AL23" i="11" s="1"/>
  <c r="AK25" i="11"/>
  <c r="AL24" i="11" s="1" a="1"/>
  <c r="AL24" i="11" s="1"/>
  <c r="AM23" i="11" a="1"/>
  <c r="AM23" i="11" s="1"/>
  <c r="AO11" i="9" a="1"/>
  <c r="AO11" i="9" s="1"/>
  <c r="AN13" i="9"/>
  <c r="AP12" i="9" s="1" a="1"/>
  <c r="AP12" i="9" s="1"/>
  <c r="AM11" i="10"/>
  <c r="AO10" i="10" s="1"/>
  <c r="AN9" i="10"/>
  <c r="AO9" i="10"/>
  <c r="AK13" i="12" a="1"/>
  <c r="AK13" i="12" s="1"/>
  <c r="AK20" i="8"/>
  <c r="AM19" i="8" s="1"/>
  <c r="AL18" i="8"/>
  <c r="AM18" i="8"/>
  <c r="AJ15" i="12"/>
  <c r="AL14" i="12" s="1" a="1"/>
  <c r="AL14" i="12" s="1"/>
  <c r="AL19" i="8" l="1"/>
  <c r="AO12" i="9" a="1"/>
  <c r="AO12" i="9" s="1"/>
  <c r="AK26" i="11"/>
  <c r="AM24" i="11" a="1"/>
  <c r="AM24" i="11" s="1"/>
  <c r="AN10" i="10"/>
  <c r="AN14" i="9"/>
  <c r="AP13" i="9" s="1" a="1"/>
  <c r="AP13" i="9" s="1"/>
  <c r="AM12" i="10"/>
  <c r="AO11" i="10" s="1"/>
  <c r="AK14" i="12" a="1"/>
  <c r="AK14" i="12" s="1"/>
  <c r="AK21" i="8"/>
  <c r="AM20" i="8" s="1"/>
  <c r="AJ16" i="12"/>
  <c r="AL15" i="12" s="1" a="1"/>
  <c r="AL15" i="12" s="1"/>
  <c r="AO13" i="9" l="1" a="1"/>
  <c r="AO13" i="9" s="1"/>
  <c r="AL20" i="8"/>
  <c r="AN11" i="10"/>
  <c r="AK27" i="11"/>
  <c r="AM26" i="11" s="1" a="1"/>
  <c r="AM26" i="11" s="1"/>
  <c r="AL25" i="11" a="1"/>
  <c r="AL25" i="11" s="1"/>
  <c r="AM25" i="11" a="1"/>
  <c r="AM25" i="11" s="1"/>
  <c r="AN15" i="9"/>
  <c r="AM13" i="10"/>
  <c r="AN12" i="10" s="1"/>
  <c r="AK15" i="12" a="1"/>
  <c r="AK15" i="12" s="1"/>
  <c r="AK22" i="8"/>
  <c r="AM21" i="8" s="1"/>
  <c r="AJ17" i="12"/>
  <c r="AL16" i="12" s="1" a="1"/>
  <c r="AL16" i="12" s="1"/>
  <c r="AK28" i="11" l="1"/>
  <c r="AL26" i="11" a="1"/>
  <c r="AL26" i="11" s="1"/>
  <c r="AL21" i="8"/>
  <c r="AN16" i="9"/>
  <c r="AO15" i="9" s="1" a="1"/>
  <c r="AO15" i="9" s="1"/>
  <c r="AP15" i="9" a="1"/>
  <c r="AP15" i="9" s="1"/>
  <c r="AO14" i="9" a="1"/>
  <c r="AO14" i="9" s="1"/>
  <c r="AP14" i="9" a="1"/>
  <c r="AP14" i="9" s="1"/>
  <c r="AK16" i="12" a="1"/>
  <c r="AK16" i="12" s="1"/>
  <c r="AM14" i="10"/>
  <c r="AO13" i="10" s="1"/>
  <c r="AO12" i="10"/>
  <c r="AK23" i="8"/>
  <c r="AJ18" i="12"/>
  <c r="AL17" i="12" s="1" a="1"/>
  <c r="AL17" i="12" s="1"/>
  <c r="AK29" i="11" l="1"/>
  <c r="AM27" i="11" a="1"/>
  <c r="AM27" i="11" s="1"/>
  <c r="AL27" i="11" a="1"/>
  <c r="AL27" i="11" s="1"/>
  <c r="AN13" i="10"/>
  <c r="AN17" i="9"/>
  <c r="AK17" i="12" a="1"/>
  <c r="AK17" i="12" s="1"/>
  <c r="AM15" i="10"/>
  <c r="AO14" i="10" s="1"/>
  <c r="AK24" i="8"/>
  <c r="AL23" i="8" s="1"/>
  <c r="AL22" i="8"/>
  <c r="AM22" i="8"/>
  <c r="AJ19" i="12"/>
  <c r="AK30" i="11" l="1"/>
  <c r="AL28" i="11" a="1"/>
  <c r="AL28" i="11" s="1"/>
  <c r="AM28" i="11" a="1"/>
  <c r="AM28" i="11" s="1"/>
  <c r="AM23" i="8"/>
  <c r="AN18" i="9"/>
  <c r="AO17" i="9" s="1" a="1"/>
  <c r="AO17" i="9" s="1"/>
  <c r="AP16" i="9" a="1"/>
  <c r="AP16" i="9" s="1"/>
  <c r="AO16" i="9" a="1"/>
  <c r="AO16" i="9" s="1"/>
  <c r="AL18" i="12" a="1"/>
  <c r="AL18" i="12" s="1"/>
  <c r="AK18" i="12" a="1"/>
  <c r="AK18" i="12" s="1"/>
  <c r="AM16" i="10"/>
  <c r="AN14" i="10"/>
  <c r="AK25" i="8"/>
  <c r="AJ20" i="12"/>
  <c r="AL19" i="12" s="1" a="1"/>
  <c r="AL19" i="12" s="1"/>
  <c r="AP17" i="9" l="1" a="1"/>
  <c r="AP17" i="9" s="1"/>
  <c r="AK31" i="11"/>
  <c r="AL30" i="11" s="1" a="1"/>
  <c r="AL30" i="11" s="1"/>
  <c r="AL29" i="11" a="1"/>
  <c r="AL29" i="11" s="1"/>
  <c r="AM29" i="11" a="1"/>
  <c r="AM29" i="11" s="1"/>
  <c r="AN19" i="9"/>
  <c r="AP18" i="9" a="1"/>
  <c r="AO18" i="9" a="1"/>
  <c r="AK19" i="12" a="1"/>
  <c r="AK19" i="12" s="1"/>
  <c r="AM17" i="10"/>
  <c r="AN16" i="10" s="1"/>
  <c r="AN15" i="10"/>
  <c r="AO15" i="10"/>
  <c r="AK26" i="8"/>
  <c r="AM25" i="8" s="1"/>
  <c r="AL24" i="8"/>
  <c r="AM24" i="8"/>
  <c r="AJ21" i="12"/>
  <c r="AK20" i="12" s="1" a="1"/>
  <c r="AK20" i="12" s="1"/>
  <c r="AO18" i="9" l="1"/>
  <c r="AP18" i="9"/>
  <c r="AK32" i="11"/>
  <c r="AL31" i="11" s="1" a="1"/>
  <c r="AL31" i="11" s="1"/>
  <c r="AM30" i="11" a="1"/>
  <c r="AM30" i="11" s="1"/>
  <c r="AN20" i="9"/>
  <c r="AP19" i="9" s="1" a="1"/>
  <c r="AP19" i="9" s="1"/>
  <c r="AL20" i="12" a="1"/>
  <c r="AL20" i="12" s="1"/>
  <c r="AM18" i="10"/>
  <c r="AO16" i="10"/>
  <c r="AK27" i="8"/>
  <c r="AM26" i="8" s="1"/>
  <c r="AL25" i="8"/>
  <c r="AJ22" i="12"/>
  <c r="AK33" i="11" l="1"/>
  <c r="AL32" i="11" s="1" a="1"/>
  <c r="AL32" i="11" s="1"/>
  <c r="AM31" i="11" a="1"/>
  <c r="AM31" i="11" s="1"/>
  <c r="AO19" i="9" a="1"/>
  <c r="AO19" i="9" s="1"/>
  <c r="AN21" i="9"/>
  <c r="AP20" i="9" s="1" a="1"/>
  <c r="AP20" i="9" s="1"/>
  <c r="AL26" i="8"/>
  <c r="AK21" i="12" a="1"/>
  <c r="AK21" i="12" s="1"/>
  <c r="AL21" i="12" a="1"/>
  <c r="AL21" i="12" s="1"/>
  <c r="AM19" i="10"/>
  <c r="AN17" i="10"/>
  <c r="AO17" i="10"/>
  <c r="AK28" i="8"/>
  <c r="AM27" i="8" s="1"/>
  <c r="AJ23" i="12"/>
  <c r="AK22" i="12" s="1" a="1"/>
  <c r="AK22" i="12" s="1"/>
  <c r="AO20" i="9" l="1" a="1"/>
  <c r="AO20" i="9" s="1"/>
  <c r="AM32" i="11" a="1"/>
  <c r="AM32" i="11" s="1"/>
  <c r="AK34" i="11"/>
  <c r="AM33" i="11" s="1" a="1"/>
  <c r="AM33" i="11" s="1"/>
  <c r="AN22" i="9"/>
  <c r="AO21" i="9" s="1" a="1"/>
  <c r="AO21" i="9" s="1"/>
  <c r="AJ24" i="12"/>
  <c r="AL23" i="12" s="1" a="1"/>
  <c r="AL23" i="12" s="1"/>
  <c r="AL22" i="12" a="1"/>
  <c r="AL22" i="12" s="1"/>
  <c r="AM20" i="10"/>
  <c r="AN19" i="10" s="1" a="1"/>
  <c r="AN19" i="10" s="1"/>
  <c r="AN18" i="10"/>
  <c r="AO18" i="10"/>
  <c r="AK29" i="8"/>
  <c r="AL27" i="8"/>
  <c r="AP21" i="9" l="1" a="1"/>
  <c r="AP21" i="9" s="1"/>
  <c r="AL33" i="11" a="1"/>
  <c r="AL33" i="11" s="1"/>
  <c r="AK35" i="11"/>
  <c r="AM21" i="10"/>
  <c r="AO19" i="10" a="1"/>
  <c r="AO19" i="10" s="1"/>
  <c r="AN23" i="9"/>
  <c r="AK23" i="12" a="1"/>
  <c r="AK23" i="12" s="1"/>
  <c r="AJ25" i="12"/>
  <c r="AM28" i="8"/>
  <c r="AL28" i="8"/>
  <c r="AK30" i="8"/>
  <c r="AL34" i="11" l="1" a="1"/>
  <c r="AL34" i="11" s="1"/>
  <c r="AK36" i="11"/>
  <c r="AM34" i="11" a="1"/>
  <c r="AM34" i="11" s="1"/>
  <c r="AO22" i="9" a="1"/>
  <c r="AO22" i="9" s="1"/>
  <c r="AJ26" i="12"/>
  <c r="AL29" i="8"/>
  <c r="AN24" i="9"/>
  <c r="AP22" i="9" a="1"/>
  <c r="AP22" i="9" s="1"/>
  <c r="AM22" i="10"/>
  <c r="AN20" i="10" a="1"/>
  <c r="AN20" i="10" s="1"/>
  <c r="AO20" i="10" a="1"/>
  <c r="AO20" i="10" s="1"/>
  <c r="AL24" i="12"/>
  <c r="AK24" i="12" a="1"/>
  <c r="AK24" i="12" s="1"/>
  <c r="AK31" i="8"/>
  <c r="AM29" i="8"/>
  <c r="AL35" i="11" l="1" a="1"/>
  <c r="AL35" i="11" s="1"/>
  <c r="AK37" i="11"/>
  <c r="AM36" i="11" s="1" a="1"/>
  <c r="AM36" i="11" s="1"/>
  <c r="AM35" i="11" a="1"/>
  <c r="AM35" i="11" s="1"/>
  <c r="AL25" i="12"/>
  <c r="AK25" i="12" a="1"/>
  <c r="AK25" i="12" s="1"/>
  <c r="AM23" i="10"/>
  <c r="AO22" i="10" s="1" a="1"/>
  <c r="AO22" i="10" s="1"/>
  <c r="AN22" i="10" a="1"/>
  <c r="AJ27" i="12"/>
  <c r="AK26" i="12" s="1" a="1"/>
  <c r="AK26" i="12" s="1"/>
  <c r="AN25" i="9"/>
  <c r="AO23" i="9" a="1"/>
  <c r="AO23" i="9" s="1"/>
  <c r="AP23" i="9" a="1"/>
  <c r="AP23" i="9" s="1"/>
  <c r="AM30" i="8"/>
  <c r="AK32" i="8"/>
  <c r="AL30" i="8"/>
  <c r="AN21" i="10" a="1"/>
  <c r="AN21" i="10" s="1"/>
  <c r="AO21" i="10" a="1"/>
  <c r="AO21" i="10" s="1"/>
  <c r="AN22" i="10" l="1"/>
  <c r="AL26" i="12"/>
  <c r="AK38" i="11"/>
  <c r="AL37" i="11" s="1" a="1"/>
  <c r="AL37" i="11" s="1"/>
  <c r="AL36" i="11" a="1"/>
  <c r="AL36" i="11" s="1"/>
  <c r="AN26" i="9"/>
  <c r="AP25" i="9" s="1" a="1"/>
  <c r="AP25" i="9" s="1"/>
  <c r="AM24" i="10"/>
  <c r="AN23" i="10" s="1" a="1"/>
  <c r="AN23" i="10" s="1"/>
  <c r="AO23" i="10" a="1"/>
  <c r="AO23" i="10" s="1"/>
  <c r="AJ28" i="12"/>
  <c r="AO24" i="9" a="1"/>
  <c r="AO24" i="9" s="1"/>
  <c r="AP24" i="9" a="1"/>
  <c r="AP24" i="9" s="1"/>
  <c r="AK33" i="8"/>
  <c r="AM31" i="8"/>
  <c r="AL31" i="8"/>
  <c r="AO25" i="9" l="1" a="1"/>
  <c r="AO25" i="9" s="1"/>
  <c r="AK39" i="11"/>
  <c r="AM38" i="11" a="1"/>
  <c r="AM38" i="11" s="1"/>
  <c r="AL38" i="11" a="1"/>
  <c r="AL38" i="11" s="1"/>
  <c r="AM37" i="11" a="1"/>
  <c r="AM37" i="11" s="1"/>
  <c r="AL27" i="12"/>
  <c r="AK27" i="12" a="1"/>
  <c r="AK27" i="12" s="1"/>
  <c r="AJ29" i="12"/>
  <c r="AL28" i="12" s="1"/>
  <c r="AK34" i="8"/>
  <c r="AM33" i="8" s="1"/>
  <c r="AN27" i="9"/>
  <c r="AM25" i="10"/>
  <c r="AL32" i="8"/>
  <c r="AM32" i="8"/>
  <c r="AK40" i="11" l="1"/>
  <c r="AL39" i="11" s="1" a="1"/>
  <c r="AL39" i="11" s="1"/>
  <c r="AO39" i="11" s="1"/>
  <c r="AL33" i="8"/>
  <c r="AK28" i="12" a="1"/>
  <c r="AK28" i="12" s="1"/>
  <c r="AO26" i="9" a="1"/>
  <c r="AO26" i="9" s="1"/>
  <c r="AN24" i="10" a="1"/>
  <c r="AN24" i="10" s="1"/>
  <c r="AJ30" i="12"/>
  <c r="AM26" i="10"/>
  <c r="AO24" i="10" a="1"/>
  <c r="AO24" i="10" s="1"/>
  <c r="AN28" i="9"/>
  <c r="AP26" i="9" a="1"/>
  <c r="AP26" i="9" s="1"/>
  <c r="AK35" i="8"/>
  <c r="AM39" i="11" l="1" a="1"/>
  <c r="AM39" i="11" s="1"/>
  <c r="AP39" i="11" s="1"/>
  <c r="AK41" i="11"/>
  <c r="AM40" i="11" a="1"/>
  <c r="AL40" i="11" a="1"/>
  <c r="AL40" i="11" s="1"/>
  <c r="AN29" i="9"/>
  <c r="AO28" i="9" s="1" a="1"/>
  <c r="AO28" i="9" s="1"/>
  <c r="AL29" i="12"/>
  <c r="AK29" i="12" a="1"/>
  <c r="AK29" i="12" s="1"/>
  <c r="AJ31" i="12"/>
  <c r="AN25" i="10" a="1"/>
  <c r="AN25" i="10" s="1"/>
  <c r="AM27" i="10"/>
  <c r="AP27" i="9" a="1"/>
  <c r="AP27" i="9" s="1"/>
  <c r="AK36" i="8"/>
  <c r="AL35" i="8" s="1"/>
  <c r="AO27" i="9" a="1"/>
  <c r="AO27" i="9" s="1"/>
  <c r="AO25" i="10" a="1"/>
  <c r="AO25" i="10" s="1"/>
  <c r="AL34" i="8"/>
  <c r="AM34" i="8"/>
  <c r="AM40" i="11" l="1"/>
  <c r="AK42" i="11"/>
  <c r="AK43" i="11" s="1"/>
  <c r="AL41" i="11" a="1"/>
  <c r="AL41" i="11" s="1"/>
  <c r="AM41" i="11" a="1"/>
  <c r="AM41" i="11" s="1"/>
  <c r="AP28" i="9" a="1"/>
  <c r="AP28" i="9" s="1"/>
  <c r="AM28" i="10"/>
  <c r="AO27" i="10" a="1"/>
  <c r="AO27" i="10" s="1"/>
  <c r="AN27" i="10" a="1"/>
  <c r="AN27" i="10" s="1"/>
  <c r="AN30" i="9"/>
  <c r="AM35" i="8"/>
  <c r="AJ32" i="12"/>
  <c r="AK31" i="12" s="1" a="1"/>
  <c r="AK31" i="12" s="1"/>
  <c r="AK30" i="12" a="1"/>
  <c r="AK30" i="12" s="1"/>
  <c r="AL30" i="12"/>
  <c r="AN26" i="10" a="1"/>
  <c r="AN26" i="10" s="1"/>
  <c r="AO26" i="10" a="1"/>
  <c r="AO26" i="10" s="1"/>
  <c r="AK37" i="8"/>
  <c r="AL42" i="11" l="1" a="1"/>
  <c r="AL42" i="11" s="1"/>
  <c r="AM42" i="11" a="1"/>
  <c r="AM42" i="11" s="1"/>
  <c r="AK44" i="11"/>
  <c r="AM43" i="11" s="1" a="1"/>
  <c r="AM43" i="11" s="1"/>
  <c r="AL31" i="12"/>
  <c r="AM29" i="10"/>
  <c r="AO28" i="10" s="1"/>
  <c r="AL36" i="8"/>
  <c r="AN31" i="9"/>
  <c r="AP30" i="9" s="1" a="1"/>
  <c r="AP30" i="9" s="1"/>
  <c r="AP29" i="9" a="1"/>
  <c r="AP29" i="9" s="1"/>
  <c r="AO29" i="9" a="1"/>
  <c r="AO29" i="9" s="1"/>
  <c r="AK38" i="8"/>
  <c r="AM36" i="8"/>
  <c r="AJ33" i="12"/>
  <c r="AL32" i="12" s="1"/>
  <c r="AL43" i="11" l="1" a="1"/>
  <c r="AL43" i="11" s="1"/>
  <c r="AK45" i="11"/>
  <c r="AL44" i="11" s="1" a="1"/>
  <c r="AL44" i="11" s="1"/>
  <c r="AK32" i="12" a="1"/>
  <c r="AK32" i="12" s="1"/>
  <c r="AO30" i="9" a="1"/>
  <c r="AO30" i="9" s="1"/>
  <c r="AN28" i="10"/>
  <c r="AM30" i="10"/>
  <c r="AO29" i="10" s="1"/>
  <c r="AK39" i="8"/>
  <c r="AK40" i="8" s="1"/>
  <c r="AL37" i="8"/>
  <c r="AM37" i="8"/>
  <c r="AN32" i="9"/>
  <c r="AP31" i="9" s="1" a="1"/>
  <c r="AP31" i="9" s="1"/>
  <c r="AJ34" i="12"/>
  <c r="AJ35" i="12" s="1"/>
  <c r="AM44" i="11" l="1" a="1"/>
  <c r="AM44" i="11" s="1"/>
  <c r="AK46" i="11"/>
  <c r="AL45" i="11" a="1"/>
  <c r="AL45" i="11" s="1"/>
  <c r="AM45" i="11" a="1"/>
  <c r="AM45" i="11" s="1"/>
  <c r="AL38" i="8"/>
  <c r="AK33" i="12" a="1"/>
  <c r="AK33" i="12" s="1"/>
  <c r="AN29" i="10"/>
  <c r="AL33" i="12"/>
  <c r="AO31" i="9" a="1"/>
  <c r="AO31" i="9" s="1"/>
  <c r="AM38" i="8"/>
  <c r="AN33" i="9"/>
  <c r="AP32" i="9" s="1" a="1"/>
  <c r="AP32" i="9" s="1"/>
  <c r="AO32" i="9" a="1"/>
  <c r="AJ36" i="12"/>
  <c r="AL34" i="12"/>
  <c r="AK34" i="12" a="1"/>
  <c r="AK34" i="12" s="1"/>
  <c r="AM31" i="10"/>
  <c r="AK41" i="8"/>
  <c r="AO32" i="9" l="1"/>
  <c r="AK47" i="11"/>
  <c r="AN30" i="10" a="1"/>
  <c r="AN30" i="10" s="1"/>
  <c r="AL35" i="12"/>
  <c r="AM32" i="10"/>
  <c r="AO30" i="10" a="1"/>
  <c r="AO30" i="10" s="1"/>
  <c r="AN34" i="9"/>
  <c r="AK42" i="8"/>
  <c r="AM41" i="8" s="1"/>
  <c r="AL40" i="8"/>
  <c r="AM40" i="8"/>
  <c r="AJ37" i="12"/>
  <c r="AK36" i="12" a="1"/>
  <c r="AK36" i="12" s="1"/>
  <c r="AK35" i="12" a="1"/>
  <c r="AK35" i="12" s="1"/>
  <c r="AL39" i="8"/>
  <c r="AM39" i="8"/>
  <c r="AL46" i="11" l="1" a="1"/>
  <c r="AL46" i="11" s="1"/>
  <c r="AK48" i="11"/>
  <c r="AM47" i="11" s="1" a="1"/>
  <c r="AM47" i="11" s="1"/>
  <c r="AM46" i="11" a="1"/>
  <c r="AM46" i="11" s="1"/>
  <c r="AK43" i="8"/>
  <c r="AL41" i="8"/>
  <c r="AM33" i="10"/>
  <c r="AO32" i="10" s="1"/>
  <c r="AO31" i="10" a="1"/>
  <c r="AO31" i="10" s="1"/>
  <c r="AN31" i="10" a="1"/>
  <c r="AN31" i="10" s="1"/>
  <c r="AL36" i="12"/>
  <c r="AN35" i="9"/>
  <c r="AP33" i="9" a="1"/>
  <c r="AP33" i="9" s="1"/>
  <c r="AO33" i="9" a="1"/>
  <c r="AO33" i="9" s="1"/>
  <c r="AJ38" i="12"/>
  <c r="AL47" i="11" l="1" a="1"/>
  <c r="AL47" i="11" s="1"/>
  <c r="AK49" i="11"/>
  <c r="AL48" i="11" a="1"/>
  <c r="AL48" i="11" s="1"/>
  <c r="AM48" i="11" a="1"/>
  <c r="AM48" i="11" s="1"/>
  <c r="AN32" i="10"/>
  <c r="AK44" i="8"/>
  <c r="AM43" i="8" s="1"/>
  <c r="AL42" i="8"/>
  <c r="AM42" i="8"/>
  <c r="AM34" i="10"/>
  <c r="AN36" i="9"/>
  <c r="AO34" i="9" a="1"/>
  <c r="AO34" i="9" s="1"/>
  <c r="AP34" i="9" a="1"/>
  <c r="AP34" i="9" s="1"/>
  <c r="AJ39" i="12"/>
  <c r="AL37" i="12"/>
  <c r="AK37" i="12" a="1"/>
  <c r="AK37" i="12" s="1"/>
  <c r="AK50" i="11" l="1"/>
  <c r="AM49" i="11" a="1"/>
  <c r="AM49" i="11" s="1"/>
  <c r="AL49" i="11" a="1"/>
  <c r="AL49" i="11" s="1"/>
  <c r="AL43" i="8"/>
  <c r="AN33" i="10" a="1"/>
  <c r="AN33" i="10" s="1"/>
  <c r="AM35" i="10"/>
  <c r="AL38" i="12"/>
  <c r="AJ40" i="12"/>
  <c r="AK45" i="8"/>
  <c r="AM44" i="8" s="1"/>
  <c r="AN37" i="9"/>
  <c r="AK38" i="12" a="1"/>
  <c r="AK38" i="12" s="1"/>
  <c r="AO35" i="9" a="1"/>
  <c r="AO35" i="9" s="1"/>
  <c r="AP35" i="9" a="1"/>
  <c r="AP35" i="9" s="1"/>
  <c r="AO33" i="10" a="1"/>
  <c r="AO33" i="10" s="1"/>
  <c r="AK51" i="11" l="1"/>
  <c r="AL50" i="11" a="1"/>
  <c r="AL44" i="8"/>
  <c r="AJ41" i="12"/>
  <c r="AL40" i="12"/>
  <c r="AK40" i="12" a="1"/>
  <c r="AK40" i="12" s="1"/>
  <c r="AM36" i="10"/>
  <c r="AO35" i="10" s="1"/>
  <c r="AN34" i="10" a="1"/>
  <c r="AN34" i="10" s="1"/>
  <c r="AO34" i="10" a="1"/>
  <c r="AO34" i="10" s="1"/>
  <c r="AK46" i="8"/>
  <c r="AP36" i="9" a="1"/>
  <c r="AP36" i="9" s="1"/>
  <c r="AK39" i="12" a="1"/>
  <c r="AK39" i="12" s="1"/>
  <c r="AN39" i="12" s="1"/>
  <c r="AL39" i="12"/>
  <c r="AO39" i="12" s="1"/>
  <c r="AO36" i="9" a="1"/>
  <c r="AO36" i="9" s="1"/>
  <c r="AN38" i="9"/>
  <c r="AL50" i="11" l="1"/>
  <c r="AM50" i="11" a="1"/>
  <c r="AM50" i="11" s="1"/>
  <c r="AK52" i="11"/>
  <c r="AM51" i="11" s="1" a="1"/>
  <c r="AM51" i="11" s="1"/>
  <c r="AN35" i="10"/>
  <c r="AQ35" i="10" s="1"/>
  <c r="AJ42" i="12"/>
  <c r="AK41" i="12" a="1"/>
  <c r="AM37" i="10"/>
  <c r="AN36" i="10" s="1" a="1"/>
  <c r="AN36" i="10" s="1"/>
  <c r="AK47" i="8"/>
  <c r="AL46" i="8" s="1"/>
  <c r="AR35" i="10"/>
  <c r="AM45" i="8"/>
  <c r="AP45" i="8" s="1"/>
  <c r="AL45" i="8"/>
  <c r="AO45" i="8" s="1"/>
  <c r="AO37" i="9" a="1"/>
  <c r="AO37" i="9" s="1"/>
  <c r="AN39" i="9"/>
  <c r="AP37" i="9" a="1"/>
  <c r="AP37" i="9" s="1"/>
  <c r="AK41" i="12" l="1"/>
  <c r="AK53" i="11"/>
  <c r="AL51" i="11" a="1"/>
  <c r="AL51" i="11" s="1"/>
  <c r="AL41" i="12" a="1"/>
  <c r="AL41" i="12" s="1"/>
  <c r="AJ43" i="12"/>
  <c r="AM38" i="10"/>
  <c r="AN40" i="9"/>
  <c r="AO36" i="10" a="1"/>
  <c r="AO36" i="10" s="1"/>
  <c r="AM46" i="8"/>
  <c r="AK48" i="8"/>
  <c r="AP38" i="9" a="1"/>
  <c r="AP38" i="9" s="1"/>
  <c r="AO38" i="9" a="1"/>
  <c r="AO38" i="9" s="1"/>
  <c r="AL52" i="11" l="1" a="1"/>
  <c r="AL52" i="11" s="1"/>
  <c r="AK54" i="11"/>
  <c r="AM52" i="11" a="1"/>
  <c r="AM52" i="11" s="1"/>
  <c r="AL42" i="12" a="1"/>
  <c r="AL42" i="12" s="1"/>
  <c r="AJ44" i="12"/>
  <c r="AM39" i="10"/>
  <c r="AN38" i="10" a="1"/>
  <c r="AN38" i="10" s="1"/>
  <c r="AO38" i="10" a="1"/>
  <c r="AO38" i="10" s="1"/>
  <c r="AK49" i="8"/>
  <c r="AM48" i="8" s="1"/>
  <c r="AM47" i="8"/>
  <c r="AN41" i="9"/>
  <c r="AK42" i="12" a="1"/>
  <c r="AK42" i="12" s="1"/>
  <c r="AN37" i="10" a="1"/>
  <c r="AN37" i="10" s="1"/>
  <c r="AO37" i="10" a="1"/>
  <c r="AO37" i="10" s="1"/>
  <c r="AL47" i="8"/>
  <c r="AO39" i="9" a="1"/>
  <c r="AO39" i="9" s="1"/>
  <c r="AP39" i="9" a="1"/>
  <c r="AP39" i="9" s="1"/>
  <c r="AL53" i="11" l="1" a="1"/>
  <c r="AL53" i="11" s="1"/>
  <c r="AK55" i="11"/>
  <c r="AM54" i="11" s="1" a="1"/>
  <c r="AM54" i="11" s="1"/>
  <c r="AM53" i="11" a="1"/>
  <c r="AM53" i="11" s="1"/>
  <c r="AL43" i="12" a="1"/>
  <c r="AL43" i="12" s="1"/>
  <c r="AM40" i="10"/>
  <c r="AO39" i="10" a="1"/>
  <c r="AO39" i="10" s="1"/>
  <c r="AN39" i="10" a="1"/>
  <c r="AN39" i="10" s="1"/>
  <c r="AN42" i="9"/>
  <c r="AO41" i="9" s="1" a="1"/>
  <c r="AO41" i="9" s="1"/>
  <c r="AK50" i="8"/>
  <c r="AM49" i="8" s="1"/>
  <c r="AL48" i="8"/>
  <c r="AJ45" i="12"/>
  <c r="AL44" i="12" s="1" a="1"/>
  <c r="AL44" i="12" s="1"/>
  <c r="AK43" i="12" a="1"/>
  <c r="AK43" i="12" s="1"/>
  <c r="AP40" i="9" a="1"/>
  <c r="AP40" i="9" s="1"/>
  <c r="AO40" i="9" a="1"/>
  <c r="AO40" i="9" s="1"/>
  <c r="AP41" i="9" l="1" a="1"/>
  <c r="AP41" i="9" s="1"/>
  <c r="AK56" i="11"/>
  <c r="AL54" i="11" a="1"/>
  <c r="AL54" i="11" s="1"/>
  <c r="AM41" i="10"/>
  <c r="AM42" i="10" s="1"/>
  <c r="AN40" i="10" a="1"/>
  <c r="AO40" i="10" a="1"/>
  <c r="AO40" i="10" s="1"/>
  <c r="AJ46" i="12"/>
  <c r="AL45" i="12" s="1" a="1"/>
  <c r="AL45" i="12" s="1"/>
  <c r="AK45" i="12" a="1"/>
  <c r="AK45" i="12" s="1"/>
  <c r="AK44" i="12" a="1"/>
  <c r="AK44" i="12" s="1"/>
  <c r="AL49" i="8"/>
  <c r="AN43" i="9"/>
  <c r="AP42" i="9" s="1" a="1"/>
  <c r="AP42" i="9" s="1"/>
  <c r="AK51" i="8"/>
  <c r="AL50" i="8" s="1"/>
  <c r="AN40" i="10" l="1"/>
  <c r="AK57" i="11"/>
  <c r="AM56" i="11" s="1" a="1"/>
  <c r="AM56" i="11" s="1"/>
  <c r="AM55" i="11" a="1"/>
  <c r="AM55" i="11" s="1"/>
  <c r="AL55" i="11" a="1"/>
  <c r="AL55" i="11" s="1"/>
  <c r="AO41" i="10"/>
  <c r="AN41" i="10"/>
  <c r="AO42" i="9" a="1"/>
  <c r="AO42" i="9" s="1"/>
  <c r="AJ47" i="12"/>
  <c r="AK46" i="12" s="1" a="1"/>
  <c r="AK46" i="12" s="1"/>
  <c r="AM43" i="10"/>
  <c r="AK52" i="8"/>
  <c r="AM51" i="8" s="1"/>
  <c r="AM50" i="8"/>
  <c r="AN44" i="9"/>
  <c r="AP43" i="9" s="1" a="1"/>
  <c r="AP43" i="9" s="1"/>
  <c r="AO43" i="9" a="1"/>
  <c r="AO43" i="9" s="1"/>
  <c r="AL46" i="12" l="1" a="1"/>
  <c r="AL46" i="12" s="1"/>
  <c r="AK58" i="11"/>
  <c r="AM57" i="11" a="1"/>
  <c r="AM57" i="11" s="1"/>
  <c r="AL57" i="11" a="1"/>
  <c r="AL57" i="11" s="1"/>
  <c r="AL56" i="11" a="1"/>
  <c r="AL56" i="11" s="1"/>
  <c r="AN42" i="10" a="1"/>
  <c r="AN42" i="10" s="1"/>
  <c r="AL51" i="8"/>
  <c r="AM44" i="10"/>
  <c r="AO42" i="10" a="1"/>
  <c r="AO42" i="10" s="1"/>
  <c r="AJ48" i="12"/>
  <c r="AK47" i="12" a="1"/>
  <c r="AK53" i="8"/>
  <c r="AL52" i="8" s="1"/>
  <c r="AN45" i="9"/>
  <c r="AP44" i="9" s="1" a="1"/>
  <c r="AP44" i="9" s="1"/>
  <c r="AK47" i="12" l="1"/>
  <c r="AK59" i="11"/>
  <c r="AL58" i="11" s="1" a="1"/>
  <c r="AO44" i="9" a="1"/>
  <c r="AO44" i="9" s="1"/>
  <c r="AM52" i="8"/>
  <c r="AM45" i="10"/>
  <c r="AO44" i="10" s="1"/>
  <c r="AN43" i="10" a="1"/>
  <c r="AN43" i="10" s="1"/>
  <c r="AO43" i="10" a="1"/>
  <c r="AO43" i="10" s="1"/>
  <c r="AJ49" i="12"/>
  <c r="AK48" i="12" s="1" a="1"/>
  <c r="AK48" i="12" s="1"/>
  <c r="AL47" i="12" a="1"/>
  <c r="AL47" i="12" s="1"/>
  <c r="AK54" i="8"/>
  <c r="AM53" i="8" s="1"/>
  <c r="AN46" i="9"/>
  <c r="AP45" i="9" s="1" a="1"/>
  <c r="AP45" i="9" s="1"/>
  <c r="AO45" i="9" a="1"/>
  <c r="AO45" i="9" l="1"/>
  <c r="AL53" i="8"/>
  <c r="AL58" i="11"/>
  <c r="AN44" i="10"/>
  <c r="AL59" i="11" a="1"/>
  <c r="AL59" i="11" s="1"/>
  <c r="AM59" i="11" a="1"/>
  <c r="AM59" i="11" s="1"/>
  <c r="AM58" i="11" a="1"/>
  <c r="AM58" i="11" s="1"/>
  <c r="AL48" i="12" a="1"/>
  <c r="AL48" i="12" s="1"/>
  <c r="AJ50" i="12"/>
  <c r="AK49" i="12" s="1" a="1"/>
  <c r="AK49" i="12" s="1"/>
  <c r="AM46" i="10"/>
  <c r="AO45" i="10" s="1"/>
  <c r="AN47" i="9"/>
  <c r="AN48" i="9" s="1"/>
  <c r="AO47" i="9" s="1" a="1"/>
  <c r="AO47" i="9" s="1"/>
  <c r="AO46" i="9" a="1"/>
  <c r="AO46" i="9" s="1"/>
  <c r="AP46" i="9" a="1"/>
  <c r="AP46" i="9" s="1"/>
  <c r="AK55" i="8"/>
  <c r="AL54" i="8" s="1"/>
  <c r="AN45" i="10" l="1"/>
  <c r="AM54" i="8"/>
  <c r="AJ51" i="12"/>
  <c r="AP47" i="9" a="1"/>
  <c r="AP47" i="9" s="1"/>
  <c r="AL49" i="12" a="1"/>
  <c r="AL49" i="12" s="1"/>
  <c r="AM47" i="10"/>
  <c r="AO46" i="10" s="1"/>
  <c r="AK56" i="8"/>
  <c r="AM55" i="8" s="1"/>
  <c r="AK50" i="12" a="1"/>
  <c r="AK50" i="12" s="1"/>
  <c r="AL50" i="12" a="1"/>
  <c r="AN49" i="9"/>
  <c r="AP48" i="9" s="1" a="1"/>
  <c r="AP48" i="9" s="1"/>
  <c r="AJ52" i="12"/>
  <c r="AL50" i="12" l="1"/>
  <c r="AN46" i="10"/>
  <c r="AO48" i="9" a="1"/>
  <c r="AO48" i="9" s="1"/>
  <c r="AL55" i="8"/>
  <c r="AM48" i="10"/>
  <c r="AK57" i="8"/>
  <c r="AM56" i="8" s="1"/>
  <c r="AK51" i="12" a="1"/>
  <c r="AK51" i="12" s="1"/>
  <c r="AJ53" i="12"/>
  <c r="AL51" i="12" a="1"/>
  <c r="AL51" i="12" s="1"/>
  <c r="AN50" i="9"/>
  <c r="AL56" i="8" l="1"/>
  <c r="AM49" i="10"/>
  <c r="AN47" i="10" a="1"/>
  <c r="AN47" i="10" s="1"/>
  <c r="AO47" i="10" a="1"/>
  <c r="AO47" i="10" s="1"/>
  <c r="AK58" i="8"/>
  <c r="AL57" i="8" s="1"/>
  <c r="AN51" i="9"/>
  <c r="AP49" i="9" a="1"/>
  <c r="AP49" i="9" s="1"/>
  <c r="AO49" i="9" a="1"/>
  <c r="AO49" i="9" s="1"/>
  <c r="AJ54" i="12"/>
  <c r="AK52" i="12" a="1"/>
  <c r="AK52" i="12" s="1"/>
  <c r="AL52" i="12" a="1"/>
  <c r="AL52" i="12" s="1"/>
  <c r="AM57" i="8" l="1"/>
  <c r="AM50" i="10"/>
  <c r="AN49" i="10" a="1"/>
  <c r="AO49" i="10" a="1"/>
  <c r="AO49" i="10" s="1"/>
  <c r="AK53" i="12" a="1"/>
  <c r="AK53" i="12" s="1"/>
  <c r="AL53" i="12" a="1"/>
  <c r="AL53" i="12" s="1"/>
  <c r="AO50" i="9" a="1"/>
  <c r="AO50" i="9" s="1"/>
  <c r="AN52" i="9"/>
  <c r="AP51" i="9" s="1" a="1"/>
  <c r="AP51" i="9" s="1"/>
  <c r="AP50" i="9" a="1"/>
  <c r="AP50" i="9" s="1"/>
  <c r="AJ55" i="12"/>
  <c r="AO48" i="10" a="1"/>
  <c r="AO48" i="10" s="1"/>
  <c r="AN48" i="10" a="1"/>
  <c r="AN48" i="10" s="1"/>
  <c r="AK59" i="8"/>
  <c r="AN49" i="10" l="1"/>
  <c r="AK54" i="12" a="1"/>
  <c r="AK54" i="12" s="1"/>
  <c r="AO51" i="9" a="1"/>
  <c r="AO51" i="9" s="1"/>
  <c r="AM51" i="10"/>
  <c r="AK60" i="8"/>
  <c r="AM59" i="8" s="1"/>
  <c r="AL59" i="8"/>
  <c r="AJ56" i="12"/>
  <c r="AL54" i="12" a="1"/>
  <c r="AL54" i="12" s="1"/>
  <c r="AN53" i="9"/>
  <c r="AM58" i="8"/>
  <c r="AL58" i="8"/>
  <c r="AN50" i="10" l="1" a="1"/>
  <c r="AN50" i="10" s="1"/>
  <c r="AL55" i="12" a="1"/>
  <c r="AL55" i="12" s="1"/>
  <c r="AJ57" i="12"/>
  <c r="AO52" i="9" a="1"/>
  <c r="AO52" i="9" s="1"/>
  <c r="AK55" i="12" a="1"/>
  <c r="AK55" i="12" s="1"/>
  <c r="AM52" i="10"/>
  <c r="AO50" i="10" a="1"/>
  <c r="AO50" i="10" s="1"/>
  <c r="AN54" i="9"/>
  <c r="AP52" i="9" a="1"/>
  <c r="AP52" i="9" s="1"/>
  <c r="AK61" i="8"/>
  <c r="AJ58" i="12" l="1"/>
  <c r="AL57" i="12" a="1"/>
  <c r="AL57" i="12" s="1"/>
  <c r="AK57" i="12" a="1"/>
  <c r="AK57" i="12" s="1"/>
  <c r="AL56" i="12" a="1"/>
  <c r="AL56" i="12" s="1"/>
  <c r="AK56" i="12" a="1"/>
  <c r="AK56" i="12" s="1"/>
  <c r="AM53" i="10"/>
  <c r="AN52" i="10" s="1" a="1"/>
  <c r="AN52" i="10" s="1"/>
  <c r="AN51" i="10" a="1"/>
  <c r="AN51" i="10" s="1"/>
  <c r="AO51" i="10" a="1"/>
  <c r="AO51" i="10" s="1"/>
  <c r="AN55" i="9"/>
  <c r="AP54" i="9" a="1"/>
  <c r="AP54" i="9" s="1"/>
  <c r="AO54" i="9" a="1"/>
  <c r="AO54" i="9" s="1"/>
  <c r="AO53" i="9" a="1"/>
  <c r="AO53" i="9" s="1"/>
  <c r="AP53" i="9" a="1"/>
  <c r="AP53" i="9" s="1"/>
  <c r="AK62" i="8"/>
  <c r="AM60" i="8"/>
  <c r="AL60" i="8"/>
  <c r="AN56" i="9" l="1"/>
  <c r="AO55" i="9" a="1"/>
  <c r="AP55" i="9" a="1"/>
  <c r="AJ59" i="12"/>
  <c r="AM54" i="10"/>
  <c r="AN53" i="10" s="1"/>
  <c r="AO52" i="10" a="1"/>
  <c r="AO52" i="10" s="1"/>
  <c r="AL61" i="8"/>
  <c r="AM61" i="8"/>
  <c r="AK63" i="8"/>
  <c r="AP55" i="9" l="1"/>
  <c r="AO55" i="9"/>
  <c r="AO53" i="10"/>
  <c r="AK58" i="12" a="1"/>
  <c r="AK58" i="12" s="1"/>
  <c r="AN57" i="9"/>
  <c r="AP56" i="9" a="1"/>
  <c r="AP56" i="9" s="1"/>
  <c r="AO56" i="9" a="1"/>
  <c r="AO56" i="9" s="1"/>
  <c r="AJ60" i="12"/>
  <c r="AL58" i="12" a="1"/>
  <c r="AL58" i="12" s="1"/>
  <c r="AM55" i="10"/>
  <c r="AK64" i="8"/>
  <c r="AM62" i="8"/>
  <c r="AL62" i="8"/>
  <c r="AN54" i="10" l="1" a="1"/>
  <c r="AN54" i="10" s="1"/>
  <c r="AL60" i="12"/>
  <c r="AK60" i="12" a="1"/>
  <c r="AK60" i="12" s="1"/>
  <c r="AL59" i="12" a="1"/>
  <c r="AL59" i="12" s="1"/>
  <c r="AK59" i="12" a="1"/>
  <c r="AK59" i="12" s="1"/>
  <c r="AM56" i="10"/>
  <c r="AO54" i="10" a="1"/>
  <c r="AO54" i="10" s="1"/>
  <c r="AN58" i="9"/>
  <c r="AO57" i="9" s="1" a="1"/>
  <c r="AO57" i="9" s="1"/>
  <c r="AM63" i="8"/>
  <c r="AK65" i="8"/>
  <c r="AL63" i="8"/>
  <c r="AO58" i="9" l="1" a="1"/>
  <c r="AO58" i="9" s="1"/>
  <c r="AP58" i="9" a="1"/>
  <c r="AP58" i="9" s="1"/>
  <c r="AP57" i="9" a="1"/>
  <c r="AP57" i="9" s="1"/>
  <c r="AN56" i="10"/>
  <c r="AO56" i="10"/>
  <c r="AN55" i="10" a="1"/>
  <c r="AN55" i="10" s="1"/>
  <c r="AO55" i="10" a="1"/>
  <c r="AO55" i="10" s="1"/>
  <c r="AL65" i="8"/>
  <c r="AM65" i="8"/>
  <c r="AM64" i="8"/>
  <c r="AL64" i="8"/>
  <c r="AO159" i="10" l="1" a="1"/>
  <c r="AO159" i="1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<sst xmlns="http://schemas.openxmlformats.org/spreadsheetml/2006/main" count="4322" uniqueCount="179">
  <si>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</si>
  <si>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</si>
  <si>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</si>
  <si>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</si>
  <si>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</si>
  <si>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</si>
  <si>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</si>
  <si>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</si>
  <si>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</si>
  <si>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</si>
  <si>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</si>
  <si>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</si>
  <si>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</si>
  <si>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</si>
  <si>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</si>
  <si>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</si>
  <si>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</si>
  <si>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</si>
  <si>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</si>
  <si>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</si>
  <si>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</si>
  <si>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</si>
  <si>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</si>
  <si>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</si>
  <si>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</si>
  <si>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</si>
  <si>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</si>
  <si>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</si>
  <si>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</si>
  <si>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</si>
  <si>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</si>
  <si>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</si>
  <si>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</si>
  <si>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</si>
  <si>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</si>
  <si>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</si>
  <si>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</si>
  <si>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</si>
  <si>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</si>
  <si>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</si>
  <si>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</si>
  <si>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</si>
  <si>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</si>
  <si>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</si>
  <si>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</si>
  <si>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</si>
  <si>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</si>
  <si>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</si>
  <si>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</si>
  <si>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</si>
  <si>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</si>
  <si>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</si>
  <si>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</si>
  <si>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</si>
  <si>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</si>
  <si>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</si>
  <si>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</si>
  <si>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Calls Off</t>
  </si>
  <si>
    <t>Fiscal</t>
  </si>
  <si>
    <t>FY23</t>
  </si>
  <si>
    <t>WoW % change (ans)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</si>
  <si>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</si>
  <si>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</si>
  <si>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</si>
  <si>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</si>
  <si>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</si>
  <si>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</si>
  <si>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</si>
  <si>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</si>
  <si>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</si>
  <si>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</si>
  <si>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</si>
  <si>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</si>
  <si>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 xml:space="preserve">D 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</si>
  <si>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</si>
  <si>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</si>
  <si>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</si>
  <si>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</si>
  <si>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</si>
  <si>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</si>
  <si>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</si>
  <si>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</si>
  <si>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</si>
  <si>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</si>
  <si>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</si>
  <si>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Country</t>
  </si>
  <si>
    <t>Antigua</t>
  </si>
  <si>
    <t>Curacao</t>
  </si>
  <si>
    <t>Dominica</t>
  </si>
  <si>
    <t>Grenada</t>
  </si>
  <si>
    <t>St. Kitts and Nevis</t>
  </si>
  <si>
    <t>St. Lucia</t>
  </si>
  <si>
    <t>St. Vincent</t>
  </si>
  <si>
    <t>SKU Count</t>
  </si>
  <si>
    <t>`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</si>
  <si>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</si>
  <si>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</si>
  <si>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</si>
  <si>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</si>
  <si>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</si>
  <si>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</si>
  <si>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</si>
  <si>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</si>
  <si>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</si>
  <si>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</si>
  <si>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Live Chat KPIs - February FY23</t>
  </si>
  <si>
    <t>21s</t>
  </si>
  <si>
    <t>58s</t>
  </si>
  <si>
    <t>43s</t>
  </si>
  <si>
    <t>Live Chat KPIs - Week 50 FY23 (Mar-13 to Mar-19)</t>
  </si>
  <si>
    <t>23s</t>
  </si>
  <si>
    <t>6m 33s</t>
  </si>
  <si>
    <t>19s</t>
  </si>
  <si>
    <t>9m 53s</t>
  </si>
  <si>
    <t>39s</t>
  </si>
  <si>
    <t>33s</t>
  </si>
  <si>
    <t>6m 18s</t>
  </si>
  <si>
    <t>2m 12s</t>
  </si>
  <si>
    <t>2m 25s</t>
  </si>
  <si>
    <t>7m 16s</t>
  </si>
  <si>
    <t>38s</t>
  </si>
  <si>
    <t>30s</t>
  </si>
  <si>
    <t>7m 17s</t>
  </si>
  <si>
    <t>5m 50s</t>
  </si>
  <si>
    <t>Regional CC Performance Report (FY-23 Week 49: Mar-7 to Mar-13)</t>
  </si>
  <si>
    <t>Regional CC Performance Report (FY-23 Week 50: Mar-14 to Mar-20)</t>
  </si>
  <si>
    <t>Live Chat KPIs - March FY23</t>
  </si>
  <si>
    <t>42s</t>
  </si>
  <si>
    <t>9m 57s</t>
  </si>
  <si>
    <t>49s</t>
  </si>
  <si>
    <t>7m 22s</t>
  </si>
  <si>
    <t>37s</t>
  </si>
  <si>
    <t>7m 40s</t>
  </si>
  <si>
    <t>22s</t>
  </si>
  <si>
    <t>1m 3s</t>
  </si>
  <si>
    <t>1m 57s</t>
  </si>
  <si>
    <t>9m 19s</t>
  </si>
  <si>
    <t>7m 46s</t>
  </si>
  <si>
    <t>25s</t>
  </si>
  <si>
    <t>6m 31s</t>
  </si>
  <si>
    <t>Regional CC Performance Report (Mar-FY23)</t>
  </si>
  <si>
    <t>Regional CC Performance FY23</t>
  </si>
  <si>
    <t>JM</t>
  </si>
  <si>
    <t>BZ</t>
  </si>
  <si>
    <t>Business Revenue Areas</t>
  </si>
  <si>
    <t>Trinidad</t>
  </si>
  <si>
    <t>US$</t>
  </si>
  <si>
    <t>Total Budget</t>
  </si>
  <si>
    <t>Total Revenue</t>
  </si>
  <si>
    <t>%</t>
  </si>
  <si>
    <t>Telesales - FY23</t>
  </si>
  <si>
    <t>YTD Calls Ans</t>
  </si>
  <si>
    <t>YTD Calls Offer</t>
  </si>
  <si>
    <t>WoW % change (offer)</t>
  </si>
  <si>
    <t>FY23 Average Calls</t>
  </si>
  <si>
    <t>WoW % change offer</t>
  </si>
  <si>
    <t>WoW % change ans</t>
  </si>
  <si>
    <t>Change Percentage (Call Offered) Oulier Bool</t>
  </si>
  <si>
    <t>Change Percentage (Call Ans) Oulier Bool</t>
  </si>
  <si>
    <t>Winsorized Values - Offered</t>
  </si>
  <si>
    <t>Winsorized Values - Ans</t>
  </si>
  <si>
    <t>Quartile Stats</t>
  </si>
  <si>
    <t>IQR Calls Offered</t>
  </si>
  <si>
    <t>IQR Calls Ans</t>
  </si>
  <si>
    <t>Statistic</t>
  </si>
  <si>
    <t>Lower Bound</t>
  </si>
  <si>
    <t>Upper Bound</t>
  </si>
  <si>
    <t>Q1</t>
  </si>
  <si>
    <t>Calls Offered</t>
  </si>
  <si>
    <t>Q3</t>
  </si>
  <si>
    <t>IQR</t>
  </si>
  <si>
    <t>Descriptive Stats - Off</t>
  </si>
  <si>
    <t>Descriptive Stats - Ans</t>
  </si>
  <si>
    <t>Mean</t>
  </si>
  <si>
    <t>Median</t>
  </si>
  <si>
    <t>Mode</t>
  </si>
  <si>
    <t>Week Number</t>
  </si>
  <si>
    <t>Week number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</si>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</sst>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[mm]:ss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DE9D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6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16" fontId="0" fillId="8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5" borderId="1" xfId="1" applyFont="1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16" fontId="0" fillId="2" borderId="9" xfId="0" applyNumberFormat="1" applyFill="1" applyBorder="1"/>
    <xf numFmtId="16" fontId="0" fillId="2" borderId="1" xfId="0" applyNumberFormat="1" applyFill="1" applyBorder="1" applyAlignment="1">
      <alignment horizontal="center"/>
    </xf>
    <xf numFmtId="16" fontId="0" fillId="2" borderId="8" xfId="0" applyNumberFormat="1" applyFill="1" applyBorder="1"/>
    <xf numFmtId="0" fontId="0" fillId="10" borderId="1" xfId="0" applyFill="1" applyBorder="1"/>
    <xf numFmtId="10" fontId="0" fillId="8" borderId="1" xfId="0" applyNumberFormat="1" applyFill="1" applyBorder="1"/>
    <xf numFmtId="16" fontId="0" fillId="4" borderId="8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0" fontId="0" fillId="0" borderId="9" xfId="0" applyNumberFormat="1" applyBorder="1"/>
    <xf numFmtId="10" fontId="4" fillId="0" borderId="1" xfId="0" applyNumberFormat="1" applyFont="1" applyBorder="1"/>
    <xf numFmtId="10" fontId="0" fillId="0" borderId="1" xfId="1" applyNumberFormat="1" applyFont="1" applyFill="1" applyBorder="1"/>
    <xf numFmtId="16" fontId="0" fillId="2" borderId="9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8" borderId="9" xfId="0" applyNumberFormat="1" applyFill="1" applyBorder="1"/>
    <xf numFmtId="9" fontId="0" fillId="8" borderId="2" xfId="0" applyNumberFormat="1" applyFill="1" applyBorder="1"/>
    <xf numFmtId="9" fontId="0" fillId="8" borderId="1" xfId="1" applyFont="1" applyFill="1" applyBorder="1"/>
    <xf numFmtId="0" fontId="6" fillId="0" borderId="1" xfId="0" applyFont="1" applyBorder="1" applyAlignment="1">
      <alignment horizontal="center"/>
    </xf>
    <xf numFmtId="1" fontId="0" fillId="5" borderId="1" xfId="0" applyNumberFormat="1" applyFill="1" applyBorder="1"/>
    <xf numFmtId="16" fontId="0" fillId="13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10" fontId="0" fillId="12" borderId="1" xfId="0" applyNumberFormat="1" applyFill="1" applyBorder="1"/>
    <xf numFmtId="0" fontId="0" fillId="12" borderId="1" xfId="0" applyFill="1" applyBorder="1"/>
    <xf numFmtId="9" fontId="0" fillId="12" borderId="1" xfId="0" applyNumberFormat="1" applyFill="1" applyBorder="1"/>
    <xf numFmtId="9" fontId="0" fillId="12" borderId="1" xfId="0" applyNumberFormat="1" applyFill="1" applyBorder="1" applyAlignment="1">
      <alignment horizontal="right"/>
    </xf>
    <xf numFmtId="1" fontId="0" fillId="13" borderId="1" xfId="0" applyNumberFormat="1" applyFill="1" applyBorder="1"/>
    <xf numFmtId="0" fontId="0" fillId="12" borderId="0" xfId="0" applyFill="1"/>
    <xf numFmtId="1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1" fontId="0" fillId="0" borderId="9" xfId="0" applyNumberFormat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1" fontId="0" fillId="11" borderId="1" xfId="0" applyNumberFormat="1" applyFill="1" applyBorder="1"/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1" xfId="0" applyNumberFormat="1" applyFont="1" applyBorder="1"/>
    <xf numFmtId="10" fontId="7" fillId="0" borderId="9" xfId="1" applyNumberFormat="1" applyFont="1" applyBorder="1" applyAlignment="1"/>
    <xf numFmtId="1" fontId="0" fillId="8" borderId="1" xfId="0" applyNumberFormat="1" applyFill="1" applyBorder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4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10" fontId="0" fillId="2" borderId="1" xfId="1" applyNumberFormat="1" applyFont="1" applyFill="1" applyBorder="1"/>
    <xf numFmtId="9" fontId="0" fillId="0" borderId="14" xfId="0" applyNumberFormat="1" applyBorder="1"/>
    <xf numFmtId="16" fontId="0" fillId="2" borderId="1" xfId="0" applyNumberForma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8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0" fillId="9" borderId="0" xfId="0" applyFill="1"/>
    <xf numFmtId="0" fontId="11" fillId="15" borderId="15" xfId="0" applyFont="1" applyFill="1" applyBorder="1" applyAlignment="1">
      <alignment vertical="center"/>
    </xf>
    <xf numFmtId="0" fontId="11" fillId="15" borderId="16" xfId="0" applyFont="1" applyFill="1" applyBorder="1" applyAlignment="1">
      <alignment vertical="center"/>
    </xf>
    <xf numFmtId="0" fontId="12" fillId="16" borderId="17" xfId="0" applyFont="1" applyFill="1" applyBorder="1" applyAlignment="1">
      <alignment vertical="center"/>
    </xf>
    <xf numFmtId="0" fontId="12" fillId="16" borderId="18" xfId="0" applyFont="1" applyFill="1" applyBorder="1" applyAlignment="1">
      <alignment horizontal="right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horizontal="right" vertical="center"/>
    </xf>
    <xf numFmtId="164" fontId="0" fillId="0" borderId="0" xfId="0" applyNumberFormat="1"/>
    <xf numFmtId="10" fontId="6" fillId="0" borderId="1" xfId="0" applyNumberFormat="1" applyFont="1" applyBorder="1"/>
    <xf numFmtId="9" fontId="13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4" fillId="0" borderId="2" xfId="1" quotePrefix="1" applyFont="1" applyFill="1" applyBorder="1" applyAlignment="1">
      <alignment horizontal="right"/>
    </xf>
    <xf numFmtId="10" fontId="4" fillId="0" borderId="2" xfId="0" applyNumberFormat="1" applyFont="1" applyBorder="1"/>
    <xf numFmtId="9" fontId="13" fillId="0" borderId="2" xfId="1" quotePrefix="1" applyFont="1" applyFill="1" applyBorder="1" applyAlignment="1">
      <alignment horizontal="right"/>
    </xf>
    <xf numFmtId="9" fontId="0" fillId="0" borderId="0" xfId="1" applyFont="1"/>
    <xf numFmtId="0" fontId="0" fillId="0" borderId="1" xfId="0" quotePrefix="1" applyBorder="1" applyAlignment="1">
      <alignment horizontal="right"/>
    </xf>
    <xf numFmtId="0" fontId="0" fillId="7" borderId="1" xfId="0" applyFill="1" applyBorder="1"/>
    <xf numFmtId="0" fontId="2" fillId="0" borderId="1" xfId="0" applyFont="1" applyBorder="1"/>
    <xf numFmtId="9" fontId="2" fillId="0" borderId="1" xfId="0" applyNumberFormat="1" applyFont="1" applyBorder="1"/>
    <xf numFmtId="9" fontId="0" fillId="17" borderId="1" xfId="0" applyNumberFormat="1" applyFill="1" applyBorder="1"/>
    <xf numFmtId="9" fontId="0" fillId="18" borderId="1" xfId="0" applyNumberFormat="1" applyFill="1" applyBorder="1"/>
    <xf numFmtId="9" fontId="0" fillId="17" borderId="1" xfId="1" applyFont="1" applyFill="1" applyBorder="1"/>
    <xf numFmtId="9" fontId="0" fillId="18" borderId="1" xfId="1" applyFont="1" applyFill="1" applyBorder="1"/>
    <xf numFmtId="0" fontId="15" fillId="4" borderId="22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6" fontId="17" fillId="0" borderId="23" xfId="0" applyNumberFormat="1" applyFont="1" applyBorder="1" applyAlignment="1">
      <alignment horizontal="center" vertical="center"/>
    </xf>
    <xf numFmtId="0" fontId="15" fillId="20" borderId="22" xfId="0" applyFont="1" applyFill="1" applyBorder="1" applyAlignment="1">
      <alignment horizontal="center" vertical="center"/>
    </xf>
    <xf numFmtId="6" fontId="15" fillId="20" borderId="23" xfId="0" applyNumberFormat="1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9" fontId="15" fillId="0" borderId="23" xfId="0" applyNumberFormat="1" applyFont="1" applyBorder="1" applyAlignment="1">
      <alignment horizontal="center" vertical="center"/>
    </xf>
    <xf numFmtId="8" fontId="15" fillId="20" borderId="23" xfId="0" applyNumberFormat="1" applyFont="1" applyFill="1" applyBorder="1" applyAlignment="1">
      <alignment horizontal="center" vertical="center" wrapText="1"/>
    </xf>
    <xf numFmtId="10" fontId="13" fillId="0" borderId="2" xfId="1" applyNumberFormat="1" applyFont="1" applyBorder="1"/>
    <xf numFmtId="0" fontId="0" fillId="5" borderId="1" xfId="0" quotePrefix="1" applyFill="1" applyBorder="1"/>
    <xf numFmtId="16" fontId="0" fillId="0" borderId="1" xfId="0" applyNumberFormat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16" fontId="0" fillId="10" borderId="1" xfId="0" applyNumberFormat="1" applyFill="1" applyBorder="1" applyAlignment="1">
      <alignment horizontal="right"/>
    </xf>
    <xf numFmtId="16" fontId="0" fillId="8" borderId="1" xfId="0" applyNumberFormat="1" applyFill="1" applyBorder="1" applyAlignment="1">
      <alignment horizontal="right"/>
    </xf>
    <xf numFmtId="16" fontId="0" fillId="12" borderId="1" xfId="0" applyNumberFormat="1" applyFill="1" applyBorder="1" applyAlignment="1">
      <alignment horizontal="right"/>
    </xf>
    <xf numFmtId="0" fontId="0" fillId="5" borderId="1" xfId="0" applyFont="1" applyFill="1" applyBorder="1"/>
    <xf numFmtId="1" fontId="7" fillId="5" borderId="1" xfId="0" applyNumberFormat="1" applyFont="1" applyFill="1" applyBorder="1"/>
    <xf numFmtId="0" fontId="0" fillId="3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0" fontId="5" fillId="6" borderId="1" xfId="0" applyFont="1" applyFill="1" applyBorder="1"/>
    <xf numFmtId="0" fontId="0" fillId="3" borderId="4" xfId="0" applyFont="1" applyFill="1" applyBorder="1" applyAlignment="1">
      <alignment horizontal="center"/>
    </xf>
    <xf numFmtId="1" fontId="0" fillId="5" borderId="1" xfId="0" applyNumberFormat="1" applyFont="1" applyFill="1" applyBorder="1"/>
    <xf numFmtId="1" fontId="0" fillId="5" borderId="24" xfId="0" applyNumberFormat="1" applyFont="1" applyFill="1" applyBorder="1"/>
    <xf numFmtId="1" fontId="7" fillId="0" borderId="2" xfId="0" applyNumberFormat="1" applyFont="1" applyBorder="1"/>
    <xf numFmtId="0" fontId="0" fillId="2" borderId="1" xfId="0" quotePrefix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10" fontId="7" fillId="4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0" fillId="0" borderId="7" xfId="0" applyNumberFormat="1" applyBorder="1"/>
    <xf numFmtId="0" fontId="0" fillId="0" borderId="1" xfId="0" applyNumberFormat="1" applyBorder="1"/>
    <xf numFmtId="1" fontId="0" fillId="5" borderId="6" xfId="0" applyNumberFormat="1" applyFill="1" applyBorder="1"/>
    <xf numFmtId="1" fontId="0" fillId="2" borderId="1" xfId="0" applyNumberFormat="1" applyFill="1" applyBorder="1"/>
    <xf numFmtId="0" fontId="0" fillId="5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8" borderId="1" xfId="0" quotePrefix="1" applyFill="1" applyBorder="1" applyAlignment="1">
      <alignment horizontal="right"/>
    </xf>
    <xf numFmtId="0" fontId="0" fillId="0" borderId="9" xfId="0" quotePrefix="1" applyBorder="1" applyAlignment="1">
      <alignment horizontal="right"/>
    </xf>
    <xf numFmtId="1" fontId="0" fillId="8" borderId="6" xfId="0" applyNumberFormat="1" applyFill="1" applyBorder="1"/>
    <xf numFmtId="1" fontId="4" fillId="0" borderId="1" xfId="0" applyNumberFormat="1" applyFont="1" applyBorder="1"/>
    <xf numFmtId="1" fontId="0" fillId="0" borderId="1" xfId="0" quotePrefix="1" applyNumberFormat="1" applyBorder="1" applyAlignment="1">
      <alignment horizontal="center"/>
    </xf>
    <xf numFmtId="0" fontId="0" fillId="0" borderId="6" xfId="2" applyNumberFormat="1" applyFont="1" applyBorder="1"/>
    <xf numFmtId="0" fontId="0" fillId="5" borderId="7" xfId="2" applyNumberFormat="1" applyFont="1" applyFill="1" applyBorder="1"/>
    <xf numFmtId="0" fontId="0" fillId="5" borderId="1" xfId="0" applyNumberFormat="1" applyFill="1" applyBorder="1"/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8" borderId="1" xfId="0" applyNumberFormat="1" applyFill="1" applyBorder="1"/>
    <xf numFmtId="0" fontId="0" fillId="0" borderId="1" xfId="0" quotePrefix="1" applyNumberFormat="1" applyBorder="1" applyAlignment="1">
      <alignment horizontal="right"/>
    </xf>
    <xf numFmtId="0" fontId="0" fillId="8" borderId="2" xfId="0" applyNumberFormat="1" applyFill="1" applyBorder="1"/>
    <xf numFmtId="1" fontId="0" fillId="0" borderId="0" xfId="0" applyNumberFormat="1" applyBorder="1"/>
    <xf numFmtId="2" fontId="5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2" fontId="0" fillId="0" borderId="0" xfId="0" applyNumberFormat="1" applyFill="1" applyBorder="1"/>
    <xf numFmtId="2" fontId="5" fillId="6" borderId="7" xfId="0" applyNumberFormat="1" applyFont="1" applyFill="1" applyBorder="1" applyAlignment="1">
      <alignment horizontal="center"/>
    </xf>
    <xf numFmtId="1" fontId="0" fillId="0" borderId="7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1" fontId="0" fillId="8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  <xf numFmtId="1" fontId="0" fillId="0" borderId="1" xfId="0" applyNumberFormat="1" applyFill="1" applyBorder="1"/>
    <xf numFmtId="2" fontId="0" fillId="0" borderId="1" xfId="0" applyNumberFormat="1" applyFill="1" applyBorder="1"/>
    <xf numFmtId="2" fontId="0" fillId="0" borderId="0" xfId="1" applyNumberFormat="1" applyFont="1" applyFill="1" applyBorder="1"/>
    <xf numFmtId="10" fontId="19" fillId="0" borderId="1" xfId="1" applyNumberFormat="1" applyFont="1" applyBorder="1"/>
    <xf numFmtId="0" fontId="0" fillId="0" borderId="0" xfId="0" applyBorder="1"/>
    <xf numFmtId="0" fontId="0" fillId="8" borderId="0" xfId="0" applyFill="1" applyBorder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6" fontId="0" fillId="0" borderId="1" xfId="0" applyNumberFormat="1" applyFill="1" applyBorder="1"/>
    <xf numFmtId="2" fontId="0" fillId="0" borderId="6" xfId="0" applyNumberFormat="1" applyFont="1" applyFill="1" applyBorder="1"/>
    <xf numFmtId="9" fontId="0" fillId="0" borderId="6" xfId="0" applyNumberFormat="1" applyFont="1" applyFill="1" applyBorder="1"/>
    <xf numFmtId="2" fontId="0" fillId="0" borderId="1" xfId="0" applyNumberFormat="1" applyFont="1" applyFill="1" applyBorder="1"/>
    <xf numFmtId="2" fontId="0" fillId="0" borderId="9" xfId="0" applyNumberFormat="1" applyFont="1" applyFill="1" applyBorder="1"/>
    <xf numFmtId="0" fontId="0" fillId="0" borderId="0" xfId="0" applyFill="1" applyBorder="1" applyAlignment="1">
      <alignment horizontal="center"/>
    </xf>
    <xf numFmtId="10" fontId="19" fillId="0" borderId="0" xfId="1" applyNumberFormat="1" applyFont="1" applyFill="1" applyBorder="1"/>
    <xf numFmtId="10" fontId="0" fillId="0" borderId="0" xfId="1" applyNumberFormat="1" applyFont="1" applyFill="1" applyBorder="1"/>
    <xf numFmtId="10" fontId="0" fillId="0" borderId="6" xfId="0" applyNumberFormat="1" applyFont="1" applyFill="1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10" fontId="0" fillId="0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0" xfId="2" applyNumberFormat="1" applyFont="1" applyBorder="1"/>
    <xf numFmtId="2" fontId="0" fillId="0" borderId="0" xfId="1" applyNumberFormat="1" applyFont="1" applyBorder="1"/>
    <xf numFmtId="0" fontId="0" fillId="8" borderId="0" xfId="2" applyNumberFormat="1" applyFont="1" applyFill="1" applyBorder="1"/>
    <xf numFmtId="1" fontId="0" fillId="0" borderId="0" xfId="1" applyNumberFormat="1" applyFont="1" applyBorder="1"/>
    <xf numFmtId="1" fontId="0" fillId="0" borderId="0" xfId="2" applyNumberFormat="1" applyFont="1" applyBorder="1"/>
    <xf numFmtId="0" fontId="0" fillId="0" borderId="0" xfId="1" applyNumberFormat="1" applyFont="1" applyBorder="1"/>
    <xf numFmtId="0" fontId="0" fillId="8" borderId="0" xfId="1" applyNumberFormat="1" applyFont="1" applyFill="1" applyBorder="1"/>
    <xf numFmtId="2" fontId="0" fillId="2" borderId="0" xfId="1" applyNumberFormat="1" applyFont="1" applyFill="1" applyBorder="1"/>
    <xf numFmtId="2" fontId="0" fillId="8" borderId="0" xfId="1" applyNumberFormat="1" applyFont="1" applyFill="1" applyBorder="1"/>
    <xf numFmtId="16" fontId="0" fillId="0" borderId="4" xfId="0" applyNumberFormat="1" applyFill="1" applyBorder="1"/>
    <xf numFmtId="10" fontId="0" fillId="0" borderId="1" xfId="0" applyNumberFormat="1" applyFill="1" applyBorder="1"/>
    <xf numFmtId="9" fontId="0" fillId="0" borderId="2" xfId="1" applyFont="1" applyFill="1" applyBorder="1"/>
    <xf numFmtId="0" fontId="0" fillId="0" borderId="2" xfId="2" applyNumberFormat="1" applyFont="1" applyFill="1" applyBorder="1"/>
    <xf numFmtId="0" fontId="0" fillId="0" borderId="1" xfId="2" applyNumberFormat="1" applyFont="1" applyFill="1" applyBorder="1"/>
    <xf numFmtId="2" fontId="0" fillId="0" borderId="1" xfId="1" applyNumberFormat="1" applyFont="1" applyFill="1" applyBorder="1"/>
    <xf numFmtId="16" fontId="0" fillId="0" borderId="8" xfId="0" applyNumberFormat="1" applyFill="1" applyBorder="1"/>
    <xf numFmtId="16" fontId="0" fillId="0" borderId="9" xfId="0" applyNumberFormat="1" applyFill="1" applyBorder="1" applyAlignment="1">
      <alignment horizontal="center"/>
    </xf>
    <xf numFmtId="0" fontId="0" fillId="0" borderId="9" xfId="0" applyFill="1" applyBorder="1"/>
    <xf numFmtId="10" fontId="0" fillId="0" borderId="9" xfId="0" applyNumberFormat="1" applyFill="1" applyBorder="1"/>
    <xf numFmtId="9" fontId="0" fillId="0" borderId="9" xfId="1" applyFont="1" applyFill="1" applyBorder="1"/>
    <xf numFmtId="9" fontId="0" fillId="0" borderId="14" xfId="1" applyFont="1" applyFill="1" applyBorder="1"/>
    <xf numFmtId="0" fontId="0" fillId="0" borderId="14" xfId="2" applyNumberFormat="1" applyFont="1" applyFill="1" applyBorder="1"/>
    <xf numFmtId="16" fontId="0" fillId="0" borderId="8" xfId="0" applyNumberFormat="1" applyFill="1" applyBorder="1" applyAlignment="1">
      <alignment horizontal="center"/>
    </xf>
    <xf numFmtId="0" fontId="0" fillId="0" borderId="9" xfId="2" applyNumberFormat="1" applyFont="1" applyFill="1" applyBorder="1"/>
    <xf numFmtId="1" fontId="0" fillId="0" borderId="1" xfId="1" applyNumberFormat="1" applyFont="1" applyFill="1" applyBorder="1"/>
    <xf numFmtId="1" fontId="0" fillId="0" borderId="1" xfId="2" applyNumberFormat="1" applyFont="1" applyFill="1" applyBorder="1"/>
    <xf numFmtId="0" fontId="0" fillId="0" borderId="1" xfId="1" applyNumberFormat="1" applyFont="1" applyFill="1" applyBorder="1"/>
    <xf numFmtId="0" fontId="0" fillId="0" borderId="9" xfId="1" applyNumberFormat="1" applyFont="1" applyFill="1" applyBorder="1"/>
    <xf numFmtId="0" fontId="0" fillId="0" borderId="2" xfId="1" applyNumberFormat="1" applyFont="1" applyFill="1" applyBorder="1"/>
    <xf numFmtId="164" fontId="0" fillId="0" borderId="2" xfId="1" applyNumberFormat="1" applyFont="1" applyFill="1" applyBorder="1"/>
    <xf numFmtId="0" fontId="5" fillId="6" borderId="0" xfId="0" applyFont="1" applyFill="1" applyBorder="1"/>
    <xf numFmtId="1" fontId="0" fillId="2" borderId="9" xfId="0" applyNumberFormat="1" applyFill="1" applyBorder="1"/>
    <xf numFmtId="1" fontId="0" fillId="8" borderId="9" xfId="0" applyNumberFormat="1" applyFill="1" applyBorder="1"/>
    <xf numFmtId="1" fontId="0" fillId="0" borderId="8" xfId="0" applyNumberFormat="1" applyBorder="1"/>
    <xf numFmtId="1" fontId="0" fillId="0" borderId="4" xfId="0" applyNumberFormat="1" applyBorder="1"/>
    <xf numFmtId="1" fontId="0" fillId="4" borderId="8" xfId="0" applyNumberFormat="1" applyFill="1" applyBorder="1"/>
    <xf numFmtId="1" fontId="0" fillId="2" borderId="8" xfId="0" applyNumberFormat="1" applyFill="1" applyBorder="1"/>
    <xf numFmtId="1" fontId="0" fillId="0" borderId="1" xfId="0" applyNumberFormat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10" borderId="1" xfId="0" applyNumberFormat="1" applyFill="1" applyBorder="1" applyAlignment="1">
      <alignment horizontal="right"/>
    </xf>
    <xf numFmtId="1" fontId="0" fillId="8" borderId="1" xfId="0" applyNumberFormat="1" applyFill="1" applyBorder="1" applyAlignment="1">
      <alignment horizontal="right"/>
    </xf>
    <xf numFmtId="1" fontId="0" fillId="12" borderId="1" xfId="0" applyNumberFormat="1" applyFill="1" applyBorder="1" applyAlignment="1">
      <alignment horizontal="right"/>
    </xf>
    <xf numFmtId="1" fontId="0" fillId="0" borderId="4" xfId="0" applyNumberFormat="1" applyFill="1" applyBorder="1"/>
    <xf numFmtId="1" fontId="0" fillId="0" borderId="8" xfId="0" applyNumberFormat="1" applyFill="1" applyBorder="1"/>
    <xf numFmtId="0" fontId="0" fillId="0" borderId="9" xfId="0" applyNumberFormat="1" applyBorder="1"/>
    <xf numFmtId="0" fontId="0" fillId="0" borderId="14" xfId="0" applyNumberFormat="1" applyBorder="1"/>
    <xf numFmtId="9" fontId="7" fillId="4" borderId="1" xfId="1" applyFont="1" applyFill="1" applyBorder="1" applyAlignment="1">
      <alignment horizontal="right"/>
    </xf>
    <xf numFmtId="9" fontId="0" fillId="0" borderId="1" xfId="1" applyFont="1" applyBorder="1" applyAlignment="1">
      <alignment horizontal="right"/>
    </xf>
    <xf numFmtId="9" fontId="4" fillId="0" borderId="1" xfId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19" borderId="19" xfId="0" applyFont="1" applyFill="1" applyBorder="1" applyAlignment="1">
      <alignment horizontal="center" vertical="center"/>
    </xf>
    <xf numFmtId="0" fontId="14" fillId="19" borderId="20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33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Monthly'!chart_calls_off_GUY</c:f>
              <c:numCache>
                <c:formatCode>General</c:formatCode>
                <c:ptCount val="31"/>
                <c:pt idx="0">
                  <c:v>213</c:v>
                </c:pt>
                <c:pt idx="1">
                  <c:v>232</c:v>
                </c:pt>
                <c:pt idx="2">
                  <c:v>208</c:v>
                </c:pt>
                <c:pt idx="3">
                  <c:v>140</c:v>
                </c:pt>
                <c:pt idx="4">
                  <c:v>0</c:v>
                </c:pt>
                <c:pt idx="5">
                  <c:v>249</c:v>
                </c:pt>
                <c:pt idx="6">
                  <c:v>0</c:v>
                </c:pt>
                <c:pt idx="7">
                  <c:v>241</c:v>
                </c:pt>
                <c:pt idx="8">
                  <c:v>255</c:v>
                </c:pt>
                <c:pt idx="9">
                  <c:v>189</c:v>
                </c:pt>
                <c:pt idx="10">
                  <c:v>193</c:v>
                </c:pt>
                <c:pt idx="11">
                  <c:v>0</c:v>
                </c:pt>
                <c:pt idx="12">
                  <c:v>304</c:v>
                </c:pt>
                <c:pt idx="13">
                  <c:v>200</c:v>
                </c:pt>
                <c:pt idx="14">
                  <c:v>206</c:v>
                </c:pt>
                <c:pt idx="15">
                  <c:v>178</c:v>
                </c:pt>
                <c:pt idx="16">
                  <c:v>180</c:v>
                </c:pt>
                <c:pt idx="17">
                  <c:v>117</c:v>
                </c:pt>
                <c:pt idx="18">
                  <c:v>0</c:v>
                </c:pt>
                <c:pt idx="19">
                  <c:v>227</c:v>
                </c:pt>
                <c:pt idx="20">
                  <c:v>192</c:v>
                </c:pt>
                <c:pt idx="21">
                  <c:v>180</c:v>
                </c:pt>
                <c:pt idx="22">
                  <c:v>213</c:v>
                </c:pt>
                <c:pt idx="23">
                  <c:v>219</c:v>
                </c:pt>
                <c:pt idx="24">
                  <c:v>140</c:v>
                </c:pt>
                <c:pt idx="25">
                  <c:v>0</c:v>
                </c:pt>
                <c:pt idx="26">
                  <c:v>261</c:v>
                </c:pt>
                <c:pt idx="27">
                  <c:v>267</c:v>
                </c:pt>
                <c:pt idx="28">
                  <c:v>211</c:v>
                </c:pt>
                <c:pt idx="29">
                  <c:v>230</c:v>
                </c:pt>
                <c:pt idx="3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1-4E0D-8B41-CAA28E17FCE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Monthly'!chart_calls_ans_GUY</c:f>
              <c:numCache>
                <c:formatCode>General</c:formatCode>
                <c:ptCount val="31"/>
                <c:pt idx="0">
                  <c:v>210</c:v>
                </c:pt>
                <c:pt idx="1">
                  <c:v>221</c:v>
                </c:pt>
                <c:pt idx="2">
                  <c:v>204</c:v>
                </c:pt>
                <c:pt idx="3">
                  <c:v>133</c:v>
                </c:pt>
                <c:pt idx="4">
                  <c:v>0</c:v>
                </c:pt>
                <c:pt idx="5">
                  <c:v>243</c:v>
                </c:pt>
                <c:pt idx="6">
                  <c:v>0</c:v>
                </c:pt>
                <c:pt idx="7">
                  <c:v>229</c:v>
                </c:pt>
                <c:pt idx="8">
                  <c:v>251</c:v>
                </c:pt>
                <c:pt idx="9">
                  <c:v>181</c:v>
                </c:pt>
                <c:pt idx="10">
                  <c:v>192</c:v>
                </c:pt>
                <c:pt idx="11">
                  <c:v>0</c:v>
                </c:pt>
                <c:pt idx="12">
                  <c:v>289</c:v>
                </c:pt>
                <c:pt idx="13">
                  <c:v>195</c:v>
                </c:pt>
                <c:pt idx="14">
                  <c:v>191</c:v>
                </c:pt>
                <c:pt idx="15">
                  <c:v>169</c:v>
                </c:pt>
                <c:pt idx="16">
                  <c:v>175</c:v>
                </c:pt>
                <c:pt idx="17">
                  <c:v>116</c:v>
                </c:pt>
                <c:pt idx="18">
                  <c:v>0</c:v>
                </c:pt>
                <c:pt idx="19">
                  <c:v>221</c:v>
                </c:pt>
                <c:pt idx="20">
                  <c:v>185</c:v>
                </c:pt>
                <c:pt idx="21">
                  <c:v>178</c:v>
                </c:pt>
                <c:pt idx="22">
                  <c:v>202</c:v>
                </c:pt>
                <c:pt idx="23">
                  <c:v>208</c:v>
                </c:pt>
                <c:pt idx="24">
                  <c:v>138</c:v>
                </c:pt>
                <c:pt idx="25">
                  <c:v>0</c:v>
                </c:pt>
                <c:pt idx="26">
                  <c:v>252</c:v>
                </c:pt>
                <c:pt idx="27">
                  <c:v>264</c:v>
                </c:pt>
                <c:pt idx="28">
                  <c:v>200</c:v>
                </c:pt>
                <c:pt idx="29">
                  <c:v>219</c:v>
                </c:pt>
                <c:pt idx="30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1-4E0D-8B41-CAA28E17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70960"/>
        <c:axId val="9860976"/>
      </c:barChart>
      <c:dateAx>
        <c:axId val="987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976"/>
        <c:crosses val="autoZero"/>
        <c:auto val="1"/>
        <c:lblOffset val="100"/>
        <c:baseTimeUnit val="days"/>
      </c:dateAx>
      <c:valAx>
        <c:axId val="98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%WoW calls Off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Monthly'!chart_WoW_off_GUY_percent</c:f>
              <c:numCache>
                <c:formatCode>0.00%</c:formatCode>
                <c:ptCount val="31"/>
                <c:pt idx="0">
                  <c:v>-0.27303754266211605</c:v>
                </c:pt>
                <c:pt idx="1">
                  <c:v>0</c:v>
                </c:pt>
                <c:pt idx="2">
                  <c:v>-0.12236286919831224</c:v>
                </c:pt>
                <c:pt idx="3">
                  <c:v>-7.8947368421052627E-2</c:v>
                </c:pt>
                <c:pt idx="4" formatCode="General">
                  <c:v>0</c:v>
                </c:pt>
                <c:pt idx="5">
                  <c:v>-0.14726027397260275</c:v>
                </c:pt>
                <c:pt idx="6">
                  <c:v>0</c:v>
                </c:pt>
                <c:pt idx="7">
                  <c:v>0.13145539906103287</c:v>
                </c:pt>
                <c:pt idx="8">
                  <c:v>9.9137931034482762E-2</c:v>
                </c:pt>
                <c:pt idx="9">
                  <c:v>-9.1346153846153841E-2</c:v>
                </c:pt>
                <c:pt idx="10">
                  <c:v>0.37857142857142856</c:v>
                </c:pt>
                <c:pt idx="11" formatCode="General">
                  <c:v>0</c:v>
                </c:pt>
                <c:pt idx="12">
                  <c:v>0.22088353413654618</c:v>
                </c:pt>
                <c:pt idx="13">
                  <c:v>0</c:v>
                </c:pt>
                <c:pt idx="14">
                  <c:v>-0.14522821576763487</c:v>
                </c:pt>
                <c:pt idx="15">
                  <c:v>-0.30196078431372547</c:v>
                </c:pt>
                <c:pt idx="16">
                  <c:v>-4.7619047619047616E-2</c:v>
                </c:pt>
                <c:pt idx="17">
                  <c:v>-0.39378238341968913</c:v>
                </c:pt>
                <c:pt idx="18" formatCode="General">
                  <c:v>0</c:v>
                </c:pt>
                <c:pt idx="19">
                  <c:v>-0.25328947368421051</c:v>
                </c:pt>
                <c:pt idx="20">
                  <c:v>-0.04</c:v>
                </c:pt>
                <c:pt idx="21">
                  <c:v>-0.12621359223300971</c:v>
                </c:pt>
                <c:pt idx="22">
                  <c:v>0.19662921348314608</c:v>
                </c:pt>
                <c:pt idx="23">
                  <c:v>0.21666666666666667</c:v>
                </c:pt>
                <c:pt idx="24">
                  <c:v>0.19658119658119658</c:v>
                </c:pt>
                <c:pt idx="25" formatCode="General">
                  <c:v>0</c:v>
                </c:pt>
                <c:pt idx="26">
                  <c:v>0.14977973568281938</c:v>
                </c:pt>
                <c:pt idx="27">
                  <c:v>0.390625</c:v>
                </c:pt>
                <c:pt idx="28">
                  <c:v>0.17222222222222222</c:v>
                </c:pt>
                <c:pt idx="29">
                  <c:v>7.9812206572769953E-2</c:v>
                </c:pt>
                <c:pt idx="30">
                  <c:v>4.5662100456621002E-2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C0-446F-BA02-6BA31256E86C}"/>
            </c:ext>
          </c:extLst>
        </c:ser>
        <c:ser>
          <c:idx val="0"/>
          <c:order val="1"/>
          <c:tx>
            <c:v>%WoW calls Ans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Monthly'!chart_WoW_ans_GUY_percent</c:f>
              <c:numCache>
                <c:formatCode>0.00%</c:formatCode>
                <c:ptCount val="31"/>
                <c:pt idx="0">
                  <c:v>-0.21933085501858737</c:v>
                </c:pt>
                <c:pt idx="1">
                  <c:v>0</c:v>
                </c:pt>
                <c:pt idx="2">
                  <c:v>-9.7345132743362831E-2</c:v>
                </c:pt>
                <c:pt idx="3">
                  <c:v>-3.6231884057971016E-2</c:v>
                </c:pt>
                <c:pt idx="4" formatCode="General">
                  <c:v>0</c:v>
                </c:pt>
                <c:pt idx="5">
                  <c:v>-0.14436619718309859</c:v>
                </c:pt>
                <c:pt idx="6">
                  <c:v>0</c:v>
                </c:pt>
                <c:pt idx="7">
                  <c:v>9.0476190476190474E-2</c:v>
                </c:pt>
                <c:pt idx="8">
                  <c:v>0.13574660633484162</c:v>
                </c:pt>
                <c:pt idx="9">
                  <c:v>-0.11274509803921569</c:v>
                </c:pt>
                <c:pt idx="10">
                  <c:v>0.44360902255639095</c:v>
                </c:pt>
                <c:pt idx="11" formatCode="General">
                  <c:v>0</c:v>
                </c:pt>
                <c:pt idx="12">
                  <c:v>0.18930041152263374</c:v>
                </c:pt>
                <c:pt idx="13">
                  <c:v>0</c:v>
                </c:pt>
                <c:pt idx="14">
                  <c:v>-0.16593886462882096</c:v>
                </c:pt>
                <c:pt idx="15">
                  <c:v>-0.32669322709163345</c:v>
                </c:pt>
                <c:pt idx="16">
                  <c:v>-3.3149171270718231E-2</c:v>
                </c:pt>
                <c:pt idx="17">
                  <c:v>-0.39583333333333331</c:v>
                </c:pt>
                <c:pt idx="18" formatCode="General">
                  <c:v>0</c:v>
                </c:pt>
                <c:pt idx="19">
                  <c:v>-0.23529411764705882</c:v>
                </c:pt>
                <c:pt idx="20">
                  <c:v>-5.128205128205128E-2</c:v>
                </c:pt>
                <c:pt idx="21">
                  <c:v>-6.8062827225130892E-2</c:v>
                </c:pt>
                <c:pt idx="22">
                  <c:v>0.19526627218934911</c:v>
                </c:pt>
                <c:pt idx="23">
                  <c:v>0.18857142857142858</c:v>
                </c:pt>
                <c:pt idx="24">
                  <c:v>0.18965517241379309</c:v>
                </c:pt>
                <c:pt idx="25" formatCode="General">
                  <c:v>0</c:v>
                </c:pt>
                <c:pt idx="26">
                  <c:v>0.14027149321266968</c:v>
                </c:pt>
                <c:pt idx="27">
                  <c:v>0.42702702702702705</c:v>
                </c:pt>
                <c:pt idx="28">
                  <c:v>0.12359550561797752</c:v>
                </c:pt>
                <c:pt idx="29">
                  <c:v>8.4158415841584164E-2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2-462F-A7C6-6CBAB6532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9568"/>
        <c:axId val="148949984"/>
      </c:barChart>
      <c:dateAx>
        <c:axId val="1489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984"/>
        <c:crosses val="autoZero"/>
        <c:auto val="1"/>
        <c:lblOffset val="100"/>
        <c:baseTimeUnit val="days"/>
      </c:dateAx>
      <c:valAx>
        <c:axId val="1489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GUY</a:t>
            </a:r>
            <a:endParaRPr lang="en-JM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Monthly'!chart_AU_GUY</c:f>
              <c:numCache>
                <c:formatCode>0%</c:formatCode>
                <c:ptCount val="31"/>
                <c:pt idx="0">
                  <c:v>0.66</c:v>
                </c:pt>
                <c:pt idx="1">
                  <c:v>0.7</c:v>
                </c:pt>
                <c:pt idx="2">
                  <c:v>0.68</c:v>
                </c:pt>
                <c:pt idx="3">
                  <c:v>0.62</c:v>
                </c:pt>
                <c:pt idx="4">
                  <c:v>0</c:v>
                </c:pt>
                <c:pt idx="5">
                  <c:v>0.75</c:v>
                </c:pt>
                <c:pt idx="6">
                  <c:v>0</c:v>
                </c:pt>
                <c:pt idx="7">
                  <c:v>0.67</c:v>
                </c:pt>
                <c:pt idx="8">
                  <c:v>0.67</c:v>
                </c:pt>
                <c:pt idx="9">
                  <c:v>0.75</c:v>
                </c:pt>
                <c:pt idx="10">
                  <c:v>0.68</c:v>
                </c:pt>
                <c:pt idx="11">
                  <c:v>0</c:v>
                </c:pt>
                <c:pt idx="12">
                  <c:v>0.79</c:v>
                </c:pt>
                <c:pt idx="13">
                  <c:v>0.67</c:v>
                </c:pt>
                <c:pt idx="14">
                  <c:v>0.67</c:v>
                </c:pt>
                <c:pt idx="15">
                  <c:v>0.77</c:v>
                </c:pt>
                <c:pt idx="16">
                  <c:v>0.66</c:v>
                </c:pt>
                <c:pt idx="17">
                  <c:v>0.99</c:v>
                </c:pt>
                <c:pt idx="18">
                  <c:v>0</c:v>
                </c:pt>
                <c:pt idx="19">
                  <c:v>0.88</c:v>
                </c:pt>
                <c:pt idx="20">
                  <c:v>0.64</c:v>
                </c:pt>
                <c:pt idx="21">
                  <c:v>0.69</c:v>
                </c:pt>
                <c:pt idx="22">
                  <c:v>0.66</c:v>
                </c:pt>
                <c:pt idx="23">
                  <c:v>0.92</c:v>
                </c:pt>
                <c:pt idx="24">
                  <c:v>0.62</c:v>
                </c:pt>
                <c:pt idx="25">
                  <c:v>0</c:v>
                </c:pt>
                <c:pt idx="26">
                  <c:v>0.74</c:v>
                </c:pt>
                <c:pt idx="27">
                  <c:v>0.76</c:v>
                </c:pt>
                <c:pt idx="28">
                  <c:v>0.67</c:v>
                </c:pt>
                <c:pt idx="29">
                  <c:v>0.71</c:v>
                </c:pt>
                <c:pt idx="30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8252832"/>
        <c:axId val="63825324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Monthly'!chart_SL_GUY</c:f>
              <c:numCache>
                <c:formatCode>0%</c:formatCode>
                <c:ptCount val="31"/>
                <c:pt idx="0">
                  <c:v>0.96</c:v>
                </c:pt>
                <c:pt idx="1">
                  <c:v>0.86</c:v>
                </c:pt>
                <c:pt idx="2">
                  <c:v>0.95</c:v>
                </c:pt>
                <c:pt idx="3">
                  <c:v>0.83</c:v>
                </c:pt>
                <c:pt idx="4">
                  <c:v>0</c:v>
                </c:pt>
                <c:pt idx="5">
                  <c:v>0.92</c:v>
                </c:pt>
                <c:pt idx="6">
                  <c:v>0</c:v>
                </c:pt>
                <c:pt idx="7">
                  <c:v>0.88</c:v>
                </c:pt>
                <c:pt idx="8">
                  <c:v>0.88</c:v>
                </c:pt>
                <c:pt idx="9">
                  <c:v>0.9</c:v>
                </c:pt>
                <c:pt idx="10">
                  <c:v>0.95</c:v>
                </c:pt>
                <c:pt idx="11">
                  <c:v>0</c:v>
                </c:pt>
                <c:pt idx="12">
                  <c:v>0.86</c:v>
                </c:pt>
                <c:pt idx="13">
                  <c:v>0.9</c:v>
                </c:pt>
                <c:pt idx="14">
                  <c:v>0.81</c:v>
                </c:pt>
                <c:pt idx="15">
                  <c:v>0.94</c:v>
                </c:pt>
                <c:pt idx="16">
                  <c:v>0.89</c:v>
                </c:pt>
                <c:pt idx="17">
                  <c:v>0.99</c:v>
                </c:pt>
                <c:pt idx="18">
                  <c:v>0</c:v>
                </c:pt>
                <c:pt idx="19">
                  <c:v>0.9</c:v>
                </c:pt>
                <c:pt idx="20">
                  <c:v>0.93</c:v>
                </c:pt>
                <c:pt idx="21">
                  <c:v>0.89</c:v>
                </c:pt>
                <c:pt idx="22">
                  <c:v>0.83</c:v>
                </c:pt>
                <c:pt idx="23">
                  <c:v>0.81</c:v>
                </c:pt>
                <c:pt idx="24">
                  <c:v>0.98</c:v>
                </c:pt>
                <c:pt idx="25">
                  <c:v>0</c:v>
                </c:pt>
                <c:pt idx="26">
                  <c:v>0.9</c:v>
                </c:pt>
                <c:pt idx="27">
                  <c:v>0.94</c:v>
                </c:pt>
                <c:pt idx="28">
                  <c:v>0.86</c:v>
                </c:pt>
                <c:pt idx="29">
                  <c:v>0.88</c:v>
                </c:pt>
                <c:pt idx="30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8-4BB0-BD45-312DFD54816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Monthly'!chart_ABR_GUY</c:f>
              <c:numCache>
                <c:formatCode>0%</c:formatCode>
                <c:ptCount val="31"/>
                <c:pt idx="0">
                  <c:v>0.01</c:v>
                </c:pt>
                <c:pt idx="1">
                  <c:v>0.05</c:v>
                </c:pt>
                <c:pt idx="2">
                  <c:v>0.02</c:v>
                </c:pt>
                <c:pt idx="3">
                  <c:v>0.05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0.05</c:v>
                </c:pt>
                <c:pt idx="8">
                  <c:v>0.02</c:v>
                </c:pt>
                <c:pt idx="9">
                  <c:v>0.04</c:v>
                </c:pt>
                <c:pt idx="10">
                  <c:v>0.01</c:v>
                </c:pt>
                <c:pt idx="11">
                  <c:v>0</c:v>
                </c:pt>
                <c:pt idx="12">
                  <c:v>0.05</c:v>
                </c:pt>
                <c:pt idx="13">
                  <c:v>0.03</c:v>
                </c:pt>
                <c:pt idx="14">
                  <c:v>7.2800000000000004E-2</c:v>
                </c:pt>
                <c:pt idx="15">
                  <c:v>0.05</c:v>
                </c:pt>
                <c:pt idx="16">
                  <c:v>0.03</c:v>
                </c:pt>
                <c:pt idx="17">
                  <c:v>0.99</c:v>
                </c:pt>
                <c:pt idx="18">
                  <c:v>0</c:v>
                </c:pt>
                <c:pt idx="19">
                  <c:v>0.03</c:v>
                </c:pt>
                <c:pt idx="20">
                  <c:v>0.04</c:v>
                </c:pt>
                <c:pt idx="21">
                  <c:v>0.01</c:v>
                </c:pt>
                <c:pt idx="22">
                  <c:v>0.05</c:v>
                </c:pt>
                <c:pt idx="23">
                  <c:v>0.05</c:v>
                </c:pt>
                <c:pt idx="24">
                  <c:v>0.01</c:v>
                </c:pt>
                <c:pt idx="25">
                  <c:v>0</c:v>
                </c:pt>
                <c:pt idx="26">
                  <c:v>0.03</c:v>
                </c:pt>
                <c:pt idx="27">
                  <c:v>0.01</c:v>
                </c:pt>
                <c:pt idx="28">
                  <c:v>0.05</c:v>
                </c:pt>
                <c:pt idx="29">
                  <c:v>0.05</c:v>
                </c:pt>
                <c:pt idx="30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252832"/>
        <c:axId val="638253248"/>
      </c:lineChart>
      <c:dateAx>
        <c:axId val="63825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3248"/>
        <c:crosses val="autoZero"/>
        <c:auto val="1"/>
        <c:lblOffset val="100"/>
        <c:baseTimeUnit val="days"/>
      </c:dateAx>
      <c:valAx>
        <c:axId val="6382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</a:t>
                </a:r>
                <a:r>
                  <a:rPr lang="en-JM" sz="1400" baseline="0"/>
                  <a:t>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Guyana!$AL$7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Guyana!$AK$8:$AK$59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Guyana!$AL$8:$AL$59</c:f>
              <c:numCache>
                <c:formatCode>General</c:formatCode>
                <c:ptCount val="52"/>
                <c:pt idx="0">
                  <c:v>1584</c:v>
                </c:pt>
                <c:pt idx="1">
                  <c:v>1234</c:v>
                </c:pt>
                <c:pt idx="2">
                  <c:v>1327</c:v>
                </c:pt>
                <c:pt idx="3">
                  <c:v>1888</c:v>
                </c:pt>
                <c:pt idx="4">
                  <c:v>1219</c:v>
                </c:pt>
                <c:pt idx="5">
                  <c:v>1699</c:v>
                </c:pt>
                <c:pt idx="6">
                  <c:v>1812</c:v>
                </c:pt>
                <c:pt idx="7">
                  <c:v>1782</c:v>
                </c:pt>
                <c:pt idx="8">
                  <c:v>1923</c:v>
                </c:pt>
                <c:pt idx="9">
                  <c:v>1523</c:v>
                </c:pt>
                <c:pt idx="10">
                  <c:v>1710</c:v>
                </c:pt>
                <c:pt idx="11">
                  <c:v>1990</c:v>
                </c:pt>
                <c:pt idx="12">
                  <c:v>1881</c:v>
                </c:pt>
                <c:pt idx="13">
                  <c:v>1307</c:v>
                </c:pt>
                <c:pt idx="14">
                  <c:v>1909</c:v>
                </c:pt>
                <c:pt idx="15">
                  <c:v>2040</c:v>
                </c:pt>
                <c:pt idx="16">
                  <c:v>2049</c:v>
                </c:pt>
                <c:pt idx="17">
                  <c:v>1624</c:v>
                </c:pt>
                <c:pt idx="18">
                  <c:v>2170</c:v>
                </c:pt>
                <c:pt idx="19">
                  <c:v>2014</c:v>
                </c:pt>
                <c:pt idx="20">
                  <c:v>2432</c:v>
                </c:pt>
                <c:pt idx="21">
                  <c:v>2671</c:v>
                </c:pt>
                <c:pt idx="22">
                  <c:v>2459</c:v>
                </c:pt>
                <c:pt idx="23">
                  <c:v>2766</c:v>
                </c:pt>
                <c:pt idx="24">
                  <c:v>2604</c:v>
                </c:pt>
                <c:pt idx="25">
                  <c:v>2573</c:v>
                </c:pt>
                <c:pt idx="26">
                  <c:v>2246</c:v>
                </c:pt>
                <c:pt idx="27">
                  <c:v>2164</c:v>
                </c:pt>
                <c:pt idx="28">
                  <c:v>2769</c:v>
                </c:pt>
                <c:pt idx="29">
                  <c:v>2291</c:v>
                </c:pt>
                <c:pt idx="30">
                  <c:v>3024</c:v>
                </c:pt>
                <c:pt idx="31">
                  <c:v>2765</c:v>
                </c:pt>
                <c:pt idx="32">
                  <c:v>2959</c:v>
                </c:pt>
                <c:pt idx="33">
                  <c:v>4809</c:v>
                </c:pt>
                <c:pt idx="34">
                  <c:v>7406</c:v>
                </c:pt>
                <c:pt idx="35">
                  <c:v>4752</c:v>
                </c:pt>
                <c:pt idx="36">
                  <c:v>4720</c:v>
                </c:pt>
                <c:pt idx="37">
                  <c:v>4457</c:v>
                </c:pt>
                <c:pt idx="38">
                  <c:v>1835</c:v>
                </c:pt>
                <c:pt idx="39">
                  <c:v>1880</c:v>
                </c:pt>
                <c:pt idx="40">
                  <c:v>2262</c:v>
                </c:pt>
                <c:pt idx="41">
                  <c:v>1633</c:v>
                </c:pt>
                <c:pt idx="42">
                  <c:v>1398</c:v>
                </c:pt>
                <c:pt idx="43">
                  <c:v>1226</c:v>
                </c:pt>
                <c:pt idx="44">
                  <c:v>1093</c:v>
                </c:pt>
                <c:pt idx="45">
                  <c:v>1031</c:v>
                </c:pt>
                <c:pt idx="46">
                  <c:v>1147</c:v>
                </c:pt>
                <c:pt idx="47">
                  <c:v>1346</c:v>
                </c:pt>
                <c:pt idx="48">
                  <c:v>1127</c:v>
                </c:pt>
                <c:pt idx="49">
                  <c:v>1185</c:v>
                </c:pt>
                <c:pt idx="50">
                  <c:v>1171</c:v>
                </c:pt>
                <c:pt idx="51">
                  <c:v>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D-4204-955C-FADE21775B6F}"/>
            </c:ext>
          </c:extLst>
        </c:ser>
        <c:ser>
          <c:idx val="1"/>
          <c:order val="1"/>
          <c:tx>
            <c:strRef>
              <c:f>Guyana!$AM$7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Guyana!$AK$8:$AK$59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Guyana!$AM$8:$AM$59</c:f>
              <c:numCache>
                <c:formatCode>General</c:formatCode>
                <c:ptCount val="52"/>
                <c:pt idx="0">
                  <c:v>1531</c:v>
                </c:pt>
                <c:pt idx="1">
                  <c:v>1219</c:v>
                </c:pt>
                <c:pt idx="2">
                  <c:v>1300</c:v>
                </c:pt>
                <c:pt idx="3">
                  <c:v>1792</c:v>
                </c:pt>
                <c:pt idx="4">
                  <c:v>1181</c:v>
                </c:pt>
                <c:pt idx="5">
                  <c:v>1612</c:v>
                </c:pt>
                <c:pt idx="6">
                  <c:v>1731</c:v>
                </c:pt>
                <c:pt idx="7">
                  <c:v>1724</c:v>
                </c:pt>
                <c:pt idx="8">
                  <c:v>1846</c:v>
                </c:pt>
                <c:pt idx="9">
                  <c:v>1484</c:v>
                </c:pt>
                <c:pt idx="10">
                  <c:v>1647</c:v>
                </c:pt>
                <c:pt idx="11">
                  <c:v>1947</c:v>
                </c:pt>
                <c:pt idx="12">
                  <c:v>1825</c:v>
                </c:pt>
                <c:pt idx="13">
                  <c:v>1270</c:v>
                </c:pt>
                <c:pt idx="14">
                  <c:v>1869</c:v>
                </c:pt>
                <c:pt idx="15">
                  <c:v>1970</c:v>
                </c:pt>
                <c:pt idx="16">
                  <c:v>1989</c:v>
                </c:pt>
                <c:pt idx="17">
                  <c:v>1569</c:v>
                </c:pt>
                <c:pt idx="18">
                  <c:v>2074</c:v>
                </c:pt>
                <c:pt idx="19">
                  <c:v>1937</c:v>
                </c:pt>
                <c:pt idx="20">
                  <c:v>2331</c:v>
                </c:pt>
                <c:pt idx="21">
                  <c:v>2573</c:v>
                </c:pt>
                <c:pt idx="22">
                  <c:v>2352</c:v>
                </c:pt>
                <c:pt idx="23">
                  <c:v>2625</c:v>
                </c:pt>
                <c:pt idx="24">
                  <c:v>2496</c:v>
                </c:pt>
                <c:pt idx="25">
                  <c:v>2462</c:v>
                </c:pt>
                <c:pt idx="26">
                  <c:v>2137</c:v>
                </c:pt>
                <c:pt idx="27">
                  <c:v>2073</c:v>
                </c:pt>
                <c:pt idx="28">
                  <c:v>2583</c:v>
                </c:pt>
                <c:pt idx="29">
                  <c:v>2184</c:v>
                </c:pt>
                <c:pt idx="30">
                  <c:v>2808</c:v>
                </c:pt>
                <c:pt idx="31">
                  <c:v>2649</c:v>
                </c:pt>
                <c:pt idx="32">
                  <c:v>2848</c:v>
                </c:pt>
                <c:pt idx="33">
                  <c:v>4022</c:v>
                </c:pt>
                <c:pt idx="34">
                  <c:v>4286</c:v>
                </c:pt>
                <c:pt idx="35">
                  <c:v>3415</c:v>
                </c:pt>
                <c:pt idx="36">
                  <c:v>3758</c:v>
                </c:pt>
                <c:pt idx="37">
                  <c:v>3417</c:v>
                </c:pt>
                <c:pt idx="38">
                  <c:v>1462</c:v>
                </c:pt>
                <c:pt idx="39">
                  <c:v>1537</c:v>
                </c:pt>
                <c:pt idx="40">
                  <c:v>2117</c:v>
                </c:pt>
                <c:pt idx="41">
                  <c:v>1573</c:v>
                </c:pt>
                <c:pt idx="42">
                  <c:v>1333</c:v>
                </c:pt>
                <c:pt idx="43">
                  <c:v>1197</c:v>
                </c:pt>
                <c:pt idx="44">
                  <c:v>1058</c:v>
                </c:pt>
                <c:pt idx="45">
                  <c:v>988</c:v>
                </c:pt>
                <c:pt idx="46">
                  <c:v>1066</c:v>
                </c:pt>
                <c:pt idx="47">
                  <c:v>1303</c:v>
                </c:pt>
                <c:pt idx="48">
                  <c:v>1096</c:v>
                </c:pt>
                <c:pt idx="49">
                  <c:v>1135</c:v>
                </c:pt>
                <c:pt idx="50">
                  <c:v>1132</c:v>
                </c:pt>
                <c:pt idx="51">
                  <c:v>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D-4204-955C-FADE21775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398751"/>
        <c:axId val="1434402079"/>
      </c:lineChart>
      <c:dateAx>
        <c:axId val="143439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02079"/>
        <c:crosses val="autoZero"/>
        <c:auto val="1"/>
        <c:lblOffset val="100"/>
        <c:baseTimeUnit val="days"/>
      </c:dateAx>
      <c:valAx>
        <c:axId val="14344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9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Guyana!$AL$135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Guyana!$AM$135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F-4F32-A98E-80661E610016}"/>
            </c:ext>
          </c:extLst>
        </c:ser>
        <c:ser>
          <c:idx val="1"/>
          <c:order val="1"/>
          <c:tx>
            <c:strRef>
              <c:f>Guyana!$AL$136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Guyana!$AM$136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F-4F32-A98E-80661E610016}"/>
            </c:ext>
          </c:extLst>
        </c:ser>
        <c:ser>
          <c:idx val="2"/>
          <c:order val="2"/>
          <c:tx>
            <c:strRef>
              <c:f>Guyana!$AL$137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Guyana!$AM$137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4F-4F32-A98E-80661E610016}"/>
            </c:ext>
          </c:extLst>
        </c:ser>
        <c:ser>
          <c:idx val="3"/>
          <c:order val="3"/>
          <c:tx>
            <c:strRef>
              <c:f>Guyana!$AL$138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Guyana!$AM$138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51619887"/>
        <c:axId val="2051619471"/>
      </c:barChart>
      <c:lineChart>
        <c:grouping val="standard"/>
        <c:varyColors val="0"/>
        <c:ser>
          <c:idx val="4"/>
          <c:order val="4"/>
          <c:tx>
            <c:strRef>
              <c:f>Guyana!$AL$139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Guyana!$AM$139</c:f>
              <c:numCache>
                <c:formatCode>[mm]:ss</c:formatCode>
                <c:ptCount val="1"/>
                <c:pt idx="0">
                  <c:v>104.07692307692308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619887"/>
        <c:axId val="2051619471"/>
      </c:lineChart>
      <c:catAx>
        <c:axId val="205161988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619471"/>
        <c:crosses val="autoZero"/>
        <c:auto val="1"/>
        <c:lblAlgn val="ctr"/>
        <c:lblOffset val="100"/>
        <c:noMultiLvlLbl val="0"/>
      </c:catAx>
      <c:valAx>
        <c:axId val="205161947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1988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Monthly'!chart_calls_off_OECS</c:f>
              <c:numCache>
                <c:formatCode>General</c:formatCode>
                <c:ptCount val="29"/>
                <c:pt idx="0">
                  <c:v>448</c:v>
                </c:pt>
                <c:pt idx="1">
                  <c:v>428</c:v>
                </c:pt>
                <c:pt idx="2">
                  <c:v>510</c:v>
                </c:pt>
                <c:pt idx="3">
                  <c:v>183</c:v>
                </c:pt>
                <c:pt idx="4">
                  <c:v>0</c:v>
                </c:pt>
                <c:pt idx="5">
                  <c:v>508</c:v>
                </c:pt>
                <c:pt idx="6">
                  <c:v>462</c:v>
                </c:pt>
                <c:pt idx="7">
                  <c:v>445</c:v>
                </c:pt>
                <c:pt idx="8">
                  <c:v>375</c:v>
                </c:pt>
                <c:pt idx="9">
                  <c:v>414</c:v>
                </c:pt>
                <c:pt idx="10">
                  <c:v>136</c:v>
                </c:pt>
                <c:pt idx="11">
                  <c:v>0</c:v>
                </c:pt>
                <c:pt idx="12">
                  <c:v>426</c:v>
                </c:pt>
                <c:pt idx="13">
                  <c:v>320</c:v>
                </c:pt>
                <c:pt idx="14">
                  <c:v>436</c:v>
                </c:pt>
                <c:pt idx="15">
                  <c:v>380</c:v>
                </c:pt>
                <c:pt idx="16">
                  <c:v>281</c:v>
                </c:pt>
                <c:pt idx="17">
                  <c:v>72</c:v>
                </c:pt>
                <c:pt idx="18">
                  <c:v>0</c:v>
                </c:pt>
                <c:pt idx="19">
                  <c:v>506</c:v>
                </c:pt>
                <c:pt idx="20">
                  <c:v>422</c:v>
                </c:pt>
                <c:pt idx="21">
                  <c:v>521</c:v>
                </c:pt>
                <c:pt idx="22">
                  <c:v>390</c:v>
                </c:pt>
                <c:pt idx="23">
                  <c:v>396</c:v>
                </c:pt>
                <c:pt idx="24">
                  <c:v>152</c:v>
                </c:pt>
                <c:pt idx="25">
                  <c:v>0</c:v>
                </c:pt>
                <c:pt idx="26">
                  <c:v>520</c:v>
                </c:pt>
                <c:pt idx="27">
                  <c:v>447</c:v>
                </c:pt>
                <c:pt idx="28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A-4464-AC9D-7F31D4ADEB7E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Monthly'!chart_calls_ans_OECS</c:f>
              <c:numCache>
                <c:formatCode>General</c:formatCode>
                <c:ptCount val="29"/>
                <c:pt idx="0">
                  <c:v>436</c:v>
                </c:pt>
                <c:pt idx="1">
                  <c:v>407</c:v>
                </c:pt>
                <c:pt idx="2">
                  <c:v>486</c:v>
                </c:pt>
                <c:pt idx="3">
                  <c:v>173</c:v>
                </c:pt>
                <c:pt idx="4">
                  <c:v>0</c:v>
                </c:pt>
                <c:pt idx="5">
                  <c:v>484</c:v>
                </c:pt>
                <c:pt idx="6">
                  <c:v>439</c:v>
                </c:pt>
                <c:pt idx="7">
                  <c:v>434</c:v>
                </c:pt>
                <c:pt idx="8">
                  <c:v>362</c:v>
                </c:pt>
                <c:pt idx="9">
                  <c:v>389</c:v>
                </c:pt>
                <c:pt idx="10">
                  <c:v>132</c:v>
                </c:pt>
                <c:pt idx="11">
                  <c:v>0</c:v>
                </c:pt>
                <c:pt idx="12">
                  <c:v>403</c:v>
                </c:pt>
                <c:pt idx="13">
                  <c:v>307</c:v>
                </c:pt>
                <c:pt idx="14">
                  <c:v>404</c:v>
                </c:pt>
                <c:pt idx="15">
                  <c:v>366</c:v>
                </c:pt>
                <c:pt idx="16">
                  <c:v>276</c:v>
                </c:pt>
                <c:pt idx="17">
                  <c:v>70</c:v>
                </c:pt>
                <c:pt idx="18">
                  <c:v>0</c:v>
                </c:pt>
                <c:pt idx="19">
                  <c:v>483</c:v>
                </c:pt>
                <c:pt idx="20">
                  <c:v>398</c:v>
                </c:pt>
                <c:pt idx="21">
                  <c:v>487</c:v>
                </c:pt>
                <c:pt idx="22">
                  <c:v>375</c:v>
                </c:pt>
                <c:pt idx="23">
                  <c:v>383</c:v>
                </c:pt>
                <c:pt idx="24">
                  <c:v>147</c:v>
                </c:pt>
                <c:pt idx="25">
                  <c:v>0</c:v>
                </c:pt>
                <c:pt idx="26">
                  <c:v>487</c:v>
                </c:pt>
                <c:pt idx="27">
                  <c:v>420</c:v>
                </c:pt>
                <c:pt idx="28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A-4464-AC9D-7F31D4ADE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5739392"/>
        <c:axId val="605739808"/>
      </c:barChart>
      <c:dateAx>
        <c:axId val="60573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808"/>
        <c:crosses val="autoZero"/>
        <c:auto val="1"/>
        <c:lblOffset val="100"/>
        <c:baseTimeUnit val="days"/>
      </c:dateAx>
      <c:valAx>
        <c:axId val="6057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Monthly'!chart_WoW_off_OECS</c:f>
              <c:numCache>
                <c:formatCode>0.00%</c:formatCode>
                <c:ptCount val="29"/>
                <c:pt idx="0">
                  <c:v>0.13705583756345177</c:v>
                </c:pt>
                <c:pt idx="1">
                  <c:v>-1.6091954022988506E-2</c:v>
                </c:pt>
                <c:pt idx="2">
                  <c:v>0.31782945736434109</c:v>
                </c:pt>
                <c:pt idx="3">
                  <c:v>0.28873239436619719</c:v>
                </c:pt>
                <c:pt idx="4">
                  <c:v>0</c:v>
                </c:pt>
                <c:pt idx="5">
                  <c:v>0.11403508771929824</c:v>
                </c:pt>
                <c:pt idx="6">
                  <c:v>-4.3103448275862068E-3</c:v>
                </c:pt>
                <c:pt idx="7">
                  <c:v>-6.6964285714285711E-3</c:v>
                </c:pt>
                <c:pt idx="8">
                  <c:v>-0.12383177570093458</c:v>
                </c:pt>
                <c:pt idx="9">
                  <c:v>-0.18823529411764706</c:v>
                </c:pt>
                <c:pt idx="10">
                  <c:v>-0.25683060109289618</c:v>
                </c:pt>
                <c:pt idx="11">
                  <c:v>0</c:v>
                </c:pt>
                <c:pt idx="12">
                  <c:v>-0.16141732283464566</c:v>
                </c:pt>
                <c:pt idx="13">
                  <c:v>-0.30735930735930733</c:v>
                </c:pt>
                <c:pt idx="14">
                  <c:v>-2.0224719101123594E-2</c:v>
                </c:pt>
                <c:pt idx="15">
                  <c:v>1.3333333333333334E-2</c:v>
                </c:pt>
                <c:pt idx="16">
                  <c:v>-0.32125603864734298</c:v>
                </c:pt>
                <c:pt idx="17">
                  <c:v>-0.47058823529411764</c:v>
                </c:pt>
                <c:pt idx="18">
                  <c:v>0</c:v>
                </c:pt>
                <c:pt idx="19">
                  <c:v>0.18779342723004694</c:v>
                </c:pt>
                <c:pt idx="20">
                  <c:v>0.31874999999999998</c:v>
                </c:pt>
                <c:pt idx="21">
                  <c:v>0.19495412844036697</c:v>
                </c:pt>
                <c:pt idx="22">
                  <c:v>2.6315789473684209E-2</c:v>
                </c:pt>
                <c:pt idx="23">
                  <c:v>0.40925266903914592</c:v>
                </c:pt>
                <c:pt idx="24">
                  <c:v>1.1111111111111112</c:v>
                </c:pt>
                <c:pt idx="25">
                  <c:v>0</c:v>
                </c:pt>
                <c:pt idx="26">
                  <c:v>2.766798418972332E-2</c:v>
                </c:pt>
                <c:pt idx="27">
                  <c:v>5.9241706161137442E-2</c:v>
                </c:pt>
                <c:pt idx="28">
                  <c:v>-9.7888675623800381E-2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8-4F6E-9A2C-C82DCE3D2531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Monthly'!chart_WoW_ans_OECS</c:f>
              <c:numCache>
                <c:formatCode>0.00%</c:formatCode>
                <c:ptCount val="29"/>
                <c:pt idx="0">
                  <c:v>0.14136125654450263</c:v>
                </c:pt>
                <c:pt idx="1">
                  <c:v>-2.3980815347721823E-2</c:v>
                </c:pt>
                <c:pt idx="2">
                  <c:v>0.32065217391304346</c:v>
                </c:pt>
                <c:pt idx="3">
                  <c:v>0.23571428571428571</c:v>
                </c:pt>
                <c:pt idx="4">
                  <c:v>0</c:v>
                </c:pt>
                <c:pt idx="5">
                  <c:v>0.11778290993071594</c:v>
                </c:pt>
                <c:pt idx="6">
                  <c:v>1.3856812933025405E-2</c:v>
                </c:pt>
                <c:pt idx="7">
                  <c:v>-4.5871559633027525E-3</c:v>
                </c:pt>
                <c:pt idx="8">
                  <c:v>-0.11056511056511056</c:v>
                </c:pt>
                <c:pt idx="9">
                  <c:v>-0.19958847736625515</c:v>
                </c:pt>
                <c:pt idx="10">
                  <c:v>-0.23699421965317918</c:v>
                </c:pt>
                <c:pt idx="11">
                  <c:v>0</c:v>
                </c:pt>
                <c:pt idx="12">
                  <c:v>-0.16735537190082644</c:v>
                </c:pt>
                <c:pt idx="13">
                  <c:v>-0.30068337129840544</c:v>
                </c:pt>
                <c:pt idx="14">
                  <c:v>-6.9124423963133647E-2</c:v>
                </c:pt>
                <c:pt idx="15">
                  <c:v>1.1049723756906077E-2</c:v>
                </c:pt>
                <c:pt idx="16">
                  <c:v>-0.29048843187660667</c:v>
                </c:pt>
                <c:pt idx="17">
                  <c:v>-0.46969696969696972</c:v>
                </c:pt>
                <c:pt idx="18">
                  <c:v>0</c:v>
                </c:pt>
                <c:pt idx="19">
                  <c:v>0.19851116625310175</c:v>
                </c:pt>
                <c:pt idx="20">
                  <c:v>0.29641693811074921</c:v>
                </c:pt>
                <c:pt idx="21">
                  <c:v>0.20544554455445543</c:v>
                </c:pt>
                <c:pt idx="22">
                  <c:v>2.4590163934426229E-2</c:v>
                </c:pt>
                <c:pt idx="23">
                  <c:v>0.38768115942028986</c:v>
                </c:pt>
                <c:pt idx="24">
                  <c:v>1.1000000000000001</c:v>
                </c:pt>
                <c:pt idx="25">
                  <c:v>0</c:v>
                </c:pt>
                <c:pt idx="26">
                  <c:v>8.2815734989648039E-3</c:v>
                </c:pt>
                <c:pt idx="27">
                  <c:v>5.5276381909547742E-2</c:v>
                </c:pt>
                <c:pt idx="28">
                  <c:v>-8.0082135523613956E-2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8-4F6E-9A2C-C82DCE3D2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945104"/>
        <c:axId val="2072429792"/>
      </c:barChart>
      <c:dateAx>
        <c:axId val="199794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29792"/>
        <c:crosses val="autoZero"/>
        <c:auto val="1"/>
        <c:lblOffset val="100"/>
        <c:baseTimeUnit val="days"/>
      </c:dateAx>
      <c:valAx>
        <c:axId val="20724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Monthly'!chart_AU_OECS</c:f>
              <c:numCache>
                <c:formatCode>0%</c:formatCode>
                <c:ptCount val="29"/>
                <c:pt idx="0">
                  <c:v>0.49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0.54</c:v>
                </c:pt>
                <c:pt idx="4">
                  <c:v>0</c:v>
                </c:pt>
                <c:pt idx="5">
                  <c:v>0.67</c:v>
                </c:pt>
                <c:pt idx="6">
                  <c:v>0.61</c:v>
                </c:pt>
                <c:pt idx="7">
                  <c:v>0.49</c:v>
                </c:pt>
                <c:pt idx="8">
                  <c:v>0.64</c:v>
                </c:pt>
                <c:pt idx="9">
                  <c:v>0.57999999999999996</c:v>
                </c:pt>
                <c:pt idx="10">
                  <c:v>0.39</c:v>
                </c:pt>
                <c:pt idx="11">
                  <c:v>0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0.71</c:v>
                </c:pt>
                <c:pt idx="15">
                  <c:v>0.66</c:v>
                </c:pt>
                <c:pt idx="16">
                  <c:v>0.94</c:v>
                </c:pt>
                <c:pt idx="17">
                  <c:v>0.97</c:v>
                </c:pt>
                <c:pt idx="18">
                  <c:v>0</c:v>
                </c:pt>
                <c:pt idx="19">
                  <c:v>0.92</c:v>
                </c:pt>
                <c:pt idx="20">
                  <c:v>0.9</c:v>
                </c:pt>
                <c:pt idx="21">
                  <c:v>0.69</c:v>
                </c:pt>
                <c:pt idx="22">
                  <c:v>0.66</c:v>
                </c:pt>
                <c:pt idx="23">
                  <c:v>0.67</c:v>
                </c:pt>
                <c:pt idx="24">
                  <c:v>0.45</c:v>
                </c:pt>
                <c:pt idx="25">
                  <c:v>0</c:v>
                </c:pt>
                <c:pt idx="26">
                  <c:v>0.67</c:v>
                </c:pt>
                <c:pt idx="27">
                  <c:v>0.61</c:v>
                </c:pt>
                <c:pt idx="28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6060608"/>
        <c:axId val="35607100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Monthly'!chart_SL_OECS</c:f>
              <c:numCache>
                <c:formatCode>0%</c:formatCode>
                <c:ptCount val="29"/>
                <c:pt idx="0">
                  <c:v>0.94</c:v>
                </c:pt>
                <c:pt idx="1">
                  <c:v>0.92</c:v>
                </c:pt>
                <c:pt idx="2">
                  <c:v>0.88</c:v>
                </c:pt>
                <c:pt idx="3">
                  <c:v>0.9</c:v>
                </c:pt>
                <c:pt idx="4">
                  <c:v>0</c:v>
                </c:pt>
                <c:pt idx="5">
                  <c:v>0.87</c:v>
                </c:pt>
                <c:pt idx="6">
                  <c:v>0.89</c:v>
                </c:pt>
                <c:pt idx="7">
                  <c:v>0.94</c:v>
                </c:pt>
                <c:pt idx="8">
                  <c:v>0.89</c:v>
                </c:pt>
                <c:pt idx="9">
                  <c:v>0.87</c:v>
                </c:pt>
                <c:pt idx="10">
                  <c:v>0.92</c:v>
                </c:pt>
                <c:pt idx="11">
                  <c:v>0</c:v>
                </c:pt>
                <c:pt idx="12">
                  <c:v>0.89</c:v>
                </c:pt>
                <c:pt idx="13">
                  <c:v>0.88</c:v>
                </c:pt>
                <c:pt idx="14">
                  <c:v>0.82</c:v>
                </c:pt>
                <c:pt idx="15">
                  <c:v>0.88</c:v>
                </c:pt>
                <c:pt idx="16">
                  <c:v>0.38</c:v>
                </c:pt>
                <c:pt idx="17">
                  <c:v>0.33</c:v>
                </c:pt>
                <c:pt idx="18">
                  <c:v>0</c:v>
                </c:pt>
                <c:pt idx="19">
                  <c:v>0.56999999999999995</c:v>
                </c:pt>
                <c:pt idx="20">
                  <c:v>0.55000000000000004</c:v>
                </c:pt>
                <c:pt idx="21">
                  <c:v>0.89</c:v>
                </c:pt>
                <c:pt idx="22">
                  <c:v>0.94</c:v>
                </c:pt>
                <c:pt idx="23">
                  <c:v>0.9</c:v>
                </c:pt>
                <c:pt idx="24">
                  <c:v>0.95</c:v>
                </c:pt>
                <c:pt idx="25">
                  <c:v>0</c:v>
                </c:pt>
                <c:pt idx="26">
                  <c:v>0.86</c:v>
                </c:pt>
                <c:pt idx="27">
                  <c:v>0.88</c:v>
                </c:pt>
                <c:pt idx="2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792-82C3-EEC745129987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Monthly'!chart_ABR_OECS</c:f>
              <c:numCache>
                <c:formatCode>0%</c:formatCode>
                <c:ptCount val="29"/>
                <c:pt idx="0">
                  <c:v>0.03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0.03</c:v>
                </c:pt>
                <c:pt idx="11">
                  <c:v>0</c:v>
                </c:pt>
                <c:pt idx="12">
                  <c:v>0.05</c:v>
                </c:pt>
                <c:pt idx="13">
                  <c:v>0.04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0.02</c:v>
                </c:pt>
                <c:pt idx="17">
                  <c:v>0.03</c:v>
                </c:pt>
                <c:pt idx="18">
                  <c:v>0</c:v>
                </c:pt>
                <c:pt idx="19">
                  <c:v>0.05</c:v>
                </c:pt>
                <c:pt idx="20">
                  <c:v>0.06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0.03</c:v>
                </c:pt>
                <c:pt idx="24">
                  <c:v>0.03</c:v>
                </c:pt>
                <c:pt idx="25">
                  <c:v>0</c:v>
                </c:pt>
                <c:pt idx="26">
                  <c:v>0.06</c:v>
                </c:pt>
                <c:pt idx="27">
                  <c:v>0.06</c:v>
                </c:pt>
                <c:pt idx="28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060608"/>
        <c:axId val="356071008"/>
      </c:lineChart>
      <c:dateAx>
        <c:axId val="3560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71008"/>
        <c:crosses val="autoZero"/>
        <c:auto val="1"/>
        <c:lblOffset val="100"/>
        <c:baseTimeUnit val="days"/>
      </c:dateAx>
      <c:valAx>
        <c:axId val="356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OECS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142152668416447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OECS!$AK$7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OECS!$AJ$8:$AJ$59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OECS!$AK$8:$AK$59</c:f>
              <c:numCache>
                <c:formatCode>General</c:formatCode>
                <c:ptCount val="52"/>
                <c:pt idx="0">
                  <c:v>3463</c:v>
                </c:pt>
                <c:pt idx="1">
                  <c:v>2668</c:v>
                </c:pt>
                <c:pt idx="2">
                  <c:v>2697</c:v>
                </c:pt>
                <c:pt idx="3">
                  <c:v>3294</c:v>
                </c:pt>
                <c:pt idx="4">
                  <c:v>3343</c:v>
                </c:pt>
                <c:pt idx="5">
                  <c:v>3168</c:v>
                </c:pt>
                <c:pt idx="6">
                  <c:v>2975</c:v>
                </c:pt>
                <c:pt idx="7">
                  <c:v>2843</c:v>
                </c:pt>
                <c:pt idx="8">
                  <c:v>3030</c:v>
                </c:pt>
                <c:pt idx="9">
                  <c:v>2680</c:v>
                </c:pt>
                <c:pt idx="10">
                  <c:v>2604</c:v>
                </c:pt>
                <c:pt idx="11">
                  <c:v>2951</c:v>
                </c:pt>
                <c:pt idx="12">
                  <c:v>2689</c:v>
                </c:pt>
                <c:pt idx="13">
                  <c:v>2911</c:v>
                </c:pt>
                <c:pt idx="14">
                  <c:v>2759</c:v>
                </c:pt>
                <c:pt idx="15">
                  <c:v>2499</c:v>
                </c:pt>
                <c:pt idx="16">
                  <c:v>3143</c:v>
                </c:pt>
                <c:pt idx="17">
                  <c:v>2387</c:v>
                </c:pt>
                <c:pt idx="18">
                  <c:v>2927</c:v>
                </c:pt>
                <c:pt idx="19">
                  <c:v>2864</c:v>
                </c:pt>
                <c:pt idx="20">
                  <c:v>1970</c:v>
                </c:pt>
                <c:pt idx="21">
                  <c:v>2476</c:v>
                </c:pt>
                <c:pt idx="22">
                  <c:v>3244</c:v>
                </c:pt>
                <c:pt idx="23">
                  <c:v>2783</c:v>
                </c:pt>
                <c:pt idx="24">
                  <c:v>2753</c:v>
                </c:pt>
                <c:pt idx="25">
                  <c:v>2897</c:v>
                </c:pt>
                <c:pt idx="26">
                  <c:v>2897</c:v>
                </c:pt>
                <c:pt idx="27">
                  <c:v>2914</c:v>
                </c:pt>
                <c:pt idx="28">
                  <c:v>2628</c:v>
                </c:pt>
                <c:pt idx="29">
                  <c:v>2692</c:v>
                </c:pt>
                <c:pt idx="30">
                  <c:v>2955</c:v>
                </c:pt>
                <c:pt idx="31">
                  <c:v>3473</c:v>
                </c:pt>
                <c:pt idx="32">
                  <c:v>3495</c:v>
                </c:pt>
                <c:pt idx="33">
                  <c:v>4127</c:v>
                </c:pt>
                <c:pt idx="34">
                  <c:v>4539</c:v>
                </c:pt>
                <c:pt idx="35">
                  <c:v>3463</c:v>
                </c:pt>
                <c:pt idx="36">
                  <c:v>3542</c:v>
                </c:pt>
                <c:pt idx="37">
                  <c:v>3933</c:v>
                </c:pt>
                <c:pt idx="38">
                  <c:v>1877</c:v>
                </c:pt>
                <c:pt idx="39">
                  <c:v>2079</c:v>
                </c:pt>
                <c:pt idx="40">
                  <c:v>2627</c:v>
                </c:pt>
                <c:pt idx="41">
                  <c:v>2163</c:v>
                </c:pt>
                <c:pt idx="42">
                  <c:v>2291</c:v>
                </c:pt>
                <c:pt idx="43">
                  <c:v>2698</c:v>
                </c:pt>
                <c:pt idx="44">
                  <c:v>2253</c:v>
                </c:pt>
                <c:pt idx="45">
                  <c:v>1975</c:v>
                </c:pt>
                <c:pt idx="46">
                  <c:v>2125</c:v>
                </c:pt>
                <c:pt idx="47">
                  <c:v>2489</c:v>
                </c:pt>
                <c:pt idx="48">
                  <c:v>2340</c:v>
                </c:pt>
                <c:pt idx="49">
                  <c:v>1915</c:v>
                </c:pt>
                <c:pt idx="50">
                  <c:v>2387</c:v>
                </c:pt>
                <c:pt idx="51">
                  <c:v>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4-404E-B663-561AF4421C33}"/>
            </c:ext>
          </c:extLst>
        </c:ser>
        <c:ser>
          <c:idx val="1"/>
          <c:order val="1"/>
          <c:tx>
            <c:strRef>
              <c:f>OECS!$AL$7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OECS!$AJ$8:$AJ$59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OECS!$AL$8:$AL$59</c:f>
              <c:numCache>
                <c:formatCode>General</c:formatCode>
                <c:ptCount val="52"/>
                <c:pt idx="0">
                  <c:v>3020</c:v>
                </c:pt>
                <c:pt idx="1">
                  <c:v>2427</c:v>
                </c:pt>
                <c:pt idx="2">
                  <c:v>2354</c:v>
                </c:pt>
                <c:pt idx="3">
                  <c:v>3059</c:v>
                </c:pt>
                <c:pt idx="4">
                  <c:v>2944</c:v>
                </c:pt>
                <c:pt idx="5">
                  <c:v>2970</c:v>
                </c:pt>
                <c:pt idx="6">
                  <c:v>2807</c:v>
                </c:pt>
                <c:pt idx="7">
                  <c:v>2673</c:v>
                </c:pt>
                <c:pt idx="8">
                  <c:v>2827</c:v>
                </c:pt>
                <c:pt idx="9">
                  <c:v>2468</c:v>
                </c:pt>
                <c:pt idx="10">
                  <c:v>2366</c:v>
                </c:pt>
                <c:pt idx="11">
                  <c:v>2538</c:v>
                </c:pt>
                <c:pt idx="12">
                  <c:v>2479</c:v>
                </c:pt>
                <c:pt idx="13">
                  <c:v>2692</c:v>
                </c:pt>
                <c:pt idx="14">
                  <c:v>2584</c:v>
                </c:pt>
                <c:pt idx="15">
                  <c:v>2344</c:v>
                </c:pt>
                <c:pt idx="16">
                  <c:v>2858</c:v>
                </c:pt>
                <c:pt idx="17">
                  <c:v>2166</c:v>
                </c:pt>
                <c:pt idx="18">
                  <c:v>2730</c:v>
                </c:pt>
                <c:pt idx="19">
                  <c:v>2634</c:v>
                </c:pt>
                <c:pt idx="20">
                  <c:v>1836</c:v>
                </c:pt>
                <c:pt idx="21">
                  <c:v>2229</c:v>
                </c:pt>
                <c:pt idx="22">
                  <c:v>2921</c:v>
                </c:pt>
                <c:pt idx="23">
                  <c:v>2582</c:v>
                </c:pt>
                <c:pt idx="24">
                  <c:v>2530</c:v>
                </c:pt>
                <c:pt idx="25">
                  <c:v>2657</c:v>
                </c:pt>
                <c:pt idx="26">
                  <c:v>2719</c:v>
                </c:pt>
                <c:pt idx="27">
                  <c:v>2714</c:v>
                </c:pt>
                <c:pt idx="28">
                  <c:v>2433</c:v>
                </c:pt>
                <c:pt idx="29">
                  <c:v>2516</c:v>
                </c:pt>
                <c:pt idx="30">
                  <c:v>2763</c:v>
                </c:pt>
                <c:pt idx="31">
                  <c:v>3328</c:v>
                </c:pt>
                <c:pt idx="32">
                  <c:v>3312</c:v>
                </c:pt>
                <c:pt idx="33">
                  <c:v>3930</c:v>
                </c:pt>
                <c:pt idx="34">
                  <c:v>4283</c:v>
                </c:pt>
                <c:pt idx="35">
                  <c:v>3304</c:v>
                </c:pt>
                <c:pt idx="36">
                  <c:v>3302</c:v>
                </c:pt>
                <c:pt idx="37">
                  <c:v>3662</c:v>
                </c:pt>
                <c:pt idx="38">
                  <c:v>1822</c:v>
                </c:pt>
                <c:pt idx="39">
                  <c:v>2022</c:v>
                </c:pt>
                <c:pt idx="40">
                  <c:v>2504</c:v>
                </c:pt>
                <c:pt idx="41">
                  <c:v>2077</c:v>
                </c:pt>
                <c:pt idx="42">
                  <c:v>2198</c:v>
                </c:pt>
                <c:pt idx="43">
                  <c:v>2549</c:v>
                </c:pt>
                <c:pt idx="44">
                  <c:v>2167</c:v>
                </c:pt>
                <c:pt idx="45">
                  <c:v>1905</c:v>
                </c:pt>
                <c:pt idx="46">
                  <c:v>2052</c:v>
                </c:pt>
                <c:pt idx="47">
                  <c:v>2368</c:v>
                </c:pt>
                <c:pt idx="48">
                  <c:v>2240</c:v>
                </c:pt>
                <c:pt idx="49">
                  <c:v>1826</c:v>
                </c:pt>
                <c:pt idx="50">
                  <c:v>2273</c:v>
                </c:pt>
                <c:pt idx="51">
                  <c:v>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4-404E-B663-561AF442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46815"/>
        <c:axId val="1438341823"/>
      </c:lineChart>
      <c:dateAx>
        <c:axId val="143834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</a:t>
                </a:r>
                <a:r>
                  <a:rPr lang="en-JM" sz="1400" baseline="0"/>
                  <a:t> Of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1823"/>
        <c:crosses val="autoZero"/>
        <c:auto val="1"/>
        <c:lblOffset val="100"/>
        <c:baseTimeUnit val="days"/>
      </c:dateAx>
      <c:valAx>
        <c:axId val="14383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vs.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OECS_SL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Monthly'!chart_SL_OECS</c:f>
              <c:numCache>
                <c:formatCode>0%</c:formatCode>
                <c:ptCount val="29"/>
                <c:pt idx="0">
                  <c:v>0.94</c:v>
                </c:pt>
                <c:pt idx="1">
                  <c:v>0.92</c:v>
                </c:pt>
                <c:pt idx="2">
                  <c:v>0.88</c:v>
                </c:pt>
                <c:pt idx="3">
                  <c:v>0.9</c:v>
                </c:pt>
                <c:pt idx="4">
                  <c:v>0</c:v>
                </c:pt>
                <c:pt idx="5">
                  <c:v>0.87</c:v>
                </c:pt>
                <c:pt idx="6">
                  <c:v>0.89</c:v>
                </c:pt>
                <c:pt idx="7">
                  <c:v>0.94</c:v>
                </c:pt>
                <c:pt idx="8">
                  <c:v>0.89</c:v>
                </c:pt>
                <c:pt idx="9">
                  <c:v>0.87</c:v>
                </c:pt>
                <c:pt idx="10">
                  <c:v>0.92</c:v>
                </c:pt>
                <c:pt idx="11">
                  <c:v>0</c:v>
                </c:pt>
                <c:pt idx="12">
                  <c:v>0.89</c:v>
                </c:pt>
                <c:pt idx="13">
                  <c:v>0.88</c:v>
                </c:pt>
                <c:pt idx="14">
                  <c:v>0.82</c:v>
                </c:pt>
                <c:pt idx="15">
                  <c:v>0.88</c:v>
                </c:pt>
                <c:pt idx="16">
                  <c:v>0.38</c:v>
                </c:pt>
                <c:pt idx="17">
                  <c:v>0.33</c:v>
                </c:pt>
                <c:pt idx="18">
                  <c:v>0</c:v>
                </c:pt>
                <c:pt idx="19">
                  <c:v>0.56999999999999995</c:v>
                </c:pt>
                <c:pt idx="20">
                  <c:v>0.55000000000000004</c:v>
                </c:pt>
                <c:pt idx="21">
                  <c:v>0.89</c:v>
                </c:pt>
                <c:pt idx="22">
                  <c:v>0.94</c:v>
                </c:pt>
                <c:pt idx="23">
                  <c:v>0.9</c:v>
                </c:pt>
                <c:pt idx="24">
                  <c:v>0.95</c:v>
                </c:pt>
                <c:pt idx="25">
                  <c:v>0</c:v>
                </c:pt>
                <c:pt idx="26">
                  <c:v>0.86</c:v>
                </c:pt>
                <c:pt idx="27">
                  <c:v>0.88</c:v>
                </c:pt>
                <c:pt idx="28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5-423B-B00B-DDFF6F19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898127"/>
        <c:axId val="1501912687"/>
      </c:barChart>
      <c:lineChart>
        <c:grouping val="standard"/>
        <c:varyColors val="0"/>
        <c:ser>
          <c:idx val="1"/>
          <c:order val="1"/>
          <c:tx>
            <c:v>OECS_WFM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[0]!period_OECS_WF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4</c:v>
                </c:pt>
                <c:pt idx="151">
                  <c:v>0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0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3</c:v>
                </c:pt>
                <c:pt idx="163">
                  <c:v>0</c:v>
                </c:pt>
                <c:pt idx="164">
                  <c:v>5</c:v>
                </c:pt>
                <c:pt idx="165">
                  <c:v>5</c:v>
                </c:pt>
                <c:pt idx="166">
                  <c:v>4</c:v>
                </c:pt>
                <c:pt idx="167">
                  <c:v>5</c:v>
                </c:pt>
                <c:pt idx="168">
                  <c:v>5</c:v>
                </c:pt>
                <c:pt idx="169">
                  <c:v>3</c:v>
                </c:pt>
                <c:pt idx="170">
                  <c:v>0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4</c:v>
                </c:pt>
                <c:pt idx="177">
                  <c:v>0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0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4</c:v>
                </c:pt>
                <c:pt idx="191">
                  <c:v>0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4</c:v>
                </c:pt>
                <c:pt idx="198">
                  <c:v>0</c:v>
                </c:pt>
                <c:pt idx="199">
                  <c:v>6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5</c:v>
                </c:pt>
                <c:pt idx="204">
                  <c:v>4</c:v>
                </c:pt>
                <c:pt idx="205">
                  <c:v>0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4</c:v>
                </c:pt>
                <c:pt idx="210">
                  <c:v>4</c:v>
                </c:pt>
                <c:pt idx="211">
                  <c:v>3</c:v>
                </c:pt>
                <c:pt idx="212">
                  <c:v>0</c:v>
                </c:pt>
                <c:pt idx="213">
                  <c:v>4.5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4</c:v>
                </c:pt>
                <c:pt idx="219">
                  <c:v>0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4</c:v>
                </c:pt>
                <c:pt idx="226">
                  <c:v>2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4</c:v>
                </c:pt>
                <c:pt idx="233">
                  <c:v>2</c:v>
                </c:pt>
                <c:pt idx="234">
                  <c:v>7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8</c:v>
                </c:pt>
                <c:pt idx="239">
                  <c:v>7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4</c:v>
                </c:pt>
                <c:pt idx="247">
                  <c:v>3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4</c:v>
                </c:pt>
                <c:pt idx="257">
                  <c:v>6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5</c:v>
                </c:pt>
                <c:pt idx="275">
                  <c:v>0</c:v>
                </c:pt>
                <c:pt idx="276">
                  <c:v>0</c:v>
                </c:pt>
                <c:pt idx="277">
                  <c:v>5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4</c:v>
                </c:pt>
                <c:pt idx="282">
                  <c:v>0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4</c:v>
                </c:pt>
                <c:pt idx="289">
                  <c:v>0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3</c:v>
                </c:pt>
                <c:pt idx="296">
                  <c:v>0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0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4</c:v>
                </c:pt>
                <c:pt idx="308">
                  <c:v>5</c:v>
                </c:pt>
                <c:pt idx="309">
                  <c:v>3</c:v>
                </c:pt>
                <c:pt idx="310">
                  <c:v>0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3</c:v>
                </c:pt>
                <c:pt idx="317">
                  <c:v>0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3</c:v>
                </c:pt>
                <c:pt idx="324">
                  <c:v>0</c:v>
                </c:pt>
                <c:pt idx="325">
                  <c:v>5</c:v>
                </c:pt>
                <c:pt idx="326">
                  <c:v>5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4</c:v>
                </c:pt>
                <c:pt idx="331">
                  <c:v>0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3</c:v>
                </c:pt>
                <c:pt idx="338">
                  <c:v>0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4</c:v>
                </c:pt>
                <c:pt idx="344">
                  <c:v>3</c:v>
                </c:pt>
                <c:pt idx="345">
                  <c:v>0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3</c:v>
                </c:pt>
                <c:pt idx="351">
                  <c:v>2</c:v>
                </c:pt>
                <c:pt idx="352">
                  <c:v>0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0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4</c:v>
                </c:pt>
                <c:pt idx="36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8-431D-958F-165B02B9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84959"/>
        <c:axId val="538385791"/>
      </c:lineChart>
      <c:dateAx>
        <c:axId val="15018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12687"/>
        <c:crosses val="autoZero"/>
        <c:auto val="1"/>
        <c:lblOffset val="100"/>
        <c:baseTimeUnit val="days"/>
      </c:dateAx>
      <c:valAx>
        <c:axId val="15019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98127"/>
        <c:crosses val="autoZero"/>
        <c:crossBetween val="between"/>
      </c:valAx>
      <c:valAx>
        <c:axId val="5383857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84959"/>
        <c:crosses val="max"/>
        <c:crossBetween val="between"/>
      </c:valAx>
      <c:dateAx>
        <c:axId val="5383849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538385791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OECS!$BC$136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OECS!$BD$136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F-4BAC-884B-B3ABE3134E68}"/>
            </c:ext>
          </c:extLst>
        </c:ser>
        <c:ser>
          <c:idx val="1"/>
          <c:order val="1"/>
          <c:tx>
            <c:strRef>
              <c:f>OECS!$BC$137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OECS!$BD$137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F-4BAC-884B-B3ABE3134E68}"/>
            </c:ext>
          </c:extLst>
        </c:ser>
        <c:ser>
          <c:idx val="2"/>
          <c:order val="2"/>
          <c:tx>
            <c:strRef>
              <c:f>OECS!$BC$138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OECS!$BD$138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F-4BAC-884B-B3ABE3134E68}"/>
            </c:ext>
          </c:extLst>
        </c:ser>
        <c:ser>
          <c:idx val="3"/>
          <c:order val="3"/>
          <c:tx>
            <c:strRef>
              <c:f>OECS!$BC$139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OECS!$BD$139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29717263"/>
        <c:axId val="229704783"/>
      </c:barChart>
      <c:lineChart>
        <c:grouping val="standard"/>
        <c:varyColors val="0"/>
        <c:ser>
          <c:idx val="4"/>
          <c:order val="4"/>
          <c:tx>
            <c:strRef>
              <c:f>OECS!$BC$140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4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OECS!$BD$140</c:f>
              <c:numCache>
                <c:formatCode>[mm]:ss</c:formatCode>
                <c:ptCount val="1"/>
                <c:pt idx="0">
                  <c:v>178.36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17263"/>
        <c:axId val="229704783"/>
      </c:lineChart>
      <c:catAx>
        <c:axId val="2297172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29704783"/>
        <c:crosses val="autoZero"/>
        <c:auto val="1"/>
        <c:lblAlgn val="ctr"/>
        <c:lblOffset val="100"/>
        <c:noMultiLvlLbl val="0"/>
      </c:catAx>
      <c:valAx>
        <c:axId val="22970478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172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Monthly'!chart_calls_off_JAM</c:f>
              <c:numCache>
                <c:formatCode>General</c:formatCode>
                <c:ptCount val="31"/>
                <c:pt idx="0">
                  <c:v>893</c:v>
                </c:pt>
                <c:pt idx="1">
                  <c:v>839</c:v>
                </c:pt>
                <c:pt idx="2">
                  <c:v>808</c:v>
                </c:pt>
                <c:pt idx="3">
                  <c:v>601</c:v>
                </c:pt>
                <c:pt idx="4">
                  <c:v>0</c:v>
                </c:pt>
                <c:pt idx="5">
                  <c:v>964</c:v>
                </c:pt>
                <c:pt idx="6">
                  <c:v>850</c:v>
                </c:pt>
                <c:pt idx="7">
                  <c:v>1438</c:v>
                </c:pt>
                <c:pt idx="8">
                  <c:v>972</c:v>
                </c:pt>
                <c:pt idx="9">
                  <c:v>947</c:v>
                </c:pt>
                <c:pt idx="10">
                  <c:v>657</c:v>
                </c:pt>
                <c:pt idx="11">
                  <c:v>0</c:v>
                </c:pt>
                <c:pt idx="12">
                  <c:v>940</c:v>
                </c:pt>
                <c:pt idx="13">
                  <c:v>866</c:v>
                </c:pt>
                <c:pt idx="14">
                  <c:v>781</c:v>
                </c:pt>
                <c:pt idx="15">
                  <c:v>762</c:v>
                </c:pt>
                <c:pt idx="16">
                  <c:v>732</c:v>
                </c:pt>
                <c:pt idx="17">
                  <c:v>662</c:v>
                </c:pt>
                <c:pt idx="18">
                  <c:v>0</c:v>
                </c:pt>
                <c:pt idx="19">
                  <c:v>880</c:v>
                </c:pt>
                <c:pt idx="20">
                  <c:v>843</c:v>
                </c:pt>
                <c:pt idx="21">
                  <c:v>1190</c:v>
                </c:pt>
                <c:pt idx="22">
                  <c:v>904</c:v>
                </c:pt>
                <c:pt idx="23">
                  <c:v>924</c:v>
                </c:pt>
                <c:pt idx="24">
                  <c:v>715</c:v>
                </c:pt>
                <c:pt idx="25">
                  <c:v>0</c:v>
                </c:pt>
                <c:pt idx="26">
                  <c:v>953</c:v>
                </c:pt>
                <c:pt idx="27">
                  <c:v>935</c:v>
                </c:pt>
                <c:pt idx="28">
                  <c:v>967</c:v>
                </c:pt>
                <c:pt idx="29">
                  <c:v>899</c:v>
                </c:pt>
                <c:pt idx="30">
                  <c:v>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E-42F9-BADB-4CBE54DE440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Monthly'!chart_calls_ans_JAM</c:f>
              <c:numCache>
                <c:formatCode>General</c:formatCode>
                <c:ptCount val="31"/>
                <c:pt idx="0">
                  <c:v>812</c:v>
                </c:pt>
                <c:pt idx="1">
                  <c:v>816</c:v>
                </c:pt>
                <c:pt idx="2">
                  <c:v>816</c:v>
                </c:pt>
                <c:pt idx="3">
                  <c:v>578</c:v>
                </c:pt>
                <c:pt idx="4">
                  <c:v>0</c:v>
                </c:pt>
                <c:pt idx="5">
                  <c:v>908</c:v>
                </c:pt>
                <c:pt idx="6">
                  <c:v>830</c:v>
                </c:pt>
                <c:pt idx="7">
                  <c:v>1348</c:v>
                </c:pt>
                <c:pt idx="8">
                  <c:v>930</c:v>
                </c:pt>
                <c:pt idx="9">
                  <c:v>869</c:v>
                </c:pt>
                <c:pt idx="10">
                  <c:v>638</c:v>
                </c:pt>
                <c:pt idx="11">
                  <c:v>0</c:v>
                </c:pt>
                <c:pt idx="12">
                  <c:v>914</c:v>
                </c:pt>
                <c:pt idx="13">
                  <c:v>750</c:v>
                </c:pt>
                <c:pt idx="14">
                  <c:v>766</c:v>
                </c:pt>
                <c:pt idx="15">
                  <c:v>695</c:v>
                </c:pt>
                <c:pt idx="16">
                  <c:v>703</c:v>
                </c:pt>
                <c:pt idx="17">
                  <c:v>638</c:v>
                </c:pt>
                <c:pt idx="18">
                  <c:v>0</c:v>
                </c:pt>
                <c:pt idx="19">
                  <c:v>855</c:v>
                </c:pt>
                <c:pt idx="20">
                  <c:v>823</c:v>
                </c:pt>
                <c:pt idx="21">
                  <c:v>1105</c:v>
                </c:pt>
                <c:pt idx="22">
                  <c:v>848</c:v>
                </c:pt>
                <c:pt idx="23">
                  <c:v>894</c:v>
                </c:pt>
                <c:pt idx="24">
                  <c:v>661</c:v>
                </c:pt>
                <c:pt idx="25">
                  <c:v>0</c:v>
                </c:pt>
                <c:pt idx="26">
                  <c:v>937</c:v>
                </c:pt>
                <c:pt idx="27">
                  <c:v>916</c:v>
                </c:pt>
                <c:pt idx="28">
                  <c:v>900</c:v>
                </c:pt>
                <c:pt idx="29">
                  <c:v>847</c:v>
                </c:pt>
                <c:pt idx="30">
                  <c:v>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E-42F9-BADB-4CBE54DE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0656"/>
        <c:axId val="807551408"/>
      </c:barChart>
      <c:dateAx>
        <c:axId val="59996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51408"/>
        <c:crosses val="autoZero"/>
        <c:auto val="1"/>
        <c:lblOffset val="100"/>
        <c:baseTimeUnit val="days"/>
      </c:dateAx>
      <c:valAx>
        <c:axId val="8075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JAM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27568934804569722"/>
          <c:y val="2.8502795293821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Monthly'!chart_WoW_off_JAM_percent</c:f>
              <c:numCache>
                <c:formatCode>0.00%</c:formatCode>
                <c:ptCount val="31"/>
                <c:pt idx="0">
                  <c:v>0</c:v>
                </c:pt>
                <c:pt idx="1">
                  <c:v>-0.13771839671120248</c:v>
                </c:pt>
                <c:pt idx="2">
                  <c:v>-0.11208791208791209</c:v>
                </c:pt>
                <c:pt idx="3">
                  <c:v>-0.15232722143864599</c:v>
                </c:pt>
                <c:pt idx="4">
                  <c:v>0</c:v>
                </c:pt>
                <c:pt idx="5">
                  <c:v>-7.662835249042145E-2</c:v>
                </c:pt>
                <c:pt idx="6">
                  <c:v>-0.10052910052910052</c:v>
                </c:pt>
                <c:pt idx="7">
                  <c:v>0.61030235162374025</c:v>
                </c:pt>
                <c:pt idx="8">
                  <c:v>0.15852205005959474</c:v>
                </c:pt>
                <c:pt idx="9">
                  <c:v>0.17202970297029702</c:v>
                </c:pt>
                <c:pt idx="10">
                  <c:v>9.3178036605657238E-2</c:v>
                </c:pt>
                <c:pt idx="11">
                  <c:v>0</c:v>
                </c:pt>
                <c:pt idx="12">
                  <c:v>-2.4896265560165973E-2</c:v>
                </c:pt>
                <c:pt idx="13">
                  <c:v>-0.1016597510373444</c:v>
                </c:pt>
                <c:pt idx="14">
                  <c:v>-0.45688456189151599</c:v>
                </c:pt>
                <c:pt idx="15">
                  <c:v>-0.21604938271604937</c:v>
                </c:pt>
                <c:pt idx="16">
                  <c:v>-0.22703273495248152</c:v>
                </c:pt>
                <c:pt idx="17">
                  <c:v>7.6103500761035003E-3</c:v>
                </c:pt>
                <c:pt idx="18">
                  <c:v>0</c:v>
                </c:pt>
                <c:pt idx="19">
                  <c:v>-6.3829787234042548E-2</c:v>
                </c:pt>
                <c:pt idx="20">
                  <c:v>-0.10319148936170212</c:v>
                </c:pt>
                <c:pt idx="21">
                  <c:v>0.52368758002560822</c:v>
                </c:pt>
                <c:pt idx="22">
                  <c:v>0.18635170603674542</c:v>
                </c:pt>
                <c:pt idx="23">
                  <c:v>0.26229508196721313</c:v>
                </c:pt>
                <c:pt idx="24">
                  <c:v>8.0060422960725075E-2</c:v>
                </c:pt>
                <c:pt idx="25">
                  <c:v>0</c:v>
                </c:pt>
                <c:pt idx="26">
                  <c:v>8.2954545454545461E-2</c:v>
                </c:pt>
                <c:pt idx="27">
                  <c:v>6.25E-2</c:v>
                </c:pt>
                <c:pt idx="28">
                  <c:v>-0.18739495798319328</c:v>
                </c:pt>
                <c:pt idx="29">
                  <c:v>-5.5309734513274336E-3</c:v>
                </c:pt>
                <c:pt idx="30">
                  <c:v>-2.2727272727272728E-2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D4C-A96B-F2D3F12F110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Monthly'!chart_WoW_ans_JAM_percent</c:f>
              <c:numCache>
                <c:formatCode>0.00%</c:formatCode>
                <c:ptCount val="31"/>
                <c:pt idx="0">
                  <c:v>0</c:v>
                </c:pt>
                <c:pt idx="1">
                  <c:v>-0.10624315443592552</c:v>
                </c:pt>
                <c:pt idx="2">
                  <c:v>2.7707808564231738E-2</c:v>
                </c:pt>
                <c:pt idx="3">
                  <c:v>-0.12158054711246201</c:v>
                </c:pt>
                <c:pt idx="4">
                  <c:v>0</c:v>
                </c:pt>
                <c:pt idx="5">
                  <c:v>-9.0180360721442893E-2</c:v>
                </c:pt>
                <c:pt idx="6">
                  <c:v>-7.3660714285714288E-2</c:v>
                </c:pt>
                <c:pt idx="7">
                  <c:v>0.66009852216748766</c:v>
                </c:pt>
                <c:pt idx="8">
                  <c:v>0.13970588235294118</c:v>
                </c:pt>
                <c:pt idx="9">
                  <c:v>6.4950980392156868E-2</c:v>
                </c:pt>
                <c:pt idx="10">
                  <c:v>0.10380622837370242</c:v>
                </c:pt>
                <c:pt idx="11">
                  <c:v>0</c:v>
                </c:pt>
                <c:pt idx="12">
                  <c:v>6.6079295154185024E-3</c:v>
                </c:pt>
                <c:pt idx="13">
                  <c:v>-0.17400881057268722</c:v>
                </c:pt>
                <c:pt idx="14">
                  <c:v>-0.43175074183976259</c:v>
                </c:pt>
                <c:pt idx="15">
                  <c:v>-0.25268817204301075</c:v>
                </c:pt>
                <c:pt idx="16">
                  <c:v>-0.19102416570771003</c:v>
                </c:pt>
                <c:pt idx="17">
                  <c:v>0</c:v>
                </c:pt>
                <c:pt idx="18">
                  <c:v>0</c:v>
                </c:pt>
                <c:pt idx="19">
                  <c:v>-6.4551422319474833E-2</c:v>
                </c:pt>
                <c:pt idx="20">
                  <c:v>-9.9562363238512031E-2</c:v>
                </c:pt>
                <c:pt idx="21">
                  <c:v>0.44255874673629242</c:v>
                </c:pt>
                <c:pt idx="22">
                  <c:v>0.22014388489208633</c:v>
                </c:pt>
                <c:pt idx="23">
                  <c:v>0.27169274537695592</c:v>
                </c:pt>
                <c:pt idx="24">
                  <c:v>3.6050156739811913E-2</c:v>
                </c:pt>
                <c:pt idx="25">
                  <c:v>0</c:v>
                </c:pt>
                <c:pt idx="26">
                  <c:v>9.5906432748538009E-2</c:v>
                </c:pt>
                <c:pt idx="27">
                  <c:v>7.1345029239766086E-2</c:v>
                </c:pt>
                <c:pt idx="28">
                  <c:v>-0.18552036199095023</c:v>
                </c:pt>
                <c:pt idx="29">
                  <c:v>-1.1792452830188679E-3</c:v>
                </c:pt>
                <c:pt idx="30">
                  <c:v>-4.0268456375838924E-2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1-4D4C-A96B-F2D3F12F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560560"/>
        <c:axId val="807563888"/>
      </c:barChart>
      <c:dateAx>
        <c:axId val="80756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3888"/>
        <c:crosses val="autoZero"/>
        <c:auto val="1"/>
        <c:lblOffset val="100"/>
        <c:baseTimeUnit val="days"/>
      </c:dateAx>
      <c:valAx>
        <c:axId val="8075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Monthly'!chart_AU_JAM</c:f>
              <c:numCache>
                <c:formatCode>0%</c:formatCode>
                <c:ptCount val="31"/>
                <c:pt idx="0">
                  <c:v>0.69</c:v>
                </c:pt>
                <c:pt idx="1">
                  <c:v>0.6</c:v>
                </c:pt>
                <c:pt idx="2">
                  <c:v>0.55000000000000004</c:v>
                </c:pt>
                <c:pt idx="3">
                  <c:v>0.6</c:v>
                </c:pt>
                <c:pt idx="4">
                  <c:v>0</c:v>
                </c:pt>
                <c:pt idx="5">
                  <c:v>0.63</c:v>
                </c:pt>
                <c:pt idx="6">
                  <c:v>0.41</c:v>
                </c:pt>
                <c:pt idx="7">
                  <c:v>1.1599999999999999</c:v>
                </c:pt>
                <c:pt idx="8">
                  <c:v>0.69</c:v>
                </c:pt>
                <c:pt idx="9">
                  <c:v>0.68</c:v>
                </c:pt>
                <c:pt idx="10">
                  <c:v>0.52</c:v>
                </c:pt>
                <c:pt idx="11">
                  <c:v>0</c:v>
                </c:pt>
                <c:pt idx="12">
                  <c:v>0.56000000000000005</c:v>
                </c:pt>
                <c:pt idx="13">
                  <c:v>0.43</c:v>
                </c:pt>
                <c:pt idx="14">
                  <c:v>0.63959986772486777</c:v>
                </c:pt>
                <c:pt idx="15">
                  <c:v>0.62289292497625837</c:v>
                </c:pt>
                <c:pt idx="16">
                  <c:v>0.59442193930041165</c:v>
                </c:pt>
                <c:pt idx="17">
                  <c:v>0.53961894586894588</c:v>
                </c:pt>
                <c:pt idx="18">
                  <c:v>0</c:v>
                </c:pt>
                <c:pt idx="19">
                  <c:v>0.56956018518518514</c:v>
                </c:pt>
                <c:pt idx="20">
                  <c:v>0.47</c:v>
                </c:pt>
                <c:pt idx="21">
                  <c:v>0.9</c:v>
                </c:pt>
                <c:pt idx="22">
                  <c:v>0.91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</c:v>
                </c:pt>
                <c:pt idx="26">
                  <c:v>0.6</c:v>
                </c:pt>
                <c:pt idx="27">
                  <c:v>0.55000000000000004</c:v>
                </c:pt>
                <c:pt idx="28">
                  <c:v>0.69</c:v>
                </c:pt>
                <c:pt idx="29">
                  <c:v>0.69</c:v>
                </c:pt>
                <c:pt idx="30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183760"/>
        <c:axId val="477175024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C-46F0-8EF4-F7C3575BE5EC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Monthly'!chart_ABR_JAM</c:f>
              <c:numCache>
                <c:formatCode>0%</c:formatCode>
                <c:ptCount val="31"/>
                <c:pt idx="0">
                  <c:v>0.09</c:v>
                </c:pt>
                <c:pt idx="1">
                  <c:v>0.03</c:v>
                </c:pt>
                <c:pt idx="2">
                  <c:v>0.02</c:v>
                </c:pt>
                <c:pt idx="3">
                  <c:v>0.04</c:v>
                </c:pt>
                <c:pt idx="4">
                  <c:v>0</c:v>
                </c:pt>
                <c:pt idx="5">
                  <c:v>0.06</c:v>
                </c:pt>
                <c:pt idx="6">
                  <c:v>0.02</c:v>
                </c:pt>
                <c:pt idx="7">
                  <c:v>0.06</c:v>
                </c:pt>
                <c:pt idx="8">
                  <c:v>0.04</c:v>
                </c:pt>
                <c:pt idx="9">
                  <c:v>0.08</c:v>
                </c:pt>
                <c:pt idx="10">
                  <c:v>0.03</c:v>
                </c:pt>
                <c:pt idx="11">
                  <c:v>0</c:v>
                </c:pt>
                <c:pt idx="12">
                  <c:v>0.03</c:v>
                </c:pt>
                <c:pt idx="13">
                  <c:v>0.13</c:v>
                </c:pt>
                <c:pt idx="14">
                  <c:v>1.9206145966709345E-2</c:v>
                </c:pt>
                <c:pt idx="15">
                  <c:v>8.7926509186351712E-2</c:v>
                </c:pt>
                <c:pt idx="16">
                  <c:v>3.9617486338797817E-2</c:v>
                </c:pt>
                <c:pt idx="17">
                  <c:v>3.6253776435045321E-2</c:v>
                </c:pt>
                <c:pt idx="18">
                  <c:v>0</c:v>
                </c:pt>
                <c:pt idx="19">
                  <c:v>2.8409090909090908E-2</c:v>
                </c:pt>
                <c:pt idx="20">
                  <c:v>0.02</c:v>
                </c:pt>
                <c:pt idx="21">
                  <c:v>7.0000000000000007E-2</c:v>
                </c:pt>
                <c:pt idx="22">
                  <c:v>0.06</c:v>
                </c:pt>
                <c:pt idx="23">
                  <c:v>0.03</c:v>
                </c:pt>
                <c:pt idx="24">
                  <c:v>0.08</c:v>
                </c:pt>
                <c:pt idx="25">
                  <c:v>0</c:v>
                </c:pt>
                <c:pt idx="26">
                  <c:v>0.02</c:v>
                </c:pt>
                <c:pt idx="27">
                  <c:v>0.02</c:v>
                </c:pt>
                <c:pt idx="28">
                  <c:v>7.0000000000000007E-2</c:v>
                </c:pt>
                <c:pt idx="29">
                  <c:v>0.06</c:v>
                </c:pt>
                <c:pt idx="3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183760"/>
        <c:axId val="477175024"/>
      </c:lineChart>
      <c:dateAx>
        <c:axId val="47718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75024"/>
        <c:crosses val="autoZero"/>
        <c:auto val="1"/>
        <c:lblOffset val="100"/>
        <c:baseTimeUnit val="days"/>
      </c:dateAx>
      <c:valAx>
        <c:axId val="4771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Jamaica!$AO$5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Jamaica!$AN$6:$AN$57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Jamaica!$AO$6:$AO$57</c:f>
              <c:numCache>
                <c:formatCode>General</c:formatCode>
                <c:ptCount val="52"/>
                <c:pt idx="0">
                  <c:v>4919</c:v>
                </c:pt>
                <c:pt idx="1">
                  <c:v>3879</c:v>
                </c:pt>
                <c:pt idx="2">
                  <c:v>4579</c:v>
                </c:pt>
                <c:pt idx="3">
                  <c:v>6190</c:v>
                </c:pt>
                <c:pt idx="4">
                  <c:v>5368</c:v>
                </c:pt>
                <c:pt idx="5">
                  <c:v>4941</c:v>
                </c:pt>
                <c:pt idx="6">
                  <c:v>5266</c:v>
                </c:pt>
                <c:pt idx="7">
                  <c:v>4792</c:v>
                </c:pt>
                <c:pt idx="8">
                  <c:v>5695</c:v>
                </c:pt>
                <c:pt idx="9">
                  <c:v>5533</c:v>
                </c:pt>
                <c:pt idx="10">
                  <c:v>5426</c:v>
                </c:pt>
                <c:pt idx="11">
                  <c:v>4962</c:v>
                </c:pt>
                <c:pt idx="12">
                  <c:v>5937</c:v>
                </c:pt>
                <c:pt idx="13">
                  <c:v>5490</c:v>
                </c:pt>
                <c:pt idx="14">
                  <c:v>5836</c:v>
                </c:pt>
                <c:pt idx="15">
                  <c:v>5858</c:v>
                </c:pt>
                <c:pt idx="16">
                  <c:v>6054</c:v>
                </c:pt>
                <c:pt idx="17">
                  <c:v>5042</c:v>
                </c:pt>
                <c:pt idx="18">
                  <c:v>7095</c:v>
                </c:pt>
                <c:pt idx="19">
                  <c:v>6642</c:v>
                </c:pt>
                <c:pt idx="20">
                  <c:v>6171</c:v>
                </c:pt>
                <c:pt idx="21">
                  <c:v>7199</c:v>
                </c:pt>
                <c:pt idx="22">
                  <c:v>6810</c:v>
                </c:pt>
                <c:pt idx="23">
                  <c:v>6135</c:v>
                </c:pt>
                <c:pt idx="24">
                  <c:v>5705</c:v>
                </c:pt>
                <c:pt idx="25">
                  <c:v>6919</c:v>
                </c:pt>
                <c:pt idx="26">
                  <c:v>6420</c:v>
                </c:pt>
                <c:pt idx="27">
                  <c:v>6180</c:v>
                </c:pt>
                <c:pt idx="28">
                  <c:v>5878</c:v>
                </c:pt>
                <c:pt idx="29">
                  <c:v>8070</c:v>
                </c:pt>
                <c:pt idx="30">
                  <c:v>6215</c:v>
                </c:pt>
                <c:pt idx="31">
                  <c:v>5471</c:v>
                </c:pt>
                <c:pt idx="32">
                  <c:v>5842</c:v>
                </c:pt>
                <c:pt idx="33">
                  <c:v>6905</c:v>
                </c:pt>
                <c:pt idx="34">
                  <c:v>8903</c:v>
                </c:pt>
                <c:pt idx="35">
                  <c:v>7056</c:v>
                </c:pt>
                <c:pt idx="36">
                  <c:v>6875</c:v>
                </c:pt>
                <c:pt idx="37">
                  <c:v>7086</c:v>
                </c:pt>
                <c:pt idx="38">
                  <c:v>4539</c:v>
                </c:pt>
                <c:pt idx="39">
                  <c:v>4933</c:v>
                </c:pt>
                <c:pt idx="40">
                  <c:v>5454</c:v>
                </c:pt>
                <c:pt idx="41">
                  <c:v>5152</c:v>
                </c:pt>
                <c:pt idx="42">
                  <c:v>5456</c:v>
                </c:pt>
                <c:pt idx="43">
                  <c:v>5231</c:v>
                </c:pt>
                <c:pt idx="44">
                  <c:v>4704</c:v>
                </c:pt>
                <c:pt idx="45">
                  <c:v>4595</c:v>
                </c:pt>
                <c:pt idx="46">
                  <c:v>4230</c:v>
                </c:pt>
                <c:pt idx="47">
                  <c:v>5130</c:v>
                </c:pt>
                <c:pt idx="48">
                  <c:v>5828</c:v>
                </c:pt>
                <c:pt idx="49">
                  <c:v>4743</c:v>
                </c:pt>
                <c:pt idx="50">
                  <c:v>5456</c:v>
                </c:pt>
                <c:pt idx="51">
                  <c:v>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6-4535-95D8-C2C8BFF29A40}"/>
            </c:ext>
          </c:extLst>
        </c:ser>
        <c:ser>
          <c:idx val="1"/>
          <c:order val="1"/>
          <c:tx>
            <c:strRef>
              <c:f>Jamaica!$AP$5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Jamaica!$AN$6:$AN$57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Jamaica!$AP$6:$AP$57</c:f>
              <c:numCache>
                <c:formatCode>General</c:formatCode>
                <c:ptCount val="52"/>
                <c:pt idx="0">
                  <c:v>3926</c:v>
                </c:pt>
                <c:pt idx="1">
                  <c:v>3257</c:v>
                </c:pt>
                <c:pt idx="2">
                  <c:v>3124</c:v>
                </c:pt>
                <c:pt idx="3">
                  <c:v>4680</c:v>
                </c:pt>
                <c:pt idx="4">
                  <c:v>4336</c:v>
                </c:pt>
                <c:pt idx="5">
                  <c:v>4230</c:v>
                </c:pt>
                <c:pt idx="6">
                  <c:v>4603</c:v>
                </c:pt>
                <c:pt idx="7">
                  <c:v>4059</c:v>
                </c:pt>
                <c:pt idx="8">
                  <c:v>4691</c:v>
                </c:pt>
                <c:pt idx="9">
                  <c:v>5017</c:v>
                </c:pt>
                <c:pt idx="10">
                  <c:v>4022</c:v>
                </c:pt>
                <c:pt idx="11">
                  <c:v>4356</c:v>
                </c:pt>
                <c:pt idx="12">
                  <c:v>4786</c:v>
                </c:pt>
                <c:pt idx="13">
                  <c:v>4603</c:v>
                </c:pt>
                <c:pt idx="14">
                  <c:v>4426</c:v>
                </c:pt>
                <c:pt idx="15">
                  <c:v>4396</c:v>
                </c:pt>
                <c:pt idx="16">
                  <c:v>4780</c:v>
                </c:pt>
                <c:pt idx="17">
                  <c:v>2273</c:v>
                </c:pt>
                <c:pt idx="18">
                  <c:v>4038</c:v>
                </c:pt>
                <c:pt idx="19">
                  <c:v>4496</c:v>
                </c:pt>
                <c:pt idx="20">
                  <c:v>4724</c:v>
                </c:pt>
                <c:pt idx="21">
                  <c:v>5472</c:v>
                </c:pt>
                <c:pt idx="22">
                  <c:v>3894</c:v>
                </c:pt>
                <c:pt idx="23">
                  <c:v>4119</c:v>
                </c:pt>
                <c:pt idx="24">
                  <c:v>4557</c:v>
                </c:pt>
                <c:pt idx="25">
                  <c:v>4352</c:v>
                </c:pt>
                <c:pt idx="26">
                  <c:v>4112</c:v>
                </c:pt>
                <c:pt idx="27">
                  <c:v>3617</c:v>
                </c:pt>
                <c:pt idx="28">
                  <c:v>3800</c:v>
                </c:pt>
                <c:pt idx="29">
                  <c:v>3393</c:v>
                </c:pt>
                <c:pt idx="30">
                  <c:v>4000</c:v>
                </c:pt>
                <c:pt idx="31">
                  <c:v>4201</c:v>
                </c:pt>
                <c:pt idx="32">
                  <c:v>4672</c:v>
                </c:pt>
                <c:pt idx="33">
                  <c:v>5764</c:v>
                </c:pt>
                <c:pt idx="34">
                  <c:v>5152</c:v>
                </c:pt>
                <c:pt idx="35">
                  <c:v>4914</c:v>
                </c:pt>
                <c:pt idx="36">
                  <c:v>5835</c:v>
                </c:pt>
                <c:pt idx="37">
                  <c:v>5248</c:v>
                </c:pt>
                <c:pt idx="38">
                  <c:v>3110</c:v>
                </c:pt>
                <c:pt idx="39">
                  <c:v>4322</c:v>
                </c:pt>
                <c:pt idx="40">
                  <c:v>5169</c:v>
                </c:pt>
                <c:pt idx="41">
                  <c:v>4942</c:v>
                </c:pt>
                <c:pt idx="42">
                  <c:v>5282</c:v>
                </c:pt>
                <c:pt idx="43">
                  <c:v>4798</c:v>
                </c:pt>
                <c:pt idx="44">
                  <c:v>4571</c:v>
                </c:pt>
                <c:pt idx="45">
                  <c:v>4469</c:v>
                </c:pt>
                <c:pt idx="46">
                  <c:v>3957</c:v>
                </c:pt>
                <c:pt idx="47">
                  <c:v>4916</c:v>
                </c:pt>
                <c:pt idx="48">
                  <c:v>5523</c:v>
                </c:pt>
                <c:pt idx="49">
                  <c:v>4466</c:v>
                </c:pt>
                <c:pt idx="50">
                  <c:v>5186</c:v>
                </c:pt>
                <c:pt idx="51">
                  <c:v>4458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6-4535-95D8-C2C8BFF2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063311"/>
        <c:axId val="2018066223"/>
      </c:lineChart>
      <c:dateAx>
        <c:axId val="201806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6223"/>
        <c:crosses val="autoZero"/>
        <c:auto val="1"/>
        <c:lblOffset val="100"/>
        <c:baseTimeUnit val="days"/>
      </c:dateAx>
      <c:valAx>
        <c:axId val="20180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JAM_SL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581231"/>
        <c:axId val="849584975"/>
      </c:barChart>
      <c:lineChart>
        <c:grouping val="standard"/>
        <c:varyColors val="0"/>
        <c:ser>
          <c:idx val="1"/>
          <c:order val="1"/>
          <c:tx>
            <c:v>JAM_Agents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Monthly'!chart_WFM_JAM</c:f>
              <c:numCache>
                <c:formatCode>General</c:formatCode>
                <c:ptCount val="31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0</c:v>
                </c:pt>
                <c:pt idx="5">
                  <c:v>16</c:v>
                </c:pt>
                <c:pt idx="6">
                  <c:v>19</c:v>
                </c:pt>
                <c:pt idx="7">
                  <c:v>13</c:v>
                </c:pt>
                <c:pt idx="8">
                  <c:v>16</c:v>
                </c:pt>
                <c:pt idx="9">
                  <c:v>13</c:v>
                </c:pt>
                <c:pt idx="10">
                  <c:v>15</c:v>
                </c:pt>
                <c:pt idx="11">
                  <c:v>0</c:v>
                </c:pt>
                <c:pt idx="12">
                  <c:v>17</c:v>
                </c:pt>
                <c:pt idx="13">
                  <c:v>18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0</c:v>
                </c:pt>
                <c:pt idx="19">
                  <c:v>15</c:v>
                </c:pt>
                <c:pt idx="20">
                  <c:v>18</c:v>
                </c:pt>
                <c:pt idx="21">
                  <c:v>16</c:v>
                </c:pt>
                <c:pt idx="22">
                  <c:v>11</c:v>
                </c:pt>
                <c:pt idx="23">
                  <c:v>15</c:v>
                </c:pt>
                <c:pt idx="24">
                  <c:v>12</c:v>
                </c:pt>
                <c:pt idx="25">
                  <c:v>0</c:v>
                </c:pt>
                <c:pt idx="26">
                  <c:v>17</c:v>
                </c:pt>
                <c:pt idx="27">
                  <c:v>17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562095"/>
        <c:axId val="849585391"/>
      </c:lineChart>
      <c:dateAx>
        <c:axId val="8495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4975"/>
        <c:crosses val="autoZero"/>
        <c:auto val="1"/>
        <c:lblOffset val="100"/>
        <c:baseTimeUnit val="days"/>
      </c:dateAx>
      <c:valAx>
        <c:axId val="8495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1231"/>
        <c:crosses val="autoZero"/>
        <c:crossBetween val="between"/>
      </c:valAx>
      <c:valAx>
        <c:axId val="849585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SRs</a:t>
                </a:r>
                <a:r>
                  <a:rPr lang="en-JM" baseline="0"/>
                  <a:t> Logged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62095"/>
        <c:crosses val="max"/>
        <c:crossBetween val="between"/>
      </c:valAx>
      <c:dateAx>
        <c:axId val="849562095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84958539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Jamaica!$AO$317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Jamaica!$AP$317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Jamaica!$AO$318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Jamaica!$AP$318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Jamaica!$AO$319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Jamaica!$AP$319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Jamaica!$AO$320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Jamaica!$AP$320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Jamaica!$AO$321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Jamaica!$AP$321</c:f>
              <c:numCache>
                <c:formatCode>[mm]:ss</c:formatCode>
                <c:ptCount val="1"/>
                <c:pt idx="0">
                  <c:v>285.74074074074076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Monthly'!chart_calls_off_TT</c:f>
              <c:numCache>
                <c:formatCode>General</c:formatCode>
                <c:ptCount val="31"/>
                <c:pt idx="0">
                  <c:v>839</c:v>
                </c:pt>
                <c:pt idx="1">
                  <c:v>785</c:v>
                </c:pt>
                <c:pt idx="2">
                  <c:v>761</c:v>
                </c:pt>
                <c:pt idx="3">
                  <c:v>408</c:v>
                </c:pt>
                <c:pt idx="4">
                  <c:v>0</c:v>
                </c:pt>
                <c:pt idx="5">
                  <c:v>817</c:v>
                </c:pt>
                <c:pt idx="6">
                  <c:v>663</c:v>
                </c:pt>
                <c:pt idx="7">
                  <c:v>626</c:v>
                </c:pt>
                <c:pt idx="8">
                  <c:v>625</c:v>
                </c:pt>
                <c:pt idx="9">
                  <c:v>614</c:v>
                </c:pt>
                <c:pt idx="10">
                  <c:v>353</c:v>
                </c:pt>
                <c:pt idx="11">
                  <c:v>0</c:v>
                </c:pt>
                <c:pt idx="12">
                  <c:v>748</c:v>
                </c:pt>
                <c:pt idx="13">
                  <c:v>600</c:v>
                </c:pt>
                <c:pt idx="14">
                  <c:v>627</c:v>
                </c:pt>
                <c:pt idx="15">
                  <c:v>608</c:v>
                </c:pt>
                <c:pt idx="16">
                  <c:v>587</c:v>
                </c:pt>
                <c:pt idx="17">
                  <c:v>321</c:v>
                </c:pt>
                <c:pt idx="18">
                  <c:v>0</c:v>
                </c:pt>
                <c:pt idx="19">
                  <c:v>711</c:v>
                </c:pt>
                <c:pt idx="20">
                  <c:v>658</c:v>
                </c:pt>
                <c:pt idx="21">
                  <c:v>616</c:v>
                </c:pt>
                <c:pt idx="22">
                  <c:v>617</c:v>
                </c:pt>
                <c:pt idx="23">
                  <c:v>611</c:v>
                </c:pt>
                <c:pt idx="24">
                  <c:v>341</c:v>
                </c:pt>
                <c:pt idx="25">
                  <c:v>0</c:v>
                </c:pt>
                <c:pt idx="26">
                  <c:v>717</c:v>
                </c:pt>
                <c:pt idx="27">
                  <c:v>674</c:v>
                </c:pt>
                <c:pt idx="28">
                  <c:v>719</c:v>
                </c:pt>
                <c:pt idx="29">
                  <c:v>0</c:v>
                </c:pt>
                <c:pt idx="30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7-4091-A5DE-797DFAFBA8C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Monthly'!chart_calls_ans_TT</c:f>
              <c:numCache>
                <c:formatCode>General</c:formatCode>
                <c:ptCount val="31"/>
                <c:pt idx="0">
                  <c:v>789</c:v>
                </c:pt>
                <c:pt idx="1">
                  <c:v>645</c:v>
                </c:pt>
                <c:pt idx="2">
                  <c:v>722</c:v>
                </c:pt>
                <c:pt idx="3">
                  <c:v>395</c:v>
                </c:pt>
                <c:pt idx="4">
                  <c:v>0</c:v>
                </c:pt>
                <c:pt idx="5">
                  <c:v>797</c:v>
                </c:pt>
                <c:pt idx="6">
                  <c:v>643</c:v>
                </c:pt>
                <c:pt idx="7">
                  <c:v>607</c:v>
                </c:pt>
                <c:pt idx="8">
                  <c:v>588</c:v>
                </c:pt>
                <c:pt idx="9">
                  <c:v>554</c:v>
                </c:pt>
                <c:pt idx="10">
                  <c:v>339</c:v>
                </c:pt>
                <c:pt idx="11">
                  <c:v>0</c:v>
                </c:pt>
                <c:pt idx="12">
                  <c:v>734</c:v>
                </c:pt>
                <c:pt idx="13">
                  <c:v>581</c:v>
                </c:pt>
                <c:pt idx="14">
                  <c:v>614</c:v>
                </c:pt>
                <c:pt idx="15">
                  <c:v>593</c:v>
                </c:pt>
                <c:pt idx="16">
                  <c:v>561</c:v>
                </c:pt>
                <c:pt idx="17">
                  <c:v>299</c:v>
                </c:pt>
                <c:pt idx="18">
                  <c:v>0</c:v>
                </c:pt>
                <c:pt idx="19">
                  <c:v>673</c:v>
                </c:pt>
                <c:pt idx="20">
                  <c:v>593</c:v>
                </c:pt>
                <c:pt idx="21">
                  <c:v>536</c:v>
                </c:pt>
                <c:pt idx="22">
                  <c:v>594</c:v>
                </c:pt>
                <c:pt idx="23">
                  <c:v>561</c:v>
                </c:pt>
                <c:pt idx="24">
                  <c:v>325</c:v>
                </c:pt>
                <c:pt idx="25">
                  <c:v>0</c:v>
                </c:pt>
                <c:pt idx="26">
                  <c:v>628</c:v>
                </c:pt>
                <c:pt idx="27">
                  <c:v>657</c:v>
                </c:pt>
                <c:pt idx="28">
                  <c:v>679</c:v>
                </c:pt>
                <c:pt idx="29">
                  <c:v>0</c:v>
                </c:pt>
                <c:pt idx="30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7-4091-A5DE-797DFAFB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681072"/>
        <c:axId val="483179440"/>
      </c:barChart>
      <c:dateAx>
        <c:axId val="52668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79440"/>
        <c:crosses val="autoZero"/>
        <c:auto val="1"/>
        <c:lblOffset val="100"/>
        <c:baseTimeUnit val="days"/>
      </c:dateAx>
      <c:valAx>
        <c:axId val="4831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layout>
            <c:manualLayout>
              <c:xMode val="edge"/>
              <c:yMode val="edge"/>
              <c:x val="1.3427602729811451E-2"/>
              <c:y val="0.36185371626234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 Calls Offered WoW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Monthly'!chart_WoW_off_TT_percent</c:f>
              <c:numCache>
                <c:formatCode>0.00%</c:formatCode>
                <c:ptCount val="31"/>
                <c:pt idx="0">
                  <c:v>-6.9844789356984474E-2</c:v>
                </c:pt>
                <c:pt idx="1">
                  <c:v>-1.0088272383354351E-2</c:v>
                </c:pt>
                <c:pt idx="2">
                  <c:v>5.6944444444444443E-2</c:v>
                </c:pt>
                <c:pt idx="3">
                  <c:v>0.10869565217391304</c:v>
                </c:pt>
                <c:pt idx="4" formatCode="General">
                  <c:v>0</c:v>
                </c:pt>
                <c:pt idx="5">
                  <c:v>-5.2204176334106726E-2</c:v>
                </c:pt>
                <c:pt idx="6">
                  <c:v>-0.24315068493150685</c:v>
                </c:pt>
                <c:pt idx="7">
                  <c:v>-0.25387365911799764</c:v>
                </c:pt>
                <c:pt idx="8">
                  <c:v>-0.20382165605095542</c:v>
                </c:pt>
                <c:pt idx="9">
                  <c:v>-0.19316688567674112</c:v>
                </c:pt>
                <c:pt idx="10">
                  <c:v>-0.13480392156862744</c:v>
                </c:pt>
                <c:pt idx="11" formatCode="General">
                  <c:v>0</c:v>
                </c:pt>
                <c:pt idx="12">
                  <c:v>-8.4455324357405145E-2</c:v>
                </c:pt>
                <c:pt idx="13">
                  <c:v>-9.5022624434389136E-2</c:v>
                </c:pt>
                <c:pt idx="14">
                  <c:v>1.5974440894568689E-3</c:v>
                </c:pt>
                <c:pt idx="15">
                  <c:v>-2.7199999999999998E-2</c:v>
                </c:pt>
                <c:pt idx="16">
                  <c:v>-4.3973941368078175E-2</c:v>
                </c:pt>
                <c:pt idx="17">
                  <c:v>-9.0651558073654395E-2</c:v>
                </c:pt>
                <c:pt idx="18" formatCode="General">
                  <c:v>0</c:v>
                </c:pt>
                <c:pt idx="19">
                  <c:v>-4.9465240641711233E-2</c:v>
                </c:pt>
                <c:pt idx="20">
                  <c:v>9.6666666666666665E-2</c:v>
                </c:pt>
                <c:pt idx="21">
                  <c:v>-1.7543859649122806E-2</c:v>
                </c:pt>
                <c:pt idx="22">
                  <c:v>1.4802631578947368E-2</c:v>
                </c:pt>
                <c:pt idx="23">
                  <c:v>4.0885860306643949E-2</c:v>
                </c:pt>
                <c:pt idx="24">
                  <c:v>6.2305295950155763E-2</c:v>
                </c:pt>
                <c:pt idx="25" formatCode="General">
                  <c:v>0</c:v>
                </c:pt>
                <c:pt idx="26">
                  <c:v>8.4388185654008432E-3</c:v>
                </c:pt>
                <c:pt idx="27">
                  <c:v>2.4316109422492401E-2</c:v>
                </c:pt>
                <c:pt idx="28">
                  <c:v>0.16720779220779219</c:v>
                </c:pt>
                <c:pt idx="29" formatCode="General">
                  <c:v>0</c:v>
                </c:pt>
                <c:pt idx="30">
                  <c:v>0.24058919803600654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4-48E7-840B-814B7ECC2E2F}"/>
            </c:ext>
          </c:extLst>
        </c:ser>
        <c:ser>
          <c:idx val="1"/>
          <c:order val="1"/>
          <c:tx>
            <c:v>% Calls Ans WoW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Monthly'!chart_WoW_ans_TT_percent</c:f>
              <c:numCache>
                <c:formatCode>0.00%</c:formatCode>
                <c:ptCount val="31"/>
                <c:pt idx="0">
                  <c:v>-4.8250904704463207E-2</c:v>
                </c:pt>
                <c:pt idx="1">
                  <c:v>-6.9264069264069264E-2</c:v>
                </c:pt>
                <c:pt idx="2">
                  <c:v>4.3352601156069363E-2</c:v>
                </c:pt>
                <c:pt idx="3">
                  <c:v>0.10644257703081232</c:v>
                </c:pt>
                <c:pt idx="4" formatCode="General">
                  <c:v>0</c:v>
                </c:pt>
                <c:pt idx="5">
                  <c:v>2.4421593830334189E-2</c:v>
                </c:pt>
                <c:pt idx="6">
                  <c:v>-0.21776155717761558</c:v>
                </c:pt>
                <c:pt idx="7">
                  <c:v>-0.23067173637515842</c:v>
                </c:pt>
                <c:pt idx="8">
                  <c:v>-8.8372093023255813E-2</c:v>
                </c:pt>
                <c:pt idx="9">
                  <c:v>-0.23268698060941828</c:v>
                </c:pt>
                <c:pt idx="10">
                  <c:v>-0.14177215189873418</c:v>
                </c:pt>
                <c:pt idx="11" formatCode="General">
                  <c:v>0</c:v>
                </c:pt>
                <c:pt idx="12">
                  <c:v>-7.9046424090338768E-2</c:v>
                </c:pt>
                <c:pt idx="13">
                  <c:v>-9.6423017107309481E-2</c:v>
                </c:pt>
                <c:pt idx="14">
                  <c:v>1.1532125205930808E-2</c:v>
                </c:pt>
                <c:pt idx="15">
                  <c:v>8.5034013605442185E-3</c:v>
                </c:pt>
                <c:pt idx="16">
                  <c:v>1.263537906137184E-2</c:v>
                </c:pt>
                <c:pt idx="17">
                  <c:v>-0.11799410029498525</c:v>
                </c:pt>
                <c:pt idx="18" formatCode="General">
                  <c:v>0</c:v>
                </c:pt>
                <c:pt idx="19">
                  <c:v>-8.3106267029972758E-2</c:v>
                </c:pt>
                <c:pt idx="20">
                  <c:v>2.0654044750430294E-2</c:v>
                </c:pt>
                <c:pt idx="21">
                  <c:v>-0.12703583061889251</c:v>
                </c:pt>
                <c:pt idx="22">
                  <c:v>1.6863406408094434E-3</c:v>
                </c:pt>
                <c:pt idx="23">
                  <c:v>0</c:v>
                </c:pt>
                <c:pt idx="24">
                  <c:v>8.6956521739130432E-2</c:v>
                </c:pt>
                <c:pt idx="25" formatCode="General">
                  <c:v>0</c:v>
                </c:pt>
                <c:pt idx="26">
                  <c:v>-6.6864784546805348E-2</c:v>
                </c:pt>
                <c:pt idx="27">
                  <c:v>0.10792580101180438</c:v>
                </c:pt>
                <c:pt idx="28">
                  <c:v>0.26679104477611942</c:v>
                </c:pt>
                <c:pt idx="29" formatCode="General">
                  <c:v>0</c:v>
                </c:pt>
                <c:pt idx="30">
                  <c:v>0.21746880570409982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4-48E7-840B-814B7ECC2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1072"/>
        <c:axId val="599963984"/>
      </c:barChart>
      <c:dateAx>
        <c:axId val="59996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3984"/>
        <c:crosses val="autoZero"/>
        <c:auto val="1"/>
        <c:lblOffset val="100"/>
        <c:baseTimeUnit val="days"/>
      </c:dateAx>
      <c:valAx>
        <c:axId val="599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</a:t>
                </a:r>
                <a:r>
                  <a:rPr lang="en-JM" sz="1400" baseline="0"/>
                  <a:t> of call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Monthly'!chart_AU_TT</c:f>
              <c:numCache>
                <c:formatCode>0%</c:formatCode>
                <c:ptCount val="31"/>
                <c:pt idx="0">
                  <c:v>0.63</c:v>
                </c:pt>
                <c:pt idx="1">
                  <c:v>0.55000000000000004</c:v>
                </c:pt>
                <c:pt idx="2">
                  <c:v>0.45</c:v>
                </c:pt>
                <c:pt idx="3">
                  <c:v>0.31</c:v>
                </c:pt>
                <c:pt idx="4">
                  <c:v>0</c:v>
                </c:pt>
                <c:pt idx="5">
                  <c:v>0.54</c:v>
                </c:pt>
                <c:pt idx="6">
                  <c:v>0.46</c:v>
                </c:pt>
                <c:pt idx="7">
                  <c:v>0.5</c:v>
                </c:pt>
                <c:pt idx="8">
                  <c:v>0.45</c:v>
                </c:pt>
                <c:pt idx="9">
                  <c:v>0.28999999999999998</c:v>
                </c:pt>
                <c:pt idx="10">
                  <c:v>0.5</c:v>
                </c:pt>
                <c:pt idx="11">
                  <c:v>0</c:v>
                </c:pt>
                <c:pt idx="12">
                  <c:v>0.51</c:v>
                </c:pt>
                <c:pt idx="13">
                  <c:v>0.33</c:v>
                </c:pt>
                <c:pt idx="14">
                  <c:v>0.44</c:v>
                </c:pt>
                <c:pt idx="15">
                  <c:v>0.45</c:v>
                </c:pt>
                <c:pt idx="16">
                  <c:v>0.42</c:v>
                </c:pt>
                <c:pt idx="17">
                  <c:v>0.13</c:v>
                </c:pt>
                <c:pt idx="18">
                  <c:v>0</c:v>
                </c:pt>
                <c:pt idx="19">
                  <c:v>0.52</c:v>
                </c:pt>
                <c:pt idx="20">
                  <c:v>0.5</c:v>
                </c:pt>
                <c:pt idx="21">
                  <c:v>0.48</c:v>
                </c:pt>
                <c:pt idx="22">
                  <c:v>0.46</c:v>
                </c:pt>
                <c:pt idx="23">
                  <c:v>0.48</c:v>
                </c:pt>
                <c:pt idx="24">
                  <c:v>0.31</c:v>
                </c:pt>
                <c:pt idx="25">
                  <c:v>0</c:v>
                </c:pt>
                <c:pt idx="26">
                  <c:v>0.61</c:v>
                </c:pt>
                <c:pt idx="27">
                  <c:v>0.4</c:v>
                </c:pt>
                <c:pt idx="28">
                  <c:v>0.56000000000000005</c:v>
                </c:pt>
                <c:pt idx="29">
                  <c:v>0</c:v>
                </c:pt>
                <c:pt idx="3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17200"/>
        <c:axId val="14922676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Monthly'!chart_SL_TT</c:f>
              <c:numCache>
                <c:formatCode>0%</c:formatCode>
                <c:ptCount val="31"/>
                <c:pt idx="0">
                  <c:v>0.79</c:v>
                </c:pt>
                <c:pt idx="1">
                  <c:v>0.59</c:v>
                </c:pt>
                <c:pt idx="2">
                  <c:v>0.84</c:v>
                </c:pt>
                <c:pt idx="3">
                  <c:v>0.92</c:v>
                </c:pt>
                <c:pt idx="4" formatCode="General">
                  <c:v>0</c:v>
                </c:pt>
                <c:pt idx="5">
                  <c:v>0.92</c:v>
                </c:pt>
                <c:pt idx="6">
                  <c:v>0.89</c:v>
                </c:pt>
                <c:pt idx="7">
                  <c:v>0.89</c:v>
                </c:pt>
                <c:pt idx="8">
                  <c:v>0.82</c:v>
                </c:pt>
                <c:pt idx="9">
                  <c:v>0.86</c:v>
                </c:pt>
                <c:pt idx="10">
                  <c:v>0.87</c:v>
                </c:pt>
                <c:pt idx="11" formatCode="General">
                  <c:v>0</c:v>
                </c:pt>
                <c:pt idx="12">
                  <c:v>0.95</c:v>
                </c:pt>
                <c:pt idx="13">
                  <c:v>0.93</c:v>
                </c:pt>
                <c:pt idx="14">
                  <c:v>0.94</c:v>
                </c:pt>
                <c:pt idx="15">
                  <c:v>0.91</c:v>
                </c:pt>
                <c:pt idx="16">
                  <c:v>0.88</c:v>
                </c:pt>
                <c:pt idx="17">
                  <c:v>0.94</c:v>
                </c:pt>
                <c:pt idx="18" formatCode="General">
                  <c:v>0</c:v>
                </c:pt>
                <c:pt idx="19">
                  <c:v>0.8</c:v>
                </c:pt>
                <c:pt idx="20">
                  <c:v>0.71</c:v>
                </c:pt>
                <c:pt idx="21">
                  <c:v>0.65</c:v>
                </c:pt>
                <c:pt idx="22">
                  <c:v>0.86</c:v>
                </c:pt>
                <c:pt idx="23">
                  <c:v>0.75</c:v>
                </c:pt>
                <c:pt idx="24">
                  <c:v>0.85</c:v>
                </c:pt>
                <c:pt idx="25" formatCode="General">
                  <c:v>0</c:v>
                </c:pt>
                <c:pt idx="26">
                  <c:v>0.56000000000000005</c:v>
                </c:pt>
                <c:pt idx="27">
                  <c:v>0.91</c:v>
                </c:pt>
                <c:pt idx="28">
                  <c:v>0.82</c:v>
                </c:pt>
                <c:pt idx="29" formatCode="General">
                  <c:v>0</c:v>
                </c:pt>
                <c:pt idx="30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E-484D-9A06-5D10764D71C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Monthly'!chart_ABR_TT</c:f>
              <c:numCache>
                <c:formatCode>0%</c:formatCode>
                <c:ptCount val="31"/>
                <c:pt idx="0">
                  <c:v>0.06</c:v>
                </c:pt>
                <c:pt idx="1">
                  <c:v>0.08</c:v>
                </c:pt>
                <c:pt idx="2">
                  <c:v>0.05</c:v>
                </c:pt>
                <c:pt idx="3">
                  <c:v>0.03</c:v>
                </c:pt>
                <c:pt idx="4" formatCode="General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0.06</c:v>
                </c:pt>
                <c:pt idx="9">
                  <c:v>0.1</c:v>
                </c:pt>
                <c:pt idx="10">
                  <c:v>0.04</c:v>
                </c:pt>
                <c:pt idx="11" formatCode="General">
                  <c:v>0</c:v>
                </c:pt>
                <c:pt idx="12">
                  <c:v>0.02</c:v>
                </c:pt>
                <c:pt idx="13">
                  <c:v>0.03</c:v>
                </c:pt>
                <c:pt idx="14">
                  <c:v>0.02</c:v>
                </c:pt>
                <c:pt idx="15">
                  <c:v>0.02</c:v>
                </c:pt>
                <c:pt idx="16">
                  <c:v>0.04</c:v>
                </c:pt>
                <c:pt idx="17">
                  <c:v>7.0000000000000007E-2</c:v>
                </c:pt>
                <c:pt idx="18" formatCode="General">
                  <c:v>0</c:v>
                </c:pt>
                <c:pt idx="19">
                  <c:v>0.05</c:v>
                </c:pt>
                <c:pt idx="20">
                  <c:v>0.1</c:v>
                </c:pt>
                <c:pt idx="21">
                  <c:v>0.13</c:v>
                </c:pt>
                <c:pt idx="22">
                  <c:v>0.04</c:v>
                </c:pt>
                <c:pt idx="23">
                  <c:v>0.08</c:v>
                </c:pt>
                <c:pt idx="24">
                  <c:v>0.05</c:v>
                </c:pt>
                <c:pt idx="25" formatCode="General">
                  <c:v>0</c:v>
                </c:pt>
                <c:pt idx="26">
                  <c:v>0.12</c:v>
                </c:pt>
                <c:pt idx="27">
                  <c:v>0.03</c:v>
                </c:pt>
                <c:pt idx="28">
                  <c:v>0.06</c:v>
                </c:pt>
                <c:pt idx="29" formatCode="General">
                  <c:v>0</c:v>
                </c:pt>
                <c:pt idx="3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17200"/>
        <c:axId val="149226768"/>
      </c:lineChart>
      <c:dateAx>
        <c:axId val="1492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6768"/>
        <c:crosses val="autoZero"/>
        <c:auto val="1"/>
        <c:lblOffset val="100"/>
        <c:baseTimeUnit val="days"/>
      </c:dateAx>
      <c:valAx>
        <c:axId val="1492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</a:t>
                </a:r>
                <a:r>
                  <a:rPr lang="en-JM" sz="1400" baseline="0"/>
                  <a:t> 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WoW</a:t>
            </a:r>
            <a:r>
              <a:rPr lang="en-JM" baseline="0"/>
              <a:t> Analysis of Calls Offered and Calls Answered - 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'Trinidad and Tobago'!$AL$13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'Trinidad and Tobago'!$AK$14:$AK$65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'Trinidad and Tobago'!$AL$14:$AL$65</c:f>
              <c:numCache>
                <c:formatCode>General</c:formatCode>
                <c:ptCount val="52"/>
                <c:pt idx="0">
                  <c:v>5036</c:v>
                </c:pt>
                <c:pt idx="1">
                  <c:v>4269</c:v>
                </c:pt>
                <c:pt idx="2">
                  <c:v>4292</c:v>
                </c:pt>
                <c:pt idx="3">
                  <c:v>6024</c:v>
                </c:pt>
                <c:pt idx="4">
                  <c:v>5575</c:v>
                </c:pt>
                <c:pt idx="5">
                  <c:v>5827</c:v>
                </c:pt>
                <c:pt idx="6">
                  <c:v>5291</c:v>
                </c:pt>
                <c:pt idx="7">
                  <c:v>4602</c:v>
                </c:pt>
                <c:pt idx="8">
                  <c:v>3903</c:v>
                </c:pt>
                <c:pt idx="9">
                  <c:v>4680</c:v>
                </c:pt>
                <c:pt idx="10">
                  <c:v>4193</c:v>
                </c:pt>
                <c:pt idx="11">
                  <c:v>4591</c:v>
                </c:pt>
                <c:pt idx="12">
                  <c:v>5254</c:v>
                </c:pt>
                <c:pt idx="13">
                  <c:v>5465</c:v>
                </c:pt>
                <c:pt idx="14">
                  <c:v>5693</c:v>
                </c:pt>
                <c:pt idx="15">
                  <c:v>5608</c:v>
                </c:pt>
                <c:pt idx="16">
                  <c:v>5460</c:v>
                </c:pt>
                <c:pt idx="17">
                  <c:v>4913</c:v>
                </c:pt>
                <c:pt idx="18">
                  <c:v>5022</c:v>
                </c:pt>
                <c:pt idx="19">
                  <c:v>4587</c:v>
                </c:pt>
                <c:pt idx="20">
                  <c:v>4713</c:v>
                </c:pt>
                <c:pt idx="21">
                  <c:v>5271</c:v>
                </c:pt>
                <c:pt idx="22">
                  <c:v>5544</c:v>
                </c:pt>
                <c:pt idx="23">
                  <c:v>5111</c:v>
                </c:pt>
                <c:pt idx="24">
                  <c:v>4647</c:v>
                </c:pt>
                <c:pt idx="25">
                  <c:v>6325</c:v>
                </c:pt>
                <c:pt idx="26">
                  <c:v>5972</c:v>
                </c:pt>
                <c:pt idx="27">
                  <c:v>5039</c:v>
                </c:pt>
                <c:pt idx="28">
                  <c:v>5135</c:v>
                </c:pt>
                <c:pt idx="29">
                  <c:v>5713</c:v>
                </c:pt>
                <c:pt idx="30">
                  <c:v>5727</c:v>
                </c:pt>
                <c:pt idx="31">
                  <c:v>5593</c:v>
                </c:pt>
                <c:pt idx="32">
                  <c:v>5775</c:v>
                </c:pt>
                <c:pt idx="33">
                  <c:v>7355</c:v>
                </c:pt>
                <c:pt idx="34">
                  <c:v>8516</c:v>
                </c:pt>
                <c:pt idx="35">
                  <c:v>7466</c:v>
                </c:pt>
                <c:pt idx="36">
                  <c:v>7492</c:v>
                </c:pt>
                <c:pt idx="37">
                  <c:v>7764</c:v>
                </c:pt>
                <c:pt idx="38">
                  <c:v>3538</c:v>
                </c:pt>
                <c:pt idx="39">
                  <c:v>3868</c:v>
                </c:pt>
                <c:pt idx="40">
                  <c:v>4375</c:v>
                </c:pt>
                <c:pt idx="41">
                  <c:v>4157</c:v>
                </c:pt>
                <c:pt idx="42">
                  <c:v>4157</c:v>
                </c:pt>
                <c:pt idx="43">
                  <c:v>4126</c:v>
                </c:pt>
                <c:pt idx="44">
                  <c:v>4133</c:v>
                </c:pt>
                <c:pt idx="45">
                  <c:v>3568</c:v>
                </c:pt>
                <c:pt idx="46">
                  <c:v>2783</c:v>
                </c:pt>
                <c:pt idx="47">
                  <c:v>4531</c:v>
                </c:pt>
                <c:pt idx="48">
                  <c:v>3698</c:v>
                </c:pt>
                <c:pt idx="49">
                  <c:v>3491</c:v>
                </c:pt>
                <c:pt idx="50">
                  <c:v>3554</c:v>
                </c:pt>
                <c:pt idx="51">
                  <c:v>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0-4F0F-A588-14C874430227}"/>
            </c:ext>
          </c:extLst>
        </c:ser>
        <c:ser>
          <c:idx val="1"/>
          <c:order val="1"/>
          <c:tx>
            <c:strRef>
              <c:f>'Trinidad and Tobago'!$AM$13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'Trinidad and Tobago'!$AK$14:$AK$65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'Trinidad and Tobago'!$AM$14:$AM$65</c:f>
              <c:numCache>
                <c:formatCode>General</c:formatCode>
                <c:ptCount val="52"/>
                <c:pt idx="0">
                  <c:v>4570</c:v>
                </c:pt>
                <c:pt idx="1">
                  <c:v>3532</c:v>
                </c:pt>
                <c:pt idx="2">
                  <c:v>3683</c:v>
                </c:pt>
                <c:pt idx="3">
                  <c:v>3923</c:v>
                </c:pt>
                <c:pt idx="4">
                  <c:v>2218</c:v>
                </c:pt>
                <c:pt idx="5">
                  <c:v>3805</c:v>
                </c:pt>
                <c:pt idx="6">
                  <c:v>3613</c:v>
                </c:pt>
                <c:pt idx="7">
                  <c:v>4127</c:v>
                </c:pt>
                <c:pt idx="8">
                  <c:v>3511</c:v>
                </c:pt>
                <c:pt idx="9">
                  <c:v>4092</c:v>
                </c:pt>
                <c:pt idx="10">
                  <c:v>3339</c:v>
                </c:pt>
                <c:pt idx="11">
                  <c:v>3315</c:v>
                </c:pt>
                <c:pt idx="12">
                  <c:v>3321</c:v>
                </c:pt>
                <c:pt idx="13">
                  <c:v>3427</c:v>
                </c:pt>
                <c:pt idx="14">
                  <c:v>3642</c:v>
                </c:pt>
                <c:pt idx="15">
                  <c:v>3857</c:v>
                </c:pt>
                <c:pt idx="16">
                  <c:v>3243</c:v>
                </c:pt>
                <c:pt idx="17">
                  <c:v>2497</c:v>
                </c:pt>
                <c:pt idx="18">
                  <c:v>3168</c:v>
                </c:pt>
                <c:pt idx="19">
                  <c:v>3428</c:v>
                </c:pt>
                <c:pt idx="20">
                  <c:v>3871</c:v>
                </c:pt>
                <c:pt idx="21">
                  <c:v>2195</c:v>
                </c:pt>
                <c:pt idx="22">
                  <c:v>2993</c:v>
                </c:pt>
                <c:pt idx="23">
                  <c:v>3087</c:v>
                </c:pt>
                <c:pt idx="24">
                  <c:v>3146</c:v>
                </c:pt>
                <c:pt idx="25">
                  <c:v>3116</c:v>
                </c:pt>
                <c:pt idx="26">
                  <c:v>2372</c:v>
                </c:pt>
                <c:pt idx="27">
                  <c:v>3973</c:v>
                </c:pt>
                <c:pt idx="28">
                  <c:v>4042</c:v>
                </c:pt>
                <c:pt idx="29">
                  <c:v>1913</c:v>
                </c:pt>
                <c:pt idx="30">
                  <c:v>3696</c:v>
                </c:pt>
                <c:pt idx="31">
                  <c:v>3572</c:v>
                </c:pt>
                <c:pt idx="32">
                  <c:v>4203</c:v>
                </c:pt>
                <c:pt idx="33">
                  <c:v>4620</c:v>
                </c:pt>
                <c:pt idx="34">
                  <c:v>4607</c:v>
                </c:pt>
                <c:pt idx="35">
                  <c:v>5023</c:v>
                </c:pt>
                <c:pt idx="36">
                  <c:v>5333</c:v>
                </c:pt>
                <c:pt idx="37">
                  <c:v>4576</c:v>
                </c:pt>
                <c:pt idx="38">
                  <c:v>2719</c:v>
                </c:pt>
                <c:pt idx="39">
                  <c:v>3273</c:v>
                </c:pt>
                <c:pt idx="40">
                  <c:v>3856</c:v>
                </c:pt>
                <c:pt idx="41">
                  <c:v>3932</c:v>
                </c:pt>
                <c:pt idx="42">
                  <c:v>3914</c:v>
                </c:pt>
                <c:pt idx="43">
                  <c:v>4022</c:v>
                </c:pt>
                <c:pt idx="44">
                  <c:v>4015</c:v>
                </c:pt>
                <c:pt idx="45">
                  <c:v>3350</c:v>
                </c:pt>
                <c:pt idx="46">
                  <c:v>2571</c:v>
                </c:pt>
                <c:pt idx="47">
                  <c:v>4151</c:v>
                </c:pt>
                <c:pt idx="48">
                  <c:v>3528</c:v>
                </c:pt>
                <c:pt idx="49">
                  <c:v>3382</c:v>
                </c:pt>
                <c:pt idx="50">
                  <c:v>3282</c:v>
                </c:pt>
                <c:pt idx="51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0-4F0F-A588-14C874430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33087"/>
        <c:axId val="1438340991"/>
      </c:lineChart>
      <c:dateAx>
        <c:axId val="143833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0991"/>
        <c:crosses val="autoZero"/>
        <c:auto val="1"/>
        <c:lblOffset val="100"/>
        <c:baseTimeUnit val="days"/>
      </c:dateAx>
      <c:valAx>
        <c:axId val="143834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3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TT_SVL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Monthly'!chart_SL_TT</c:f>
              <c:numCache>
                <c:formatCode>0%</c:formatCode>
                <c:ptCount val="31"/>
                <c:pt idx="0">
                  <c:v>0.79</c:v>
                </c:pt>
                <c:pt idx="1">
                  <c:v>0.59</c:v>
                </c:pt>
                <c:pt idx="2">
                  <c:v>0.84</c:v>
                </c:pt>
                <c:pt idx="3">
                  <c:v>0.92</c:v>
                </c:pt>
                <c:pt idx="4" formatCode="General">
                  <c:v>0</c:v>
                </c:pt>
                <c:pt idx="5">
                  <c:v>0.92</c:v>
                </c:pt>
                <c:pt idx="6">
                  <c:v>0.89</c:v>
                </c:pt>
                <c:pt idx="7">
                  <c:v>0.89</c:v>
                </c:pt>
                <c:pt idx="8">
                  <c:v>0.82</c:v>
                </c:pt>
                <c:pt idx="9">
                  <c:v>0.86</c:v>
                </c:pt>
                <c:pt idx="10">
                  <c:v>0.87</c:v>
                </c:pt>
                <c:pt idx="11" formatCode="General">
                  <c:v>0</c:v>
                </c:pt>
                <c:pt idx="12">
                  <c:v>0.95</c:v>
                </c:pt>
                <c:pt idx="13">
                  <c:v>0.93</c:v>
                </c:pt>
                <c:pt idx="14">
                  <c:v>0.94</c:v>
                </c:pt>
                <c:pt idx="15">
                  <c:v>0.91</c:v>
                </c:pt>
                <c:pt idx="16">
                  <c:v>0.88</c:v>
                </c:pt>
                <c:pt idx="17">
                  <c:v>0.94</c:v>
                </c:pt>
                <c:pt idx="18" formatCode="General">
                  <c:v>0</c:v>
                </c:pt>
                <c:pt idx="19">
                  <c:v>0.8</c:v>
                </c:pt>
                <c:pt idx="20">
                  <c:v>0.71</c:v>
                </c:pt>
                <c:pt idx="21">
                  <c:v>0.65</c:v>
                </c:pt>
                <c:pt idx="22">
                  <c:v>0.86</c:v>
                </c:pt>
                <c:pt idx="23">
                  <c:v>0.75</c:v>
                </c:pt>
                <c:pt idx="24">
                  <c:v>0.85</c:v>
                </c:pt>
                <c:pt idx="25" formatCode="General">
                  <c:v>0</c:v>
                </c:pt>
                <c:pt idx="26">
                  <c:v>0.56000000000000005</c:v>
                </c:pt>
                <c:pt idx="27">
                  <c:v>0.91</c:v>
                </c:pt>
                <c:pt idx="28">
                  <c:v>0.82</c:v>
                </c:pt>
                <c:pt idx="29" formatCode="General">
                  <c:v>0</c:v>
                </c:pt>
                <c:pt idx="3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387039"/>
        <c:axId val="1498388703"/>
      </c:barChart>
      <c:lineChart>
        <c:grouping val="standard"/>
        <c:varyColors val="0"/>
        <c:ser>
          <c:idx val="1"/>
          <c:order val="1"/>
          <c:tx>
            <c:v>TT_Agents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Monthly'!chart_WFM_TTO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0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0</c:v>
                </c:pt>
                <c:pt idx="19">
                  <c:v>11</c:v>
                </c:pt>
                <c:pt idx="20">
                  <c:v>9</c:v>
                </c:pt>
                <c:pt idx="21">
                  <c:v>8</c:v>
                </c:pt>
                <c:pt idx="22">
                  <c:v>10</c:v>
                </c:pt>
                <c:pt idx="23">
                  <c:v>10</c:v>
                </c:pt>
                <c:pt idx="24">
                  <c:v>7</c:v>
                </c:pt>
                <c:pt idx="25">
                  <c:v>0</c:v>
                </c:pt>
                <c:pt idx="26">
                  <c:v>9</c:v>
                </c:pt>
                <c:pt idx="27">
                  <c:v>11</c:v>
                </c:pt>
                <c:pt idx="28">
                  <c:v>10</c:v>
                </c:pt>
                <c:pt idx="29">
                  <c:v>0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89119"/>
        <c:axId val="1498382879"/>
      </c:lineChart>
      <c:dateAx>
        <c:axId val="149838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8703"/>
        <c:crosses val="autoZero"/>
        <c:auto val="1"/>
        <c:lblOffset val="100"/>
        <c:baseTimeUnit val="days"/>
      </c:dateAx>
      <c:valAx>
        <c:axId val="14983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</a:t>
                </a:r>
                <a:r>
                  <a:rPr lang="en-JM" baseline="0"/>
                  <a:t> Level Achieved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7039"/>
        <c:crosses val="autoZero"/>
        <c:crossBetween val="between"/>
      </c:valAx>
      <c:valAx>
        <c:axId val="14983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9119"/>
        <c:crosses val="max"/>
        <c:crossBetween val="between"/>
      </c:valAx>
      <c:dateAx>
        <c:axId val="149838911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49838287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'Trinidad and Tobago'!$AL$143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'Trinidad and Tobago'!$AM$143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B-406C-B412-98981414E136}"/>
            </c:ext>
          </c:extLst>
        </c:ser>
        <c:ser>
          <c:idx val="1"/>
          <c:order val="1"/>
          <c:tx>
            <c:strRef>
              <c:f>'Trinidad and Tobago'!$AL$144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'Trinidad and Tobago'!$AM$144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B-406C-B412-98981414E136}"/>
            </c:ext>
          </c:extLst>
        </c:ser>
        <c:ser>
          <c:idx val="2"/>
          <c:order val="2"/>
          <c:tx>
            <c:strRef>
              <c:f>'Trinidad and Tobago'!$AL$145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'Trinidad and Tobago'!$AM$145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CB-406C-B412-98981414E136}"/>
            </c:ext>
          </c:extLst>
        </c:ser>
        <c:ser>
          <c:idx val="3"/>
          <c:order val="3"/>
          <c:tx>
            <c:strRef>
              <c:f>'Trinidad and Tobago'!$AL$146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'Trinidad and Tobago'!$AM$146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96179663"/>
        <c:axId val="1896199631"/>
      </c:barChart>
      <c:lineChart>
        <c:grouping val="standard"/>
        <c:varyColors val="0"/>
        <c:ser>
          <c:idx val="4"/>
          <c:order val="4"/>
          <c:tx>
            <c:strRef>
              <c:f>'Trinidad and Tobago'!$AL$147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52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'Trinidad and Tobago'!$AM$147</c:f>
              <c:numCache>
                <c:formatCode>[mm]:ss</c:formatCode>
                <c:ptCount val="1"/>
                <c:pt idx="0">
                  <c:v>179.84615384615384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179663"/>
        <c:axId val="1896199631"/>
      </c:lineChart>
      <c:catAx>
        <c:axId val="1896179663"/>
        <c:scaling>
          <c:orientation val="minMax"/>
        </c:scaling>
        <c:delete val="1"/>
        <c:axPos val="b"/>
        <c:majorTickMark val="none"/>
        <c:minorTickMark val="none"/>
        <c:tickLblPos val="nextTo"/>
        <c:crossAx val="1896199631"/>
        <c:crosses val="autoZero"/>
        <c:auto val="1"/>
        <c:lblAlgn val="ctr"/>
        <c:lblOffset val="100"/>
        <c:noMultiLvlLbl val="0"/>
      </c:catAx>
      <c:valAx>
        <c:axId val="189619963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796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Call Volume -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Monthly'!chart_calls_off_BAR</c:f>
              <c:numCache>
                <c:formatCode>General</c:formatCode>
                <c:ptCount val="31"/>
                <c:pt idx="0">
                  <c:v>415</c:v>
                </c:pt>
                <c:pt idx="1">
                  <c:v>442</c:v>
                </c:pt>
                <c:pt idx="2">
                  <c:v>311</c:v>
                </c:pt>
                <c:pt idx="3">
                  <c:v>230</c:v>
                </c:pt>
                <c:pt idx="4">
                  <c:v>0</c:v>
                </c:pt>
                <c:pt idx="5">
                  <c:v>439</c:v>
                </c:pt>
                <c:pt idx="6">
                  <c:v>402</c:v>
                </c:pt>
                <c:pt idx="7">
                  <c:v>343</c:v>
                </c:pt>
                <c:pt idx="8">
                  <c:v>334</c:v>
                </c:pt>
                <c:pt idx="9">
                  <c:v>395</c:v>
                </c:pt>
                <c:pt idx="10">
                  <c:v>175</c:v>
                </c:pt>
                <c:pt idx="11">
                  <c:v>0</c:v>
                </c:pt>
                <c:pt idx="12">
                  <c:v>434</c:v>
                </c:pt>
                <c:pt idx="13">
                  <c:v>415</c:v>
                </c:pt>
                <c:pt idx="14">
                  <c:v>438</c:v>
                </c:pt>
                <c:pt idx="15">
                  <c:v>424</c:v>
                </c:pt>
                <c:pt idx="16">
                  <c:v>400</c:v>
                </c:pt>
                <c:pt idx="17">
                  <c:v>255</c:v>
                </c:pt>
                <c:pt idx="18">
                  <c:v>0</c:v>
                </c:pt>
                <c:pt idx="19">
                  <c:v>374</c:v>
                </c:pt>
                <c:pt idx="20">
                  <c:v>333</c:v>
                </c:pt>
                <c:pt idx="21">
                  <c:v>471</c:v>
                </c:pt>
                <c:pt idx="22">
                  <c:v>355</c:v>
                </c:pt>
                <c:pt idx="23">
                  <c:v>328</c:v>
                </c:pt>
                <c:pt idx="24">
                  <c:v>297</c:v>
                </c:pt>
                <c:pt idx="25">
                  <c:v>0</c:v>
                </c:pt>
                <c:pt idx="26">
                  <c:v>450</c:v>
                </c:pt>
                <c:pt idx="27">
                  <c:v>420</c:v>
                </c:pt>
                <c:pt idx="28">
                  <c:v>416</c:v>
                </c:pt>
                <c:pt idx="29">
                  <c:v>341</c:v>
                </c:pt>
                <c:pt idx="3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0-4A89-AF0E-430D5D04B1B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Monthly'!chart_calls_ans_BAR</c:f>
              <c:numCache>
                <c:formatCode>General</c:formatCode>
                <c:ptCount val="31"/>
                <c:pt idx="0">
                  <c:v>352</c:v>
                </c:pt>
                <c:pt idx="1">
                  <c:v>416</c:v>
                </c:pt>
                <c:pt idx="2">
                  <c:v>297</c:v>
                </c:pt>
                <c:pt idx="3">
                  <c:v>219</c:v>
                </c:pt>
                <c:pt idx="4">
                  <c:v>0</c:v>
                </c:pt>
                <c:pt idx="5">
                  <c:v>401</c:v>
                </c:pt>
                <c:pt idx="6">
                  <c:v>380</c:v>
                </c:pt>
                <c:pt idx="7">
                  <c:v>335</c:v>
                </c:pt>
                <c:pt idx="8">
                  <c:v>321</c:v>
                </c:pt>
                <c:pt idx="9">
                  <c:v>380</c:v>
                </c:pt>
                <c:pt idx="10">
                  <c:v>166</c:v>
                </c:pt>
                <c:pt idx="11">
                  <c:v>0</c:v>
                </c:pt>
                <c:pt idx="12">
                  <c:v>382</c:v>
                </c:pt>
                <c:pt idx="13">
                  <c:v>353</c:v>
                </c:pt>
                <c:pt idx="14">
                  <c:v>406</c:v>
                </c:pt>
                <c:pt idx="15">
                  <c:v>405</c:v>
                </c:pt>
                <c:pt idx="16">
                  <c:v>381</c:v>
                </c:pt>
                <c:pt idx="17">
                  <c:v>231</c:v>
                </c:pt>
                <c:pt idx="18">
                  <c:v>0</c:v>
                </c:pt>
                <c:pt idx="19">
                  <c:v>310</c:v>
                </c:pt>
                <c:pt idx="20">
                  <c:v>322</c:v>
                </c:pt>
                <c:pt idx="21">
                  <c:v>431</c:v>
                </c:pt>
                <c:pt idx="22">
                  <c:v>340</c:v>
                </c:pt>
                <c:pt idx="23">
                  <c:v>313</c:v>
                </c:pt>
                <c:pt idx="24">
                  <c:v>247</c:v>
                </c:pt>
                <c:pt idx="25">
                  <c:v>0</c:v>
                </c:pt>
                <c:pt idx="26">
                  <c:v>406</c:v>
                </c:pt>
                <c:pt idx="27">
                  <c:v>395</c:v>
                </c:pt>
                <c:pt idx="28">
                  <c:v>388</c:v>
                </c:pt>
                <c:pt idx="29">
                  <c:v>328</c:v>
                </c:pt>
                <c:pt idx="3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90-4A89-AF0E-430D5D04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448"/>
        <c:axId val="14277584"/>
      </c:barChart>
      <c:dateAx>
        <c:axId val="142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584"/>
        <c:crosses val="autoZero"/>
        <c:auto val="1"/>
        <c:lblOffset val="100"/>
        <c:baseTimeUnit val="days"/>
      </c:dateAx>
      <c:valAx>
        <c:axId val="142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Monthly'!chart_WoW_off_BAR_percent</c:f>
              <c:numCache>
                <c:formatCode>0.00%</c:formatCode>
                <c:ptCount val="31"/>
                <c:pt idx="0">
                  <c:v>2.9776674937965261E-2</c:v>
                </c:pt>
                <c:pt idx="1">
                  <c:v>8.0684596577017112E-2</c:v>
                </c:pt>
                <c:pt idx="2">
                  <c:v>-0.14794520547945206</c:v>
                </c:pt>
                <c:pt idx="3">
                  <c:v>5.9907834101382486E-2</c:v>
                </c:pt>
                <c:pt idx="4">
                  <c:v>0</c:v>
                </c:pt>
                <c:pt idx="5">
                  <c:v>-1.3483146067415731E-2</c:v>
                </c:pt>
                <c:pt idx="6">
                  <c:v>-9.8654708520179366E-2</c:v>
                </c:pt>
                <c:pt idx="7">
                  <c:v>-0.17349397590361446</c:v>
                </c:pt>
                <c:pt idx="8">
                  <c:v>-0.24434389140271492</c:v>
                </c:pt>
                <c:pt idx="9">
                  <c:v>0.27009646302250806</c:v>
                </c:pt>
                <c:pt idx="10">
                  <c:v>-0.2391304347826087</c:v>
                </c:pt>
                <c:pt idx="11">
                  <c:v>0</c:v>
                </c:pt>
                <c:pt idx="12">
                  <c:v>-1.1389521640091117E-2</c:v>
                </c:pt>
                <c:pt idx="13">
                  <c:v>3.2338308457711441E-2</c:v>
                </c:pt>
                <c:pt idx="14">
                  <c:v>0.27696793002915454</c:v>
                </c:pt>
                <c:pt idx="15">
                  <c:v>0.26946107784431139</c:v>
                </c:pt>
                <c:pt idx="16">
                  <c:v>1.2658227848101266E-2</c:v>
                </c:pt>
                <c:pt idx="17">
                  <c:v>0.45714285714285713</c:v>
                </c:pt>
                <c:pt idx="18">
                  <c:v>0</c:v>
                </c:pt>
                <c:pt idx="19">
                  <c:v>-0.13824884792626729</c:v>
                </c:pt>
                <c:pt idx="20">
                  <c:v>-0.19759036144578312</c:v>
                </c:pt>
                <c:pt idx="21">
                  <c:v>7.5342465753424653E-2</c:v>
                </c:pt>
                <c:pt idx="22">
                  <c:v>-0.16273584905660377</c:v>
                </c:pt>
                <c:pt idx="23">
                  <c:v>-0.18</c:v>
                </c:pt>
                <c:pt idx="24">
                  <c:v>0.16470588235294117</c:v>
                </c:pt>
                <c:pt idx="25">
                  <c:v>0</c:v>
                </c:pt>
                <c:pt idx="26">
                  <c:v>0.20320855614973263</c:v>
                </c:pt>
                <c:pt idx="27">
                  <c:v>0.26126126126126126</c:v>
                </c:pt>
                <c:pt idx="28">
                  <c:v>-0.11677282377919321</c:v>
                </c:pt>
                <c:pt idx="29">
                  <c:v>-3.9436619718309862E-2</c:v>
                </c:pt>
                <c:pt idx="30">
                  <c:v>-0.1524390243902439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D-4256-B8E6-6C7BAA81504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Monthly'!chart_WoW_ans_BAR_percent</c:f>
              <c:numCache>
                <c:formatCode>0.00%</c:formatCode>
                <c:ptCount val="31"/>
                <c:pt idx="0">
                  <c:v>-4.0871934604904632E-2</c:v>
                </c:pt>
                <c:pt idx="1">
                  <c:v>8.3333333333333329E-2</c:v>
                </c:pt>
                <c:pt idx="2">
                  <c:v>-0.13662790697674418</c:v>
                </c:pt>
                <c:pt idx="3">
                  <c:v>0.15873015873015872</c:v>
                </c:pt>
                <c:pt idx="4">
                  <c:v>0</c:v>
                </c:pt>
                <c:pt idx="5">
                  <c:v>-3.140096618357488E-2</c:v>
                </c:pt>
                <c:pt idx="6">
                  <c:v>-2.8132992327365727E-2</c:v>
                </c:pt>
                <c:pt idx="7">
                  <c:v>-4.8295454545454544E-2</c:v>
                </c:pt>
                <c:pt idx="8">
                  <c:v>-0.22836538461538461</c:v>
                </c:pt>
                <c:pt idx="9">
                  <c:v>0.27946127946127947</c:v>
                </c:pt>
                <c:pt idx="10">
                  <c:v>-0.24200913242009131</c:v>
                </c:pt>
                <c:pt idx="11">
                  <c:v>0</c:v>
                </c:pt>
                <c:pt idx="12">
                  <c:v>-4.738154613466334E-2</c:v>
                </c:pt>
                <c:pt idx="13">
                  <c:v>-7.1052631578947367E-2</c:v>
                </c:pt>
                <c:pt idx="14">
                  <c:v>0.21194029850746268</c:v>
                </c:pt>
                <c:pt idx="15">
                  <c:v>0.26168224299065418</c:v>
                </c:pt>
                <c:pt idx="16">
                  <c:v>2.631578947368421E-3</c:v>
                </c:pt>
                <c:pt idx="17">
                  <c:v>0.39156626506024095</c:v>
                </c:pt>
                <c:pt idx="18">
                  <c:v>0</c:v>
                </c:pt>
                <c:pt idx="19">
                  <c:v>-0.18848167539267016</c:v>
                </c:pt>
                <c:pt idx="20">
                  <c:v>-8.7818696883852687E-2</c:v>
                </c:pt>
                <c:pt idx="21">
                  <c:v>6.1576354679802957E-2</c:v>
                </c:pt>
                <c:pt idx="22">
                  <c:v>-0.16049382716049382</c:v>
                </c:pt>
                <c:pt idx="23">
                  <c:v>-0.17847769028871391</c:v>
                </c:pt>
                <c:pt idx="24">
                  <c:v>6.9264069264069264E-2</c:v>
                </c:pt>
                <c:pt idx="25">
                  <c:v>0</c:v>
                </c:pt>
                <c:pt idx="26">
                  <c:v>0.30967741935483872</c:v>
                </c:pt>
                <c:pt idx="27">
                  <c:v>0.2267080745341615</c:v>
                </c:pt>
                <c:pt idx="28">
                  <c:v>-9.9767981438515077E-2</c:v>
                </c:pt>
                <c:pt idx="29">
                  <c:v>-3.5294117647058823E-2</c:v>
                </c:pt>
                <c:pt idx="30">
                  <c:v>-0.12779552715654952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3D-4256-B8E6-6C7BAA815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207584"/>
        <c:axId val="645202176"/>
      </c:barChart>
      <c:dateAx>
        <c:axId val="64520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2176"/>
        <c:crosses val="autoZero"/>
        <c:auto val="1"/>
        <c:lblOffset val="100"/>
        <c:baseTimeUnit val="days"/>
      </c:dateAx>
      <c:valAx>
        <c:axId val="645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</a:t>
                </a:r>
                <a:r>
                  <a:rPr lang="en-JM" sz="1400" baseline="0"/>
                  <a:t> change of call volumes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Monthly'!chart_AU_BAR</c:f>
              <c:numCache>
                <c:formatCode>0%</c:formatCode>
                <c:ptCount val="31"/>
                <c:pt idx="0">
                  <c:v>0.49</c:v>
                </c:pt>
                <c:pt idx="1">
                  <c:v>0.48</c:v>
                </c:pt>
                <c:pt idx="2">
                  <c:v>0.51</c:v>
                </c:pt>
                <c:pt idx="3">
                  <c:v>0.47</c:v>
                </c:pt>
                <c:pt idx="4">
                  <c:v>0</c:v>
                </c:pt>
                <c:pt idx="5">
                  <c:v>0.53</c:v>
                </c:pt>
                <c:pt idx="6">
                  <c:v>0.44</c:v>
                </c:pt>
                <c:pt idx="7">
                  <c:v>0.46</c:v>
                </c:pt>
                <c:pt idx="8">
                  <c:v>0.37</c:v>
                </c:pt>
                <c:pt idx="9">
                  <c:v>0.44</c:v>
                </c:pt>
                <c:pt idx="10">
                  <c:v>0.5</c:v>
                </c:pt>
                <c:pt idx="11">
                  <c:v>0</c:v>
                </c:pt>
                <c:pt idx="12">
                  <c:v>0.57999999999999996</c:v>
                </c:pt>
                <c:pt idx="13">
                  <c:v>0.61</c:v>
                </c:pt>
                <c:pt idx="14">
                  <c:v>0.7</c:v>
                </c:pt>
                <c:pt idx="15">
                  <c:v>0.7</c:v>
                </c:pt>
                <c:pt idx="16">
                  <c:v>0.69</c:v>
                </c:pt>
                <c:pt idx="17">
                  <c:v>0.57999999999999996</c:v>
                </c:pt>
                <c:pt idx="18">
                  <c:v>0</c:v>
                </c:pt>
                <c:pt idx="19">
                  <c:v>0.43</c:v>
                </c:pt>
                <c:pt idx="20">
                  <c:v>0.56000000000000005</c:v>
                </c:pt>
                <c:pt idx="21">
                  <c:v>0.74</c:v>
                </c:pt>
                <c:pt idx="22">
                  <c:v>0.59</c:v>
                </c:pt>
                <c:pt idx="23">
                  <c:v>0.43</c:v>
                </c:pt>
                <c:pt idx="24">
                  <c:v>0.56999999999999995</c:v>
                </c:pt>
                <c:pt idx="25">
                  <c:v>0</c:v>
                </c:pt>
                <c:pt idx="26">
                  <c:v>0.47</c:v>
                </c:pt>
                <c:pt idx="27">
                  <c:v>0.68</c:v>
                </c:pt>
                <c:pt idx="28">
                  <c:v>0.67</c:v>
                </c:pt>
                <c:pt idx="29">
                  <c:v>0.45</c:v>
                </c:pt>
                <c:pt idx="30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09136"/>
        <c:axId val="477198736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4-4226-BBC9-D5F0B2779B06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Monthly'!chart_ABR_BAR</c:f>
              <c:numCache>
                <c:formatCode>0%</c:formatCode>
                <c:ptCount val="31"/>
                <c:pt idx="0">
                  <c:v>0.15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0.09</c:v>
                </c:pt>
                <c:pt idx="6">
                  <c:v>0.05</c:v>
                </c:pt>
                <c:pt idx="7">
                  <c:v>0.02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</c:v>
                </c:pt>
                <c:pt idx="12">
                  <c:v>0.12</c:v>
                </c:pt>
                <c:pt idx="13">
                  <c:v>0.15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0.05</c:v>
                </c:pt>
                <c:pt idx="17">
                  <c:v>0.09</c:v>
                </c:pt>
                <c:pt idx="18">
                  <c:v>0</c:v>
                </c:pt>
                <c:pt idx="19">
                  <c:v>0.17</c:v>
                </c:pt>
                <c:pt idx="20">
                  <c:v>0.03</c:v>
                </c:pt>
                <c:pt idx="21">
                  <c:v>0.08</c:v>
                </c:pt>
                <c:pt idx="22">
                  <c:v>0.04</c:v>
                </c:pt>
                <c:pt idx="23">
                  <c:v>0.04</c:v>
                </c:pt>
                <c:pt idx="24">
                  <c:v>0.17</c:v>
                </c:pt>
                <c:pt idx="25">
                  <c:v>0</c:v>
                </c:pt>
                <c:pt idx="26">
                  <c:v>0.1</c:v>
                </c:pt>
                <c:pt idx="27">
                  <c:v>0.06</c:v>
                </c:pt>
                <c:pt idx="28">
                  <c:v>0.06</c:v>
                </c:pt>
                <c:pt idx="29">
                  <c:v>0.04</c:v>
                </c:pt>
                <c:pt idx="3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09136"/>
        <c:axId val="477198736"/>
      </c:lineChart>
      <c:dateAx>
        <c:axId val="47720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98736"/>
        <c:crosses val="autoZero"/>
        <c:auto val="1"/>
        <c:lblOffset val="100"/>
        <c:baseTimeUnit val="days"/>
      </c:dateAx>
      <c:valAx>
        <c:axId val="4771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0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BAR</a:t>
            </a:r>
            <a:endParaRPr lang="en-JM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JM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Barbados!$AN$3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Barbados!$AM$4:$AM$56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Barbados!$AN$4:$AN$56</c:f>
              <c:numCache>
                <c:formatCode>General</c:formatCode>
                <c:ptCount val="53"/>
                <c:pt idx="0">
                  <c:v>2421</c:v>
                </c:pt>
                <c:pt idx="1">
                  <c:v>2421</c:v>
                </c:pt>
                <c:pt idx="2">
                  <c:v>2580</c:v>
                </c:pt>
                <c:pt idx="3">
                  <c:v>2930</c:v>
                </c:pt>
                <c:pt idx="4">
                  <c:v>2363</c:v>
                </c:pt>
                <c:pt idx="5">
                  <c:v>2810</c:v>
                </c:pt>
                <c:pt idx="6">
                  <c:v>3123</c:v>
                </c:pt>
                <c:pt idx="7">
                  <c:v>2538</c:v>
                </c:pt>
                <c:pt idx="8">
                  <c:v>2284</c:v>
                </c:pt>
                <c:pt idx="9">
                  <c:v>2285</c:v>
                </c:pt>
                <c:pt idx="10">
                  <c:v>2160</c:v>
                </c:pt>
                <c:pt idx="11">
                  <c:v>3021</c:v>
                </c:pt>
                <c:pt idx="12">
                  <c:v>2787</c:v>
                </c:pt>
                <c:pt idx="13">
                  <c:v>2109</c:v>
                </c:pt>
                <c:pt idx="14">
                  <c:v>2404</c:v>
                </c:pt>
                <c:pt idx="15">
                  <c:v>3228</c:v>
                </c:pt>
                <c:pt idx="16">
                  <c:v>3338</c:v>
                </c:pt>
                <c:pt idx="17">
                  <c:v>1392</c:v>
                </c:pt>
                <c:pt idx="18">
                  <c:v>2818</c:v>
                </c:pt>
                <c:pt idx="19">
                  <c:v>3027</c:v>
                </c:pt>
                <c:pt idx="20">
                  <c:v>3694</c:v>
                </c:pt>
                <c:pt idx="21">
                  <c:v>4172</c:v>
                </c:pt>
                <c:pt idx="22">
                  <c:v>3787</c:v>
                </c:pt>
                <c:pt idx="23">
                  <c:v>3183</c:v>
                </c:pt>
                <c:pt idx="24">
                  <c:v>2661</c:v>
                </c:pt>
                <c:pt idx="25">
                  <c:v>3740</c:v>
                </c:pt>
                <c:pt idx="26">
                  <c:v>3641</c:v>
                </c:pt>
                <c:pt idx="27">
                  <c:v>3825</c:v>
                </c:pt>
                <c:pt idx="28">
                  <c:v>3193</c:v>
                </c:pt>
                <c:pt idx="29">
                  <c:v>3593</c:v>
                </c:pt>
                <c:pt idx="30">
                  <c:v>3660</c:v>
                </c:pt>
                <c:pt idx="31">
                  <c:v>3804</c:v>
                </c:pt>
                <c:pt idx="32">
                  <c:v>3395</c:v>
                </c:pt>
                <c:pt idx="33">
                  <c:v>4531</c:v>
                </c:pt>
                <c:pt idx="34">
                  <c:v>4553</c:v>
                </c:pt>
                <c:pt idx="35">
                  <c:v>4871</c:v>
                </c:pt>
                <c:pt idx="36">
                  <c:v>4889</c:v>
                </c:pt>
                <c:pt idx="37">
                  <c:v>6856</c:v>
                </c:pt>
                <c:pt idx="38">
                  <c:v>2889</c:v>
                </c:pt>
                <c:pt idx="39">
                  <c:v>2480</c:v>
                </c:pt>
                <c:pt idx="40">
                  <c:v>2146</c:v>
                </c:pt>
                <c:pt idx="41">
                  <c:v>2371</c:v>
                </c:pt>
                <c:pt idx="42">
                  <c:v>2442</c:v>
                </c:pt>
                <c:pt idx="43">
                  <c:v>0</c:v>
                </c:pt>
                <c:pt idx="44">
                  <c:v>1490</c:v>
                </c:pt>
                <c:pt idx="45">
                  <c:v>2275</c:v>
                </c:pt>
                <c:pt idx="46">
                  <c:v>2224</c:v>
                </c:pt>
                <c:pt idx="47">
                  <c:v>2289</c:v>
                </c:pt>
                <c:pt idx="48">
                  <c:v>2088</c:v>
                </c:pt>
                <c:pt idx="49">
                  <c:v>2366</c:v>
                </c:pt>
                <c:pt idx="50">
                  <c:v>2158</c:v>
                </c:pt>
                <c:pt idx="51">
                  <c:v>1905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A-4C69-B387-C2B6FB032536}"/>
            </c:ext>
          </c:extLst>
        </c:ser>
        <c:ser>
          <c:idx val="1"/>
          <c:order val="1"/>
          <c:tx>
            <c:strRef>
              <c:f>Barbados!$AO$3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Barbados!$AM$4:$AM$56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Barbados!$AO$4:$AO$56</c:f>
              <c:numCache>
                <c:formatCode>General</c:formatCode>
                <c:ptCount val="53"/>
                <c:pt idx="0">
                  <c:v>2281</c:v>
                </c:pt>
                <c:pt idx="1">
                  <c:v>2254</c:v>
                </c:pt>
                <c:pt idx="2">
                  <c:v>2331</c:v>
                </c:pt>
                <c:pt idx="3">
                  <c:v>2551</c:v>
                </c:pt>
                <c:pt idx="4">
                  <c:v>2162</c:v>
                </c:pt>
                <c:pt idx="5">
                  <c:v>2561</c:v>
                </c:pt>
                <c:pt idx="6">
                  <c:v>2934</c:v>
                </c:pt>
                <c:pt idx="7">
                  <c:v>2402</c:v>
                </c:pt>
                <c:pt idx="8">
                  <c:v>2202</c:v>
                </c:pt>
                <c:pt idx="9">
                  <c:v>2180</c:v>
                </c:pt>
                <c:pt idx="10">
                  <c:v>2075</c:v>
                </c:pt>
                <c:pt idx="11">
                  <c:v>2748</c:v>
                </c:pt>
                <c:pt idx="12">
                  <c:v>2525</c:v>
                </c:pt>
                <c:pt idx="13">
                  <c:v>1661</c:v>
                </c:pt>
                <c:pt idx="14">
                  <c:v>2134</c:v>
                </c:pt>
                <c:pt idx="15">
                  <c:v>2728</c:v>
                </c:pt>
                <c:pt idx="16">
                  <c:v>2533</c:v>
                </c:pt>
                <c:pt idx="17">
                  <c:v>1026</c:v>
                </c:pt>
                <c:pt idx="18">
                  <c:v>2275</c:v>
                </c:pt>
                <c:pt idx="19">
                  <c:v>2272</c:v>
                </c:pt>
                <c:pt idx="20">
                  <c:v>2854</c:v>
                </c:pt>
                <c:pt idx="21">
                  <c:v>2014</c:v>
                </c:pt>
                <c:pt idx="22">
                  <c:v>2158</c:v>
                </c:pt>
                <c:pt idx="23">
                  <c:v>2084</c:v>
                </c:pt>
                <c:pt idx="24">
                  <c:v>1928</c:v>
                </c:pt>
                <c:pt idx="25">
                  <c:v>2056</c:v>
                </c:pt>
                <c:pt idx="26">
                  <c:v>2042</c:v>
                </c:pt>
                <c:pt idx="27">
                  <c:v>2582</c:v>
                </c:pt>
                <c:pt idx="28">
                  <c:v>2521</c:v>
                </c:pt>
                <c:pt idx="29">
                  <c:v>3119</c:v>
                </c:pt>
                <c:pt idx="30">
                  <c:v>3093</c:v>
                </c:pt>
                <c:pt idx="31">
                  <c:v>2856</c:v>
                </c:pt>
                <c:pt idx="32">
                  <c:v>3193</c:v>
                </c:pt>
                <c:pt idx="33">
                  <c:v>3948</c:v>
                </c:pt>
                <c:pt idx="34">
                  <c:v>3562</c:v>
                </c:pt>
                <c:pt idx="35">
                  <c:v>3852</c:v>
                </c:pt>
                <c:pt idx="36">
                  <c:v>3832</c:v>
                </c:pt>
                <c:pt idx="37">
                  <c:v>4037</c:v>
                </c:pt>
                <c:pt idx="38">
                  <c:v>2412</c:v>
                </c:pt>
                <c:pt idx="39">
                  <c:v>1973</c:v>
                </c:pt>
                <c:pt idx="40">
                  <c:v>1989</c:v>
                </c:pt>
                <c:pt idx="41">
                  <c:v>1941</c:v>
                </c:pt>
                <c:pt idx="42">
                  <c:v>2302</c:v>
                </c:pt>
                <c:pt idx="43">
                  <c:v>0</c:v>
                </c:pt>
                <c:pt idx="44">
                  <c:v>1213</c:v>
                </c:pt>
                <c:pt idx="45">
                  <c:v>1950</c:v>
                </c:pt>
                <c:pt idx="46">
                  <c:v>2045</c:v>
                </c:pt>
                <c:pt idx="47">
                  <c:v>2089</c:v>
                </c:pt>
                <c:pt idx="48">
                  <c:v>1983</c:v>
                </c:pt>
                <c:pt idx="49">
                  <c:v>2158</c:v>
                </c:pt>
                <c:pt idx="50">
                  <c:v>1963</c:v>
                </c:pt>
                <c:pt idx="51">
                  <c:v>1790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A-4C69-B387-C2B6FB032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14975"/>
        <c:axId val="381817887"/>
      </c:lineChart>
      <c:dateAx>
        <c:axId val="3818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7887"/>
        <c:crosses val="autoZero"/>
        <c:auto val="1"/>
        <c:lblOffset val="100"/>
        <c:baseTimeUnit val="days"/>
      </c:dateAx>
      <c:valAx>
        <c:axId val="3818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131951"/>
        <c:axId val="1625132367"/>
      </c:barChart>
      <c:lineChart>
        <c:grouping val="standard"/>
        <c:varyColors val="0"/>
        <c:ser>
          <c:idx val="1"/>
          <c:order val="1"/>
          <c:tx>
            <c:v>BAR_Agents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Monthly'!chart_WFM_BAR</c:f>
              <c:numCache>
                <c:formatCode>0.00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133199"/>
        <c:axId val="1625132783"/>
      </c:lineChart>
      <c:dateAx>
        <c:axId val="162513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2367"/>
        <c:crosses val="autoZero"/>
        <c:auto val="1"/>
        <c:lblOffset val="100"/>
        <c:baseTimeUnit val="days"/>
      </c:dateAx>
      <c:valAx>
        <c:axId val="16251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1951"/>
        <c:crosses val="autoZero"/>
        <c:crossBetween val="between"/>
      </c:valAx>
      <c:valAx>
        <c:axId val="16251327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3199"/>
        <c:crosses val="max"/>
        <c:crossBetween val="between"/>
      </c:valAx>
      <c:dateAx>
        <c:axId val="162513319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62513278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Barbados!$AN$155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Barbados!$AO$155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3D0-8A15-DE7D105C92CE}"/>
            </c:ext>
          </c:extLst>
        </c:ser>
        <c:ser>
          <c:idx val="1"/>
          <c:order val="1"/>
          <c:tx>
            <c:strRef>
              <c:f>Barbados!$AN$156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Barbados!$AO$156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F-43D0-8A15-DE7D105C92CE}"/>
            </c:ext>
          </c:extLst>
        </c:ser>
        <c:ser>
          <c:idx val="2"/>
          <c:order val="2"/>
          <c:tx>
            <c:strRef>
              <c:f>Barbados!$AN$157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Barbados!$AO$157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F-43D0-8A15-DE7D105C92CE}"/>
            </c:ext>
          </c:extLst>
        </c:ser>
        <c:ser>
          <c:idx val="3"/>
          <c:order val="3"/>
          <c:tx>
            <c:strRef>
              <c:f>Barbados!$AN$158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Barbados!$AO$158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5406127"/>
        <c:axId val="295406543"/>
      </c:barChart>
      <c:lineChart>
        <c:grouping val="standard"/>
        <c:varyColors val="0"/>
        <c:ser>
          <c:idx val="4"/>
          <c:order val="4"/>
          <c:tx>
            <c:strRef>
              <c:f>Barbados!$AN$159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Barbados!$AO$159</c:f>
              <c:numCache>
                <c:formatCode>[mm]:ss</c:formatCode>
                <c:ptCount val="1"/>
                <c:pt idx="0">
                  <c:v>162.55555555555554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406127"/>
        <c:axId val="295406543"/>
      </c:lineChart>
      <c:catAx>
        <c:axId val="295406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406543"/>
        <c:crosses val="autoZero"/>
        <c:auto val="1"/>
        <c:lblAlgn val="ctr"/>
        <c:lblOffset val="100"/>
        <c:noMultiLvlLbl val="0"/>
      </c:catAx>
      <c:valAx>
        <c:axId val="29540654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0612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552824</xdr:colOff>
      <xdr:row>77</xdr:row>
      <xdr:rowOff>11019</xdr:rowOff>
    </xdr:from>
    <xdr:to>
      <xdr:col>47</xdr:col>
      <xdr:colOff>590177</xdr:colOff>
      <xdr:row>91</xdr:row>
      <xdr:rowOff>145863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5C04E-E0CE-4979-9CAE-E4E48B61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672352</xdr:colOff>
      <xdr:row>92</xdr:row>
      <xdr:rowOff>122518</xdr:rowOff>
    </xdr:from>
    <xdr:to>
      <xdr:col>49</xdr:col>
      <xdr:colOff>268940</xdr:colOff>
      <xdr:row>107</xdr:row>
      <xdr:rowOff>64247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64BBD-C50F-4008-B531-FC4035EC0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111</xdr:row>
      <xdr:rowOff>55283</xdr:rowOff>
    </xdr:from>
    <xdr:to>
      <xdr:col>46</xdr:col>
      <xdr:colOff>149412</xdr:colOff>
      <xdr:row>125</xdr:row>
      <xdr:rowOff>183777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29B011-38AC-4801-8CEC-A0206F3BC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306291</xdr:colOff>
      <xdr:row>6</xdr:row>
      <xdr:rowOff>152401</xdr:rowOff>
    </xdr:from>
    <xdr:to>
      <xdr:col>53</xdr:col>
      <xdr:colOff>46181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464C5-3E29-4B63-8B75-6FAB37816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7470</xdr:colOff>
      <xdr:row>127</xdr:row>
      <xdr:rowOff>14943</xdr:rowOff>
    </xdr:from>
    <xdr:to>
      <xdr:col>43</xdr:col>
      <xdr:colOff>22411</xdr:colOff>
      <xdr:row>141</xdr:row>
      <xdr:rowOff>82176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9C97CA-851C-4107-A897-89478B9BE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15004</xdr:colOff>
      <xdr:row>101</xdr:row>
      <xdr:rowOff>2927</xdr:rowOff>
    </xdr:from>
    <xdr:to>
      <xdr:col>49</xdr:col>
      <xdr:colOff>613210</xdr:colOff>
      <xdr:row>115</xdr:row>
      <xdr:rowOff>124572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21B8EB-EF4F-4D6A-AACB-C4C876A48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590862</xdr:colOff>
      <xdr:row>117</xdr:row>
      <xdr:rowOff>6784</xdr:rowOff>
    </xdr:from>
    <xdr:to>
      <xdr:col>50</xdr:col>
      <xdr:colOff>0</xdr:colOff>
      <xdr:row>132</xdr:row>
      <xdr:rowOff>10583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5F319-DCB2-4031-92B7-06AD8762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610099</xdr:colOff>
      <xdr:row>133</xdr:row>
      <xdr:rowOff>11704</xdr:rowOff>
    </xdr:from>
    <xdr:to>
      <xdr:col>49</xdr:col>
      <xdr:colOff>597647</xdr:colOff>
      <xdr:row>146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A8FA09-33AD-4828-B897-123493B77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7470</xdr:colOff>
      <xdr:row>14</xdr:row>
      <xdr:rowOff>1806</xdr:rowOff>
    </xdr:from>
    <xdr:to>
      <xdr:col>52</xdr:col>
      <xdr:colOff>23813</xdr:colOff>
      <xdr:row>29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03131-4C97-438D-A727-6055CDFCE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391583</xdr:colOff>
      <xdr:row>115</xdr:row>
      <xdr:rowOff>101598</xdr:rowOff>
    </xdr:from>
    <xdr:to>
      <xdr:col>58</xdr:col>
      <xdr:colOff>59266</xdr:colOff>
      <xdr:row>130</xdr:row>
      <xdr:rowOff>149223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1B912-464B-430A-AA0E-9B001C521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190501</xdr:colOff>
      <xdr:row>131</xdr:row>
      <xdr:rowOff>37304</xdr:rowOff>
    </xdr:from>
    <xdr:to>
      <xdr:col>52</xdr:col>
      <xdr:colOff>190501</xdr:colOff>
      <xdr:row>146</xdr:row>
      <xdr:rowOff>55563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4E60A-6732-47D8-826D-904D6EF8F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113722</xdr:colOff>
      <xdr:row>68</xdr:row>
      <xdr:rowOff>168998</xdr:rowOff>
    </xdr:from>
    <xdr:to>
      <xdr:col>48</xdr:col>
      <xdr:colOff>442767</xdr:colOff>
      <xdr:row>83</xdr:row>
      <xdr:rowOff>101602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5176E-85B5-4572-B6C5-C889D2839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269224</xdr:colOff>
      <xdr:row>84</xdr:row>
      <xdr:rowOff>1906</xdr:rowOff>
    </xdr:from>
    <xdr:to>
      <xdr:col>47</xdr:col>
      <xdr:colOff>1658</xdr:colOff>
      <xdr:row>98</xdr:row>
      <xdr:rowOff>119453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60AF5-107B-4B3B-BC7B-9D1630179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64944</xdr:colOff>
      <xdr:row>109</xdr:row>
      <xdr:rowOff>30739</xdr:rowOff>
    </xdr:from>
    <xdr:to>
      <xdr:col>53</xdr:col>
      <xdr:colOff>31750</xdr:colOff>
      <xdr:row>126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A7B84-4883-40D7-9E25-D7044E99A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341475</xdr:colOff>
      <xdr:row>6</xdr:row>
      <xdr:rowOff>131665</xdr:rowOff>
    </xdr:from>
    <xdr:to>
      <xdr:col>56</xdr:col>
      <xdr:colOff>7937</xdr:colOff>
      <xdr:row>20</xdr:row>
      <xdr:rowOff>206375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E9F4F9-192E-485D-9149-129F88DA6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492327</xdr:colOff>
      <xdr:row>83</xdr:row>
      <xdr:rowOff>133414</xdr:rowOff>
    </xdr:from>
    <xdr:to>
      <xdr:col>61</xdr:col>
      <xdr:colOff>388778</xdr:colOff>
      <xdr:row>99</xdr:row>
      <xdr:rowOff>58316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7A17F4-2201-4255-9E67-24497CD5A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326416</xdr:colOff>
      <xdr:row>302</xdr:row>
      <xdr:rowOff>103336</xdr:rowOff>
    </xdr:from>
    <xdr:to>
      <xdr:col>41</xdr:col>
      <xdr:colOff>31752</xdr:colOff>
      <xdr:row>317</xdr:row>
      <xdr:rowOff>108100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386851</xdr:colOff>
      <xdr:row>74</xdr:row>
      <xdr:rowOff>53062</xdr:rowOff>
    </xdr:from>
    <xdr:to>
      <xdr:col>72</xdr:col>
      <xdr:colOff>569364</xdr:colOff>
      <xdr:row>89</xdr:row>
      <xdr:rowOff>38870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2B02A-FD91-4F1B-8A02-086794E8A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453024</xdr:colOff>
      <xdr:row>99</xdr:row>
      <xdr:rowOff>42451</xdr:rowOff>
    </xdr:from>
    <xdr:to>
      <xdr:col>52</xdr:col>
      <xdr:colOff>603528</xdr:colOff>
      <xdr:row>114</xdr:row>
      <xdr:rowOff>31434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0C6D5-45F5-4869-A8EB-B8E9945DA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769651</xdr:colOff>
      <xdr:row>121</xdr:row>
      <xdr:rowOff>102671</xdr:rowOff>
    </xdr:from>
    <xdr:to>
      <xdr:col>53</xdr:col>
      <xdr:colOff>340999</xdr:colOff>
      <xdr:row>136</xdr:row>
      <xdr:rowOff>91654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012DCF-AC54-4FB3-A82F-165C38C7E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106114</xdr:colOff>
      <xdr:row>11</xdr:row>
      <xdr:rowOff>118317</xdr:rowOff>
    </xdr:from>
    <xdr:to>
      <xdr:col>53</xdr:col>
      <xdr:colOff>136071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FF2C-380D-4BDB-90F6-0F53C56ED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103512</xdr:colOff>
      <xdr:row>117</xdr:row>
      <xdr:rowOff>152130</xdr:rowOff>
    </xdr:from>
    <xdr:to>
      <xdr:col>61</xdr:col>
      <xdr:colOff>550843</xdr:colOff>
      <xdr:row>133</xdr:row>
      <xdr:rowOff>11474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6D1DC4-5501-4015-926B-AD32861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260723</xdr:colOff>
      <xdr:row>139</xdr:row>
      <xdr:rowOff>99672</xdr:rowOff>
    </xdr:from>
    <xdr:to>
      <xdr:col>69</xdr:col>
      <xdr:colOff>360131</xdr:colOff>
      <xdr:row>154</xdr:row>
      <xdr:rowOff>85480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14578B-84E7-46A8-ACF6-F133B8F16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854075</xdr:colOff>
      <xdr:row>81</xdr:row>
      <xdr:rowOff>71526</xdr:rowOff>
    </xdr:from>
    <xdr:to>
      <xdr:col>51</xdr:col>
      <xdr:colOff>551745</xdr:colOff>
      <xdr:row>96</xdr:row>
      <xdr:rowOff>56445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B9FE08-F9F5-4316-BFDF-DF4746C23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1516063</xdr:colOff>
      <xdr:row>96</xdr:row>
      <xdr:rowOff>108743</xdr:rowOff>
    </xdr:from>
    <xdr:to>
      <xdr:col>51</xdr:col>
      <xdr:colOff>150812</xdr:colOff>
      <xdr:row>111</xdr:row>
      <xdr:rowOff>113506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01B15-5EEF-4702-9DCD-52BEF8449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28575</xdr:colOff>
      <xdr:row>112</xdr:row>
      <xdr:rowOff>145254</xdr:rowOff>
    </xdr:from>
    <xdr:to>
      <xdr:col>45</xdr:col>
      <xdr:colOff>452437</xdr:colOff>
      <xdr:row>128</xdr:row>
      <xdr:rowOff>107155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422F92-58C0-4F28-943D-548433C2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550068</xdr:colOff>
      <xdr:row>4</xdr:row>
      <xdr:rowOff>151604</xdr:rowOff>
    </xdr:from>
    <xdr:to>
      <xdr:col>53</xdr:col>
      <xdr:colOff>392545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F434B-A6BF-42B5-B8D2-76C0CEDC1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7410</xdr:colOff>
      <xdr:row>113</xdr:row>
      <xdr:rowOff>2115</xdr:rowOff>
    </xdr:from>
    <xdr:to>
      <xdr:col>56</xdr:col>
      <xdr:colOff>0</xdr:colOff>
      <xdr:row>128</xdr:row>
      <xdr:rowOff>42334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2C91E4-ED90-485B-8832-EA589253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601084</xdr:colOff>
      <xdr:row>139</xdr:row>
      <xdr:rowOff>144822</xdr:rowOff>
    </xdr:from>
    <xdr:to>
      <xdr:col>46</xdr:col>
      <xdr:colOff>603972</xdr:colOff>
      <xdr:row>154</xdr:row>
      <xdr:rowOff>181119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1F6F09-1C1A-48C0-ABB2-644B2D7B9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337" dataDxfId="335" headerRowBorderDxfId="336" tableBorderDxfId="334" totalsRowBorderDxfId="333">
  <autoFilter ref="A3:H12" xr:uid="{521D8988-7BE6-4CED-BC60-37DB2712FAE0}"/>
  <tableColumns count="8">
    <tableColumn id="1" xr3:uid="{ABF25065-B947-4726-9538-F4FA1237CC05}" name="KPIs" dataDxfId="332"/>
    <tableColumn id="2" xr3:uid="{01670FA7-34AE-4FF9-AD72-8B46DD3D10C1}" name="Targets" dataDxfId="331"/>
    <tableColumn id="3" xr3:uid="{CE000B4A-0E8D-42FE-BCE1-DF6C53D0955D}" name="TTO" dataDxfId="330"/>
    <tableColumn id="4" xr3:uid="{9BB2FA1F-BBDD-4545-87A2-57076DD3513D}" name="JAM" dataDxfId="329"/>
    <tableColumn id="5" xr3:uid="{D2270F34-DE5E-4388-A446-513CF993B39C}" name="BAR" dataDxfId="328"/>
    <tableColumn id="6" xr3:uid="{55ADC9AD-3B00-4C0E-801B-63E27DABAB33}" name="OECS" dataDxfId="327"/>
    <tableColumn id="7" xr3:uid="{A394CC33-52E0-4FA4-83A8-B3E8C6A852B5}" name="GUY" dataDxfId="326"/>
    <tableColumn id="8" xr3:uid="{5CF751FF-2D7C-4276-A835-7ADA0D40426D}" name="BEL" dataDxfId="3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324" headerRowBorderDxfId="323" tableBorderDxfId="322" totalsRowBorderDxfId="321">
  <autoFilter ref="A15:G22" xr:uid="{B5FD32FF-EA43-49E3-84B7-28B554A76C00}"/>
  <tableColumns count="7">
    <tableColumn id="1" xr3:uid="{0FC8DA96-050E-40AD-997E-8647DF0DE2CC}" name="KPIs" dataDxfId="320"/>
    <tableColumn id="2" xr3:uid="{668A1404-49CA-4661-918F-80E91B9883BD}" name="TTO"/>
    <tableColumn id="3" xr3:uid="{42D7ACF3-53F4-4663-B108-6B8B5CD02FE8}" name="JAM"/>
    <tableColumn id="4" xr3:uid="{54D241E7-7945-4D3F-BF63-9D359CB7FBB0}" name="BAR" dataDxfId="319"/>
    <tableColumn id="5" xr3:uid="{405E4939-0C4B-4909-A73F-5790B3842DF6}" name="OECS" dataDxfId="318"/>
    <tableColumn id="6" xr3:uid="{2E1403DA-B155-4BE4-B5D9-186A5DE9764D}" name="GUY" dataDxfId="317"/>
    <tableColumn id="7" xr3:uid="{10B0A785-E7E5-458C-AEAA-D830EB774FF7}" name="BEL" dataDxfId="3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315" dataDxfId="313" headerRowBorderDxfId="314" tableBorderDxfId="312" totalsRowBorderDxfId="311">
  <autoFilter ref="A3:H12" xr:uid="{521D8988-7BE6-4CED-BC60-37DB2712FAE0}"/>
  <tableColumns count="8">
    <tableColumn id="1" xr3:uid="{456B2C02-174B-45B0-A0B7-84B0B0BF568E}" name="KPIs" dataDxfId="310"/>
    <tableColumn id="2" xr3:uid="{79AB5D98-D4A0-44D1-842E-2E66BA661B9B}" name="Targets" dataDxfId="309"/>
    <tableColumn id="3" xr3:uid="{3D76E84B-4D5C-451B-94A7-7F92E80888D1}" name="TTO" dataDxfId="308"/>
    <tableColumn id="4" xr3:uid="{B8DA72B1-C1A0-4F8B-961F-20DCBB35765C}" name="JAM" dataDxfId="307"/>
    <tableColumn id="5" xr3:uid="{BCCE6BAB-42A2-42A0-BEB4-F158A249DB84}" name="BAR" dataDxfId="306"/>
    <tableColumn id="6" xr3:uid="{9AAE3E2A-9C50-4EA1-AA88-82B4B39E6932}" name="OECS" dataDxfId="305"/>
    <tableColumn id="7" xr3:uid="{B6AD5F0D-C31C-469F-9927-B5FA956517F3}" name="GUY" dataDxfId="304"/>
    <tableColumn id="8" xr3:uid="{E5A1A957-6C58-487E-A94F-9A211B43668B}" name="BEL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302" headerRowBorderDxfId="301" tableBorderDxfId="300" totalsRowBorderDxfId="299">
  <autoFilter ref="A15:G22" xr:uid="{B5FD32FF-EA43-49E3-84B7-28B554A76C00}"/>
  <tableColumns count="7">
    <tableColumn id="1" xr3:uid="{4BE5302D-6200-4272-860B-0FAEAC7158FE}" name="KPIs" dataDxfId="298"/>
    <tableColumn id="2" xr3:uid="{E1CE0F82-906B-414F-AFF4-FBEB78C44086}" name="TTO"/>
    <tableColumn id="3" xr3:uid="{F5F62F16-FA17-4720-BE40-169CE3ED5FA6}" name="JAM"/>
    <tableColumn id="4" xr3:uid="{2AD57CA2-1433-49C0-B7E5-828831D12E50}" name="BAR" dataDxfId="297"/>
    <tableColumn id="5" xr3:uid="{CF9DD4B6-07E6-4668-822E-29495BF495E4}" name="OECS" dataDxfId="296"/>
    <tableColumn id="6" xr3:uid="{DF73CB00-15FC-461E-9265-BFD6A4246602}" name="GUY" dataDxfId="295"/>
    <tableColumn id="7" xr3:uid="{59715729-6CCA-4E40-BCC1-DDC840A909FC}" name="BEL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93" headerRowBorderDxfId="292" tableBorderDxfId="291" totalsRowBorderDxfId="290">
  <autoFilter ref="B3:K11" xr:uid="{5543AE2B-41E6-4BBF-B078-6C490F9AE5B4}"/>
  <tableColumns count="10">
    <tableColumn id="1" xr3:uid="{451F5A9D-D76F-4F59-BDB9-3AEEC940D4A7}" name="Country " dataDxfId="289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88"/>
    <tableColumn id="7" xr3:uid="{94ECD204-4146-49AF-9DBE-24989AEA8D57}" name="AU/AO" dataDxfId="287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B1C2832-819F-48D5-B925-9FAD0D06AC33}" name="Table1182122" displayName="Table1182122" ref="B17:K25" totalsRowShown="0" headerRowDxfId="286" headerRowBorderDxfId="285" tableBorderDxfId="284" totalsRowBorderDxfId="283">
  <autoFilter ref="B17:K25" xr:uid="{2B1C2832-819F-48D5-B925-9FAD0D06AC33}"/>
  <tableColumns count="10">
    <tableColumn id="1" xr3:uid="{6ED3D2DE-80E4-4C1B-969F-ACA2CA92D7C2}" name="Country " dataDxfId="282"/>
    <tableColumn id="2" xr3:uid="{897639BD-2821-46B9-ADA4-2682E385013C}" name="Calls Presented"/>
    <tableColumn id="3" xr3:uid="{E8E842B1-9430-43B0-A9E5-4255C4EBCDE8}" name="Calls Handled"/>
    <tableColumn id="9" xr3:uid="{7BBC6B2A-DF41-426B-B4C3-E008F3C3744D}" name="Avg Percent Change Calls Offered (Week over Week)"/>
    <tableColumn id="10" xr3:uid="{B8D115A6-CC49-4AE0-B9D9-3E9AE4210E6F}" name=" Avg Percent Change Calls Ans (Week over Week)"/>
    <tableColumn id="4" xr3:uid="{BBDB0A32-DB01-43D7-AF73-F688356D9B68}" name="SVL"/>
    <tableColumn id="5" xr3:uid="{1A6FDE04-7566-41CB-8655-0C8C12257685}" name="ANS"/>
    <tableColumn id="6" xr3:uid="{3AE8C4FD-11C8-4F08-A3BB-0C11D150A8B3}" name="ABR" dataDxfId="281"/>
    <tableColumn id="7" xr3:uid="{B2A1FD9D-3780-4FB1-B1FC-F862CC981374}" name="AU/AO" dataDxfId="280"/>
    <tableColumn id="8" xr3:uid="{A916088B-D46A-466A-847E-3647BC92B80A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79" headerRowBorderDxfId="278" tableBorderDxfId="277" totalsRowBorderDxfId="276">
  <autoFilter ref="B3:I11" xr:uid="{09AFA85B-BEA0-4087-80FD-7DBCFC1BC005}"/>
  <tableColumns count="8">
    <tableColumn id="1" xr3:uid="{A683B96A-2B09-4B74-BB6F-783E0002EFA4}" name="Country " dataDxfId="275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74"/>
    <tableColumn id="7" xr3:uid="{45699FA6-CF8F-4EBD-94CF-709D86985479}" name="AU/AO" dataDxfId="273"/>
    <tableColumn id="8" xr3:uid="{DF9A2ACB-660D-4DCE-99F9-A0958C6478BB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72" headerRowBorderDxfId="271" tableBorderDxfId="270" totalsRowBorderDxfId="269">
  <autoFilter ref="L3:U11" xr:uid="{A343A536-7EB7-4733-A073-B66A8A06F4DA}"/>
  <tableColumns count="10">
    <tableColumn id="1" xr3:uid="{67E23DA5-D648-4799-AEB7-DEAFEC227F77}" name="Country " dataDxfId="268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67"/>
    <tableColumn id="7" xr3:uid="{87CCC65D-8D87-467B-91F4-251868B16581}" name="AU/AO" dataDxfId="266"/>
    <tableColumn id="8" xr3:uid="{33394499-FCA3-4BA4-85A7-80573DBEFF5E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65" headerRowBorderDxfId="264" tableBorderDxfId="263" totalsRowBorderDxfId="262">
  <autoFilter ref="A15:J23" xr:uid="{C3289AA0-2E8F-4A8B-BC02-648DF9705DCE}"/>
  <tableColumns count="10">
    <tableColumn id="1" xr3:uid="{59592756-BDC1-4029-AD92-6FD3C8CAA56E}" name="Country " dataDxfId="261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60"/>
    <tableColumn id="7" xr3:uid="{E3703453-BB8B-4D2E-A173-89517DC4B958}" name="AU/AO" dataDxfId="259"/>
    <tableColumn id="8" xr3:uid="{A8702158-0663-4494-AC7B-7D3BD21DF7C3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58" headerRowBorderDxfId="257" tableBorderDxfId="256" totalsRowBorderDxfId="255">
  <autoFilter ref="L15:U23" xr:uid="{8920942D-4CCB-40ED-88D5-E43FAF715349}"/>
  <tableColumns count="10">
    <tableColumn id="1" xr3:uid="{58F325AC-39DE-499B-833A-6E20523C1D90}" name="Country " dataDxfId="254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53"/>
    <tableColumn id="7" xr3:uid="{D08B193B-5491-45D3-AB3C-7A5297753FB1}" name="AU/AO" dataDxfId="252"/>
    <tableColumn id="8" xr3:uid="{07E6300A-3A7F-49D4-8FFC-71C46DEA3886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51" headerRowBorderDxfId="250" tableBorderDxfId="249" totalsRowBorderDxfId="248">
  <autoFilter ref="L27:U35" xr:uid="{B320AC36-3948-4F67-B905-C847CA63F525}"/>
  <tableColumns count="10">
    <tableColumn id="1" xr3:uid="{7E1CBDA9-B3E5-4B36-9F34-7C6748A8719A}" name="Country " dataDxfId="247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246"/>
    <tableColumn id="7" xr3:uid="{9A7D007C-C8FC-40E9-9810-E910203B56EC}" name="AU/AO" dataDxfId="245"/>
    <tableColumn id="8" xr3:uid="{A50CB434-02CB-4C47-9EA0-8BD2FE7521E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244" headerRowBorderDxfId="243" tableBorderDxfId="242" totalsRowBorderDxfId="241">
  <autoFilter ref="L39:U47" xr:uid="{C66FCEF4-AA5A-4EF1-A8E1-47AFAD69CD33}"/>
  <tableColumns count="10">
    <tableColumn id="1" xr3:uid="{5677FF45-617A-400E-ACD7-1A735AFAEDC1}" name="Country " dataDxfId="240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239"/>
    <tableColumn id="7" xr3:uid="{565D5370-0C31-4882-B7F6-FCF8D7A40C8A}" name="AU/AO" dataDxfId="238"/>
    <tableColumn id="8" xr3:uid="{95CB7142-1874-4646-95A2-E95C0C05F4FA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CC7493-45FE-4BA1-B51C-F69A362FDE96}" name="Table116172018" displayName="Table116172018" ref="AA3:AH11" totalsRowShown="0" headerRowDxfId="237" headerRowBorderDxfId="236" tableBorderDxfId="235" totalsRowBorderDxfId="234">
  <autoFilter ref="AA3:AH11" xr:uid="{BB83297B-81E4-41BB-B8CC-12486A962516}"/>
  <tableColumns count="8">
    <tableColumn id="1" xr3:uid="{D32E57B5-9112-4623-9377-BF10E3E5D950}" name="Country " dataDxfId="233"/>
    <tableColumn id="2" xr3:uid="{5A055DC7-A2D6-44F3-A42F-F15323478634}" name="Calls Presented"/>
    <tableColumn id="3" xr3:uid="{01C57D8F-36A1-422C-B15F-920CC0000C04}" name="Calls Handled"/>
    <tableColumn id="4" xr3:uid="{7935F6D0-9F7C-44FF-8F02-1F859BB083E2}" name="SVL"/>
    <tableColumn id="5" xr3:uid="{E2108FBD-A1EB-4D74-BBE6-448B90DFCFF4}" name="ANS"/>
    <tableColumn id="6" xr3:uid="{4FCF2F06-8A5F-4C8B-AD62-64AA814E9B86}" name="ABR" dataDxfId="232"/>
    <tableColumn id="7" xr3:uid="{A9C17B77-3BFC-43D7-9D7F-5B1C59696731}" name="AU/AO" dataDxfId="231"/>
    <tableColumn id="8" xr3:uid="{C908694F-FD42-4A2B-A451-B7BDD5B43AE4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X366" totalsRowShown="0" headerRowDxfId="230" headerRowBorderDxfId="229" tableBorderDxfId="228" totalsRowBorderDxfId="227">
  <autoFilter ref="A1:X366" xr:uid="{D6815D4A-6205-4F1A-99C1-36BFB03190B0}"/>
  <tableColumns count="24">
    <tableColumn id="1" xr3:uid="{684C2A67-DC9A-4607-B057-0C27865EE6AF}" name="Date" dataDxfId="226"/>
    <tableColumn id="23" xr3:uid="{90299842-17E7-4F78-9837-CA67403F5791}" name="Week Number" dataDxfId="225"/>
    <tableColumn id="2" xr3:uid="{AF9ECCD9-3DFB-4B6B-9E82-379C59680363}" name="Day of the week" dataDxfId="224"/>
    <tableColumn id="14" xr3:uid="{A7FC41C0-38E6-4020-8156-86D1C5750F29}" name="Fiscal" dataDxfId="223"/>
    <tableColumn id="3" xr3:uid="{667353EE-4623-46F6-938B-1AF956C6933D}" name="Calls Off" dataDxfId="222"/>
    <tableColumn id="4" xr3:uid="{6D51C60B-EBF9-4541-96D4-044D7B91928D}" name="Calls Ans" dataDxfId="221"/>
    <tableColumn id="15" xr3:uid="{BBA78EBE-6FCB-4469-9BE0-8CB7A617D727}" name="WoW % change (offer)" dataDxfId="220"/>
    <tableColumn id="16" xr3:uid="{B328993E-B0F8-4140-BBDF-3C6BE70A92C3}" name="WoW % change (ans)" dataDxfId="219"/>
    <tableColumn id="5" xr3:uid="{EF9450E7-1607-4F24-B7AE-514068BBA7AF}" name="MTD Calls Offered" dataDxfId="218"/>
    <tableColumn id="6" xr3:uid="{6A284087-92E9-4091-BDCA-D08D79A1465A}" name="MTD Calls Ans" dataDxfId="217"/>
    <tableColumn id="7" xr3:uid="{23770DA1-70C8-4924-B4A0-850F881EE83C}" name="YTD Calls Offer" dataDxfId="216"/>
    <tableColumn id="8" xr3:uid="{DA8E0B8C-1F42-481A-91C1-95BF8BE85E8F}" name="YTD Calls Ans" dataDxfId="215"/>
    <tableColumn id="9" xr3:uid="{310A1A03-E23E-4AF4-9192-456C51ED5D13}" name="SL" dataDxfId="214"/>
    <tableColumn id="10" xr3:uid="{840BAABA-5A43-43DC-864C-DE2331E47D36}" name="ABR" dataDxfId="213"/>
    <tableColumn id="11" xr3:uid="{CC24FDFE-E1BE-4D59-B4BF-F38CAAAC48BC}" name="ANS" dataDxfId="212"/>
    <tableColumn id="12" xr3:uid="{05460178-4686-4F94-941B-61A36DEA788A}" name="AU" dataDxfId="211"/>
    <tableColumn id="13" xr3:uid="{4DC4B710-5C41-468E-8254-6F57AC8E4FEC}" name="AA" dataDxfId="210"/>
    <tableColumn id="18" xr3:uid="{86762D67-4433-4B79-A1E8-E5CF80740905}" name="AHT" dataDxfId="209"/>
    <tableColumn id="24" xr3:uid="{1005DBC5-007B-4B83-AB12-4A2DA297EDBB}" name="AWT" dataDxfId="208"/>
    <tableColumn id="17" xr3:uid="{17B12E1A-9EE1-4008-80C9-2D2C5D731D33}" name="Agents Log" dataDxfId="207"/>
    <tableColumn id="19" xr3:uid="{082905CD-4980-4EED-91DB-749C17F11EA4}" name="Change Percentage (Call Offered) Oulier Bool" dataDxfId="206"/>
    <tableColumn id="20" xr3:uid="{0B81D3D2-AD60-4D07-84CF-000174487837}" name="Change Percentage (Call Ans) Oulier Bool" dataDxfId="205"/>
    <tableColumn id="21" xr3:uid="{C32BE41E-3AF3-40EB-8FDF-F70C041B48E2}" name="Winsorized Values - Offered" dataDxfId="204" dataCellStyle="Percent"/>
    <tableColumn id="22" xr3:uid="{CC5CA16A-8DF5-4D23-94D3-464B5851E285}" name="Winsorized Values - Ans" dataDxfId="203" dataCellStyle="Percent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AK7:AM60" totalsRowShown="0" headerRowDxfId="202" headerRowBorderDxfId="201" tableBorderDxfId="200" totalsRowBorderDxfId="199">
  <autoFilter ref="AK7:AM60" xr:uid="{4011EC0F-9B19-4482-852C-5305F9D29AF8}"/>
  <tableColumns count="3">
    <tableColumn id="1" xr3:uid="{477AC96E-C096-4AA6-A2B3-776D806D9CCF}" name="Week of" dataDxfId="198">
      <calculatedColumnFormula>AK7+7</calculatedColumnFormula>
    </tableColumn>
    <tableColumn id="2" xr3:uid="{6D15E549-8D03-4762-B080-85A90A9D45BA}" name="Sum of Calls - Offered" dataDxfId="197">
      <calculatedColumnFormula array="1">SUMIFS(calls_off_GUY,period_GUY,"&gt;="&amp;AK8,period_GUY,"&lt;"&amp;AK9)</calculatedColumnFormula>
    </tableColumn>
    <tableColumn id="3" xr3:uid="{7C906D59-B431-456F-B01C-77E96DAFD043}" name="Sum of Calls - Answered" dataDxfId="196">
      <calculatedColumnFormula array="1">SUMIFS(calls_ans_GUY,period_GUY,"&gt;="&amp;AK8,period_GUY,"&lt;"&amp;AK9)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X366" totalsRowShown="0" headerRowDxfId="195" dataDxfId="194" tableBorderDxfId="193">
  <autoFilter ref="A1:X366" xr:uid="{6B44EC27-6EEE-4231-8388-F247E030C8F6}"/>
  <tableColumns count="24">
    <tableColumn id="1" xr3:uid="{078F076C-A212-46BB-BFDD-5D5F0E00699F}" name="Date" dataDxfId="192" totalsRowDxfId="191"/>
    <tableColumn id="23" xr3:uid="{E88F0A64-CE98-4E22-B368-A3A2FDF23FDD}" name="Week Number" dataDxfId="190" totalsRowDxfId="189"/>
    <tableColumn id="2" xr3:uid="{002690E0-B1FA-4110-8195-9C3D6CA0F646}" name="Day of the week" dataDxfId="188" totalsRowDxfId="187"/>
    <tableColumn id="3" xr3:uid="{79E08CDC-7DE4-4D41-9365-758CDBD52E9F}" name="Fiscal" dataDxfId="186" totalsRowDxfId="185"/>
    <tableColumn id="4" xr3:uid="{419E9EA2-2E24-4F7D-8D93-62EFFE986929}" name="Calls Off" dataDxfId="184" totalsRowDxfId="183"/>
    <tableColumn id="5" xr3:uid="{1ABBAEB1-FFAB-4450-BB74-0B3D8B2DD354}" name="Calls Ans" dataDxfId="182" totalsRowDxfId="181"/>
    <tableColumn id="6" xr3:uid="{7FE7E079-0ABF-44CA-92F1-7C78C55750DC}" name="WoW % change offer" dataDxfId="180" totalsRowDxfId="179"/>
    <tableColumn id="7" xr3:uid="{0EDE91B2-9E54-4788-9989-58B11E7074EA}" name="WoW % change ans" dataDxfId="178" totalsRowDxfId="177"/>
    <tableColumn id="8" xr3:uid="{C1B75734-C045-4927-A31F-A083C1692622}" name="MTD Calls Offered" dataDxfId="176" totalsRowDxfId="175"/>
    <tableColumn id="9" xr3:uid="{CF93A49B-E584-4FC3-B287-327859E7F9A1}" name="MTD Calls Ans" dataDxfId="174" totalsRowDxfId="173"/>
    <tableColumn id="10" xr3:uid="{C50CD3D0-A084-4042-AF70-249A679D3753}" name="YTD Calls Offer" dataDxfId="172" totalsRowDxfId="171"/>
    <tableColumn id="11" xr3:uid="{F57373B4-1A20-4415-9FA4-C14574F4964A}" name="YTD Calls Ans" dataDxfId="170" totalsRowDxfId="169"/>
    <tableColumn id="12" xr3:uid="{8C4E032F-6A91-41CF-83C5-BCB63E14A4DB}" name="SL" dataDxfId="168" totalsRowDxfId="167"/>
    <tableColumn id="13" xr3:uid="{E11ABD54-2EE7-4CC3-A0E5-32E98874164F}" name="ABR" dataDxfId="166" totalsRowDxfId="165"/>
    <tableColumn id="14" xr3:uid="{F03AD841-747D-4ACD-84FD-6C99D6677ABC}" name="ANS" dataDxfId="164" totalsRowDxfId="163"/>
    <tableColumn id="15" xr3:uid="{78D2C07D-5A63-4628-9B33-47F2FC54A289}" name="AU" dataDxfId="162" totalsRowDxfId="161"/>
    <tableColumn id="16" xr3:uid="{BAA93BDE-3F39-483D-9AE3-7A35FD3FB6BE}" name="AA" dataDxfId="160" totalsRowDxfId="159"/>
    <tableColumn id="18" xr3:uid="{EEFE7BAF-A4C1-4615-91A5-C9678CD83698}" name="AHT" dataDxfId="158" totalsRowDxfId="157"/>
    <tableColumn id="24" xr3:uid="{DC3268BE-1DCD-4903-A50B-A3A8806FF0F5}" name="AWT" dataDxfId="156" totalsRowDxfId="155"/>
    <tableColumn id="17" xr3:uid="{24CC04DD-EC39-4A47-A0CF-CB2B124969C4}" name="Agents Log" dataDxfId="154" totalsRowDxfId="153"/>
    <tableColumn id="19" xr3:uid="{E26DAFFB-F469-48D7-8C55-D9D21BB5EC51}" name="Change Percentage (Call Offered) Oulier Bool" dataDxfId="152" totalsRowDxfId="151"/>
    <tableColumn id="20" xr3:uid="{974BD743-448B-4E54-8412-120659886FB1}" name="Change Percentage (Call Ans) Oulier Bool" dataDxfId="150" totalsRowDxfId="149"/>
    <tableColumn id="21" xr3:uid="{28AF06DF-B5B0-439F-A5FA-C03E558199BA}" name="Winsorized Values - Offered" dataDxfId="148" totalsRowDxfId="147"/>
    <tableColumn id="22" xr3:uid="{0AC5D96B-A909-4786-91EF-9FB986987AC2}" name="Winsorized Values - Ans" dataDxfId="146" totalsRow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AJ7:AL60" totalsRowShown="0" headerRowDxfId="144" headerRowBorderDxfId="143" tableBorderDxfId="142" totalsRowBorderDxfId="141">
  <autoFilter ref="AJ7:AL60" xr:uid="{CBB41494-2563-4798-8709-D9674739CD81}"/>
  <tableColumns count="3">
    <tableColumn id="1" xr3:uid="{36199FB1-55FC-4DA5-A945-4B71C0CA6BE9}" name="Week Of" dataDxfId="140">
      <calculatedColumnFormula>AJ7+7</calculatedColumnFormula>
    </tableColumn>
    <tableColumn id="2" xr3:uid="{4A5CCE66-0C63-4E6E-B22F-9CE91541357B}" name="Sum of Calls - Offered" dataDxfId="139">
      <calculatedColumnFormula array="1">SUMIFS(calls_off_OECS,period_OECS,"&gt;="&amp;AJ8,period_OECS,"&lt;"&amp;AJ9)</calculatedColumnFormula>
    </tableColumn>
    <tableColumn id="3" xr3:uid="{6B9C22F2-42C4-4CD0-A709-261823EACAF5}" name="Sum of Calls - Answered" dataDxfId="138">
      <calculatedColumnFormula>SUMIFS(F2:F109,A3:A110,"&gt;="&amp;AJ8,A2:A109,"&lt;"&amp;AJ9)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X366" totalsRowShown="0" headerRowDxfId="137" dataDxfId="136" tableBorderDxfId="135">
  <autoFilter ref="A1:X366" xr:uid="{5C4C38AA-3784-45FD-AD9C-14F2A05D8FF6}"/>
  <tableColumns count="24">
    <tableColumn id="1" xr3:uid="{5B0B2CC6-1EDF-44E8-B015-CDBFA0252EB8}" name="Date" dataDxfId="134"/>
    <tableColumn id="24" xr3:uid="{D7C481C0-2914-43C4-BAD6-B93BBB26FD62}" name="Week Number" dataDxfId="133"/>
    <tableColumn id="2" xr3:uid="{BE5856E4-FBFB-4C35-A65F-C2D4A4BA9293}" name="Day of the week" dataDxfId="132"/>
    <tableColumn id="14" xr3:uid="{BF5A5395-A12F-4E9E-A647-67A83815DD33}" name="Fiscal" dataDxfId="131"/>
    <tableColumn id="3" xr3:uid="{1FDA9D53-6343-4171-984D-F016DAC3A452}" name="Calls Off" dataDxfId="130"/>
    <tableColumn id="4" xr3:uid="{D7416F57-D8EB-4F89-9398-731CDDF7ABF0}" name="Calls Ans" dataDxfId="129"/>
    <tableColumn id="15" xr3:uid="{D3392110-4913-4772-AC41-5FF4F2D55325}" name="WoW % change offer" dataDxfId="128"/>
    <tableColumn id="16" xr3:uid="{4850BBEB-69C5-4C58-8175-16B47FA4DB42}" name="WoW % change ans" dataDxfId="127"/>
    <tableColumn id="5" xr3:uid="{345F2D57-222A-465B-ACBF-3E3886251986}" name="MTD Calls Offered" dataDxfId="126"/>
    <tableColumn id="6" xr3:uid="{AFBACC44-8F54-4409-B28C-F2FED98A9AA3}" name="MTD Calls Ans" dataDxfId="125"/>
    <tableColumn id="7" xr3:uid="{46C6239A-72B7-41C8-B156-E8AAA15B8BD5}" name="YTD Calls Offer" dataDxfId="124"/>
    <tableColumn id="8" xr3:uid="{35AE4E71-7FCC-43C6-B930-2816402C25B5}" name="YTD Calls Ans" dataDxfId="123"/>
    <tableColumn id="9" xr3:uid="{4237DCC4-BC67-4247-990C-ED3BB46D6B8A}" name="SL" dataDxfId="122"/>
    <tableColumn id="10" xr3:uid="{FDD78479-64EA-45DB-B8B0-F11600F5296F}" name="ABR" dataDxfId="121"/>
    <tableColumn id="11" xr3:uid="{CD009091-6A29-416D-871F-C316D4C56C97}" name="ANS" dataDxfId="120"/>
    <tableColumn id="12" xr3:uid="{AED37AE2-E9DF-435E-B9DE-0B0072CB8AFB}" name="AU" dataDxfId="119"/>
    <tableColumn id="13" xr3:uid="{825101E1-4A13-4A3E-90D4-618CF733E293}" name="AA" dataDxfId="118"/>
    <tableColumn id="18" xr3:uid="{75DC9B28-E6D4-4080-8C87-0DB0A78152D7}" name="AHT" dataDxfId="117"/>
    <tableColumn id="19" xr3:uid="{8E05AADC-40F1-487F-BA5D-60A431F61BBD}" name="AWT" dataDxfId="116"/>
    <tableColumn id="17" xr3:uid="{A372F43D-ED52-4B5C-8A21-12EF2AFFC659}" name="Agents Log" dataDxfId="115"/>
    <tableColumn id="20" xr3:uid="{E67C9DCF-80C3-43F5-A542-547F2FFCDF86}" name="Change Percentage (Call Offered) Oulier Bool" dataDxfId="114">
      <calculatedColumnFormula>IF(OR(G2&lt;$AA$5,G2&gt;$AB$5), "Outlier", "Normal")</calculatedColumnFormula>
    </tableColumn>
    <tableColumn id="21" xr3:uid="{CAD7D59A-5DC4-4B40-B96C-7B1C14C4D3AC}" name="Change Percentage (Call Ans) Oulier Bool" dataDxfId="113">
      <calculatedColumnFormula>IF(OR(H2&lt;$AA$6,H2&gt;$AB$6), "Outlier", "Normal")</calculatedColumnFormula>
    </tableColumn>
    <tableColumn id="22" xr3:uid="{AD46F367-0B84-41FE-B587-30A08D4C5D49}" name="Winsorized Values - Offered" dataDxfId="112">
      <calculatedColumnFormula>IF(U2="Normal",$G2,IF($G2&lt;150%, $G2, $AA$9))</calculatedColumnFormula>
    </tableColumn>
    <tableColumn id="23" xr3:uid="{D9805A39-78AD-47EE-B989-59349EA23498}" name="Winsorized Values - Ans" dataDxfId="111">
      <calculatedColumnFormula>IF(V2="Normal",$H2,IF($H2&lt;150%, $H2, $AE$9))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AN5:AP58" totalsRowShown="0">
  <autoFilter ref="AN5:AP58" xr:uid="{B9D0F0DD-8C17-452A-8F8A-E6A11F0F238F}"/>
  <tableColumns count="3">
    <tableColumn id="1" xr3:uid="{0590E773-C95C-4F3B-9661-D5B141B064DC}" name="Week of" dataDxfId="110">
      <calculatedColumnFormula>AN5+7</calculatedColumnFormula>
    </tableColumn>
    <tableColumn id="2" xr3:uid="{A597A63E-0EFB-4A1C-884E-C7360B0A4FF8}" name="Sum of Calls - Offered" dataDxfId="109">
      <calculatedColumnFormula array="1">SUMIFS(calls_off_JAM,period_JAM,"&gt;="&amp;AN6,period_JAM,"&lt;"&amp;AN7)</calculatedColumnFormula>
    </tableColumn>
    <tableColumn id="3" xr3:uid="{82B4EE72-438E-4032-9C6F-B39675B9AF4E}" name="Sum of Calls - Answered" dataDxfId="108">
      <calculatedColumnFormula array="1">SUMIFS(calls_ans_JAM,period_JAM,"&gt;="&amp;AN6,period_JAM,"&lt;"&amp;AN7)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X366" totalsRowShown="0" headerRowDxfId="107" tableBorderDxfId="106">
  <autoFilter ref="A1:X366" xr:uid="{83AA133F-D965-4CB6-BDA8-41A9C35B8F25}"/>
  <tableColumns count="24">
    <tableColumn id="1" xr3:uid="{C9188B86-882B-4531-9A7C-9C8E74CF4DCD}" name="Date" dataDxfId="105" totalsRowDxfId="104"/>
    <tableColumn id="24" xr3:uid="{FFD128C2-3FCE-42F8-B9A1-0EE5F72B5A74}" name="Week number" dataDxfId="103" totalsRowDxfId="102"/>
    <tableColumn id="2" xr3:uid="{8344D3B9-AC84-4150-B225-34BF77D3592E}" name="Day of the week" dataDxfId="101" totalsRowDxfId="100"/>
    <tableColumn id="14" xr3:uid="{C29776C6-4F85-4204-BBD4-7595D56E4BAD}" name="Fiscal" dataDxfId="99" totalsRowDxfId="98"/>
    <tableColumn id="3" xr3:uid="{36D3F057-C4A6-4ECB-BBA1-0422ED4322C2}" name="Calls Off" dataDxfId="97" totalsRowDxfId="96"/>
    <tableColumn id="4" xr3:uid="{48A00883-2030-48B1-BBC1-6FA1DBF92293}" name="Calls Ans" dataDxfId="95" totalsRowDxfId="94"/>
    <tableColumn id="15" xr3:uid="{9649B7A5-7919-4975-955B-3B6C35464C70}" name="WoW % change offer" dataDxfId="93" totalsRowDxfId="92"/>
    <tableColumn id="16" xr3:uid="{1F703A6A-FD49-47C1-BBCC-053F475F8081}" name="WoW % change ans" dataDxfId="91" totalsRowDxfId="90"/>
    <tableColumn id="5" xr3:uid="{DFF29B31-8A29-42E7-8A58-A7983425BB1A}" name="MTD Calls Offered" dataDxfId="89" totalsRowDxfId="88"/>
    <tableColumn id="6" xr3:uid="{A6B0FB5C-00D8-4813-BFD7-187C5BBE5F8E}" name="MTD Calls Ans" dataDxfId="87" totalsRowDxfId="86"/>
    <tableColumn id="7" xr3:uid="{BC18EA59-A5AC-49CE-A729-4AEFE9008FDD}" name="YTD Calls Offer" dataDxfId="85" totalsRowDxfId="84"/>
    <tableColumn id="8" xr3:uid="{27E7F2E3-6DBC-405E-B89F-A89D77189D05}" name="YTD Calls Ans" dataDxfId="83" totalsRowDxfId="82"/>
    <tableColumn id="9" xr3:uid="{C78EBBC1-F1A6-46CD-89AF-279BC9A3E4E2}" name="SL" dataDxfId="81" totalsRowDxfId="80"/>
    <tableColumn id="10" xr3:uid="{528632EF-EB19-4A23-A290-B6F67423399C}" name="ABR" dataDxfId="79" totalsRowDxfId="78"/>
    <tableColumn id="11" xr3:uid="{A7B18275-A049-46AD-9864-9406E87B4545}" name="ANS" dataDxfId="77" totalsRowDxfId="76"/>
    <tableColumn id="12" xr3:uid="{F578E4E4-AEB7-4722-BF14-9CB5D4E60521}" name="AU" dataDxfId="75" totalsRowDxfId="74"/>
    <tableColumn id="13" xr3:uid="{25A10A5C-C99C-456C-93AD-D7B33D475788}" name="AA" dataDxfId="73" totalsRowDxfId="72"/>
    <tableColumn id="18" xr3:uid="{BD060F69-631C-43B0-9215-7EEF16A5FFDD}" name="AHT" dataDxfId="71" totalsRowDxfId="70"/>
    <tableColumn id="19" xr3:uid="{EC8CCAD5-DF0F-424B-833F-E80D6B3E991D}" name="AWT" dataDxfId="69" totalsRowDxfId="68"/>
    <tableColumn id="17" xr3:uid="{E8A66EB3-2D71-4752-ADBB-32490072A07A}" name="Agents Log" dataDxfId="67" totalsRowDxfId="66"/>
    <tableColumn id="20" xr3:uid="{EE1E44EF-F116-4069-8ECB-43DFE62E161F}" name="Change Percentage (Call Offered) Oulier Bool" dataDxfId="65" totalsRowDxfId="64"/>
    <tableColumn id="21" xr3:uid="{B4BE9F6A-AA51-40DD-9B65-94544247831D}" name="Change Percentage (Call Ans) Oulier Bool" dataDxfId="63" totalsRowDxfId="62"/>
    <tableColumn id="22" xr3:uid="{29D9EF62-463D-4E50-89BA-DF0BFB854D98}" name="Winsorized Values - Offered" dataDxfId="61" totalsRowDxfId="60" dataCellStyle="Percent"/>
    <tableColumn id="23" xr3:uid="{865A1B7E-90F0-474C-92CF-56D6CBC1E996}" name="Winsorized Values - Ans" dataDxfId="59" totalsRowDxfId="58" dataCellStyle="Perce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AK13:AM66" totalsRowShown="0">
  <autoFilter ref="AK13:AM66" xr:uid="{CEEB218E-6C20-4792-BEBB-FBC817FA4AA2}"/>
  <tableColumns count="3">
    <tableColumn id="1" xr3:uid="{2E9E8C8B-6C61-4131-9387-F37B2B5AA83F}" name="Week of" dataDxfId="57">
      <calculatedColumnFormula>AK13+7</calculatedColumnFormula>
    </tableColumn>
    <tableColumn id="2" xr3:uid="{2A55958A-8386-4857-AA3A-808DE8D6820D}" name="Sum of Calls - Offered" dataDxfId="56">
      <calculatedColumnFormula>SUMIFS(Table7[Calls Off],Table7[Date],"&gt;="&amp;AK14,Table7[Date],"&lt;"&amp;AK15)</calculatedColumnFormula>
    </tableColumn>
    <tableColumn id="3" xr3:uid="{4DAF6653-BB52-41A3-A27D-4D70BE79B68B}" name="Sum of Calls - Answered" dataDxfId="55">
      <calculatedColumnFormula>SUMIFS(Table7[Calls Ans],Table7[Date],"&gt;="&amp;AK14,Table7[Date],"&lt;"&amp;AK15)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X366" totalsRowShown="0" headerRowDxfId="54" dataDxfId="52" headerRowBorderDxfId="53" tableBorderDxfId="51" totalsRowBorderDxfId="50" dataCellStyle="Percent">
  <autoFilter ref="A1:X366" xr:uid="{7431357D-0E99-41AE-87C8-CF0E7B818EAC}"/>
  <tableColumns count="24">
    <tableColumn id="1" xr3:uid="{FBC787A4-1197-4204-AEAB-FB44728BBC5A}" name="Date" dataDxfId="49" totalsRowDxfId="48"/>
    <tableColumn id="24" xr3:uid="{016E977E-B300-4594-862C-F4F73DB8D02D}" name="Week Number" dataDxfId="47" totalsRowDxfId="46"/>
    <tableColumn id="2" xr3:uid="{1ECDDE43-8A94-474F-9A32-0C8867E5C886}" name="Day of the week" dataDxfId="45" totalsRowDxfId="44"/>
    <tableColumn id="3" xr3:uid="{F252616B-C7F5-4E2C-87B3-2A18B23AF7AE}" name="Fiscal" dataDxfId="43" totalsRowDxfId="42"/>
    <tableColumn id="4" xr3:uid="{4D1E97E3-D23B-4CBB-8416-331578574872}" name="Calls Off" dataDxfId="41" totalsRowDxfId="40"/>
    <tableColumn id="5" xr3:uid="{85E5D003-8598-45E2-B192-48979EE48A09}" name="Calls Ans" dataDxfId="39" totalsRowDxfId="38"/>
    <tableColumn id="6" xr3:uid="{1ED6EC18-D513-4473-AD49-7A75EB9E7FA3}" name="WoW % change offer" dataDxfId="37" totalsRowDxfId="36"/>
    <tableColumn id="7" xr3:uid="{C9DAB305-599A-462D-A017-9665B7EB109D}" name="WoW % change ans" dataDxfId="35" totalsRowDxfId="34"/>
    <tableColumn id="8" xr3:uid="{3A01DA71-133A-4AAF-B7AE-585A4C3EB4F9}" name="MTD Calls Offered" dataDxfId="33" totalsRowDxfId="32"/>
    <tableColumn id="9" xr3:uid="{66E4ED2D-B541-4E37-9219-591D12D9BA20}" name="MTD Calls Ans" dataDxfId="31" totalsRowDxfId="30"/>
    <tableColumn id="10" xr3:uid="{A3A46A50-4464-44B3-B4E3-8004FCA5B400}" name="YTD Calls Offer" dataDxfId="29" totalsRowDxfId="28"/>
    <tableColumn id="11" xr3:uid="{A96EAF46-43AA-41B5-A8CA-E9CFCEFB9575}" name="YTD Calls Ans" dataDxfId="27" totalsRowDxfId="26"/>
    <tableColumn id="12" xr3:uid="{307F1BDF-DDF2-4681-A9E1-68A99832D08E}" name="SL" dataDxfId="25" totalsRowDxfId="24" dataCellStyle="Percent"/>
    <tableColumn id="13" xr3:uid="{6CC697F2-5181-4D11-BAE7-B262C0DC3C68}" name="ABR" dataDxfId="23" totalsRowDxfId="22" dataCellStyle="Percent"/>
    <tableColumn id="14" xr3:uid="{F57C4767-26F2-4824-92A9-40754F2F8C28}" name="ANS" dataDxfId="21" totalsRowDxfId="20" dataCellStyle="Percent"/>
    <tableColumn id="15" xr3:uid="{BD547FF2-B6B0-4AEE-B983-61B17D7CDD45}" name="AU" dataDxfId="19" totalsRowDxfId="18" dataCellStyle="Percent"/>
    <tableColumn id="16" xr3:uid="{E50FA3FB-F553-449F-8702-69F70B6CAC12}" name="AA" dataDxfId="17" totalsRowDxfId="16" dataCellStyle="Percent"/>
    <tableColumn id="18" xr3:uid="{E8754235-7652-465C-8D9B-A9337A8A56A7}" name="AHT" dataDxfId="15" dataCellStyle="Percent"/>
    <tableColumn id="19" xr3:uid="{0107B893-12D3-4462-8775-0B2DE6319A4E}" name="AWT" dataDxfId="14" totalsRowDxfId="13" dataCellStyle="Percent"/>
    <tableColumn id="17" xr3:uid="{3BB2F00B-07C6-48C3-87E2-1CB96C898F3A}" name="Agents Log" dataDxfId="12" totalsRowDxfId="11" dataCellStyle="Percent"/>
    <tableColumn id="20" xr3:uid="{1B0FA951-8E64-41B1-8FE7-960B5E7F55AC}" name="Change Percentage (Call Offered) Oulier Bool" dataDxfId="10" dataCellStyle="Percent"/>
    <tableColumn id="21" xr3:uid="{F82F1C2A-58CE-43EF-B966-66D7FFE3ADC3}" name="Change Percentage (Call Ans) Oulier Bool" dataDxfId="9" dataCellStyle="Percent"/>
    <tableColumn id="22" xr3:uid="{350AD602-7FFB-44C5-8B44-86B14E3F8DA0}" name="Winsorized Values - Offered" dataDxfId="8" dataCellStyle="Percent"/>
    <tableColumn id="23" xr3:uid="{082F7599-5689-4B8A-A502-AE14ED392C2E}" name="Winsorized Values - Ans" dataDxfId="7" dataCellStyle="Percen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AM3:AO56" totalsRowShown="0" headerRowDxfId="6" headerRowBorderDxfId="5" tableBorderDxfId="4" totalsRowBorderDxfId="3">
  <autoFilter ref="AM3:AO56" xr:uid="{E2C18D0D-B81D-46F7-BA6A-01D34339BFF7}"/>
  <tableColumns count="3">
    <tableColumn id="1" xr3:uid="{898A7E87-679D-4D87-87E2-67BEE8688433}" name="Week of" dataDxfId="2">
      <calculatedColumnFormula>AM3+7</calculatedColumnFormula>
    </tableColumn>
    <tableColumn id="2" xr3:uid="{0F792277-7268-424C-8859-56311EB0181F}" name="Sum of Calls - Offered" dataDxfId="1">
      <calculatedColumnFormula>SUMIFS(calls_off_BAR,period_BAR,"&gt;="&amp;AM4,period_BAR,"&lt;"&amp;AM5)</calculatedColumnFormula>
    </tableColumn>
    <tableColumn id="3" xr3:uid="{2C0EFA03-7E54-491A-ACE9-74D8D6A6C8E9}" name="Sum of Calls - Answered" dataDxfId="0">
      <calculatedColumnFormula>SUMIFS(calls_ans_BAR,period_BAR,"&gt;="&amp;AM4,period_BAR,"&lt;"&amp;AM5)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H22"/>
  <sheetViews>
    <sheetView topLeftCell="A15" workbookViewId="0">
      <selection activeCell="B20" sqref="B20:G22"/>
    </sheetView>
  </sheetViews>
  <sheetFormatPr defaultRowHeight="14.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8" ht="18.5">
      <c r="A2" s="321" t="s">
        <v>109</v>
      </c>
      <c r="B2" s="321"/>
      <c r="C2" s="321"/>
      <c r="D2" s="321"/>
      <c r="E2" s="321"/>
      <c r="F2" s="321"/>
      <c r="G2" s="321"/>
      <c r="H2" s="321"/>
    </row>
    <row r="3" spans="1:8">
      <c r="A3" s="6" t="s">
        <v>17</v>
      </c>
      <c r="B3" s="7" t="s">
        <v>18</v>
      </c>
      <c r="C3" s="7" t="s">
        <v>70</v>
      </c>
      <c r="D3" s="7" t="s">
        <v>34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>
      <c r="A4" s="4" t="s">
        <v>19</v>
      </c>
      <c r="B4" s="9" t="s">
        <v>26</v>
      </c>
      <c r="C4" s="72" t="s">
        <v>108</v>
      </c>
      <c r="D4" s="72" t="s">
        <v>108</v>
      </c>
      <c r="E4" s="72" t="s">
        <v>120</v>
      </c>
      <c r="F4" s="72" t="s">
        <v>117</v>
      </c>
      <c r="G4" s="167" t="s">
        <v>114</v>
      </c>
      <c r="H4" s="30" t="s">
        <v>107</v>
      </c>
    </row>
    <row r="5" spans="1:8">
      <c r="A5" s="4" t="s">
        <v>20</v>
      </c>
      <c r="B5" s="9" t="s">
        <v>27</v>
      </c>
      <c r="C5" s="123">
        <v>0.75</v>
      </c>
      <c r="D5" s="123">
        <v>0.82</v>
      </c>
      <c r="E5" s="123">
        <v>0.78</v>
      </c>
      <c r="F5" s="56">
        <v>0.85</v>
      </c>
      <c r="G5" s="47">
        <v>0.83</v>
      </c>
      <c r="H5" s="151">
        <v>0.77</v>
      </c>
    </row>
    <row r="6" spans="1:8">
      <c r="A6" s="4" t="s">
        <v>21</v>
      </c>
      <c r="B6" s="9" t="s">
        <v>26</v>
      </c>
      <c r="C6" s="72" t="s">
        <v>110</v>
      </c>
      <c r="D6" s="72" t="s">
        <v>112</v>
      </c>
      <c r="E6" s="72" t="s">
        <v>121</v>
      </c>
      <c r="F6" s="132" t="s">
        <v>118</v>
      </c>
      <c r="G6" s="30" t="s">
        <v>115</v>
      </c>
      <c r="H6" s="30" t="s">
        <v>106</v>
      </c>
    </row>
    <row r="7" spans="1:8">
      <c r="A7" s="4" t="s">
        <v>22</v>
      </c>
      <c r="B7" s="9" t="s">
        <v>27</v>
      </c>
      <c r="C7" s="56">
        <v>0.95</v>
      </c>
      <c r="D7" s="56">
        <v>0.97</v>
      </c>
      <c r="E7" s="56">
        <v>0.89</v>
      </c>
      <c r="F7" s="123">
        <v>0.7</v>
      </c>
      <c r="G7" s="47">
        <v>0.83</v>
      </c>
      <c r="H7" s="151">
        <v>0.92</v>
      </c>
    </row>
    <row r="8" spans="1:8">
      <c r="A8" s="4" t="s">
        <v>23</v>
      </c>
      <c r="B8" s="9" t="s">
        <v>28</v>
      </c>
      <c r="C8" s="72" t="s">
        <v>111</v>
      </c>
      <c r="D8" s="72" t="s">
        <v>113</v>
      </c>
      <c r="E8" s="72" t="s">
        <v>122</v>
      </c>
      <c r="F8" s="72" t="s">
        <v>119</v>
      </c>
      <c r="G8" s="30" t="s">
        <v>116</v>
      </c>
      <c r="H8" s="30" t="s">
        <v>123</v>
      </c>
    </row>
    <row r="9" spans="1:8">
      <c r="A9" s="4" t="s">
        <v>24</v>
      </c>
      <c r="B9" s="9" t="s">
        <v>29</v>
      </c>
      <c r="C9" s="123">
        <v>0.82</v>
      </c>
      <c r="D9" s="123">
        <v>0.73</v>
      </c>
      <c r="E9" s="56">
        <v>0.9</v>
      </c>
      <c r="F9" s="123">
        <v>0.81</v>
      </c>
      <c r="G9" s="151">
        <v>0.88</v>
      </c>
      <c r="H9" s="47">
        <v>0.76</v>
      </c>
    </row>
    <row r="10" spans="1:8">
      <c r="A10" s="4" t="s">
        <v>25</v>
      </c>
      <c r="B10" s="3">
        <v>0.85</v>
      </c>
      <c r="C10" s="56">
        <v>0.73</v>
      </c>
      <c r="D10" s="56">
        <v>0.94</v>
      </c>
      <c r="E10" s="142">
        <v>1</v>
      </c>
      <c r="F10" s="142">
        <v>1</v>
      </c>
      <c r="G10" s="151">
        <v>1</v>
      </c>
      <c r="H10" s="142">
        <v>1</v>
      </c>
    </row>
    <row r="11" spans="1:8">
      <c r="A11" s="4" t="s">
        <v>31</v>
      </c>
      <c r="B11" s="134" t="s">
        <v>16</v>
      </c>
      <c r="C11" s="133">
        <v>11</v>
      </c>
      <c r="D11" s="133">
        <v>32</v>
      </c>
      <c r="E11" s="133">
        <v>4</v>
      </c>
      <c r="F11" s="133">
        <v>3</v>
      </c>
      <c r="G11" s="133">
        <v>5</v>
      </c>
      <c r="H11" s="138">
        <v>1</v>
      </c>
    </row>
    <row r="12" spans="1:8">
      <c r="A12" s="5" t="s">
        <v>75</v>
      </c>
      <c r="B12" s="134" t="s">
        <v>16</v>
      </c>
      <c r="C12" s="135">
        <v>0.13</v>
      </c>
      <c r="D12" s="135">
        <v>0.21</v>
      </c>
      <c r="E12" s="136">
        <v>0.44</v>
      </c>
      <c r="F12" s="136">
        <v>0.15</v>
      </c>
      <c r="G12" s="152">
        <v>0.21</v>
      </c>
      <c r="H12" s="137">
        <v>0.08</v>
      </c>
    </row>
    <row r="14" spans="1:8" ht="18.5">
      <c r="A14" s="322" t="s">
        <v>109</v>
      </c>
      <c r="B14" s="323"/>
      <c r="C14" s="323"/>
      <c r="D14" s="323"/>
      <c r="E14" s="323"/>
      <c r="F14" s="323"/>
      <c r="G14" s="324"/>
      <c r="H14" s="124"/>
    </row>
    <row r="15" spans="1:8">
      <c r="A15" s="6" t="s">
        <v>17</v>
      </c>
      <c r="B15" s="7" t="s">
        <v>70</v>
      </c>
      <c r="C15" s="7" t="s">
        <v>34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>
      <c r="A16" s="4" t="s">
        <v>36</v>
      </c>
      <c r="B16" s="1">
        <v>88</v>
      </c>
      <c r="C16" s="1">
        <v>154</v>
      </c>
      <c r="D16" s="1">
        <v>9</v>
      </c>
      <c r="E16" s="1">
        <v>20</v>
      </c>
      <c r="F16" s="1">
        <v>24</v>
      </c>
      <c r="G16" s="1">
        <v>13</v>
      </c>
    </row>
    <row r="17" spans="1:7">
      <c r="A17" s="4" t="s">
        <v>37</v>
      </c>
      <c r="B17" s="1">
        <v>0</v>
      </c>
      <c r="C17" s="1">
        <v>0</v>
      </c>
      <c r="D17" s="1">
        <v>0</v>
      </c>
      <c r="E17" s="1">
        <v>2</v>
      </c>
      <c r="F17" s="1">
        <v>3</v>
      </c>
      <c r="G17" s="1">
        <v>4</v>
      </c>
    </row>
    <row r="18" spans="1:7">
      <c r="A18" s="4" t="s">
        <v>38</v>
      </c>
      <c r="B18" s="1">
        <f>3+4+1+6+5+8</f>
        <v>27</v>
      </c>
      <c r="C18" s="1">
        <v>2</v>
      </c>
      <c r="D18" s="1">
        <v>1</v>
      </c>
      <c r="E18" s="1">
        <v>5</v>
      </c>
      <c r="F18" s="1">
        <f>4+1</f>
        <v>5</v>
      </c>
      <c r="G18" s="1">
        <v>0</v>
      </c>
    </row>
    <row r="19" spans="1:7">
      <c r="A19" s="4" t="s">
        <v>39</v>
      </c>
      <c r="B19" s="1">
        <v>115</v>
      </c>
      <c r="C19" s="1">
        <v>156</v>
      </c>
      <c r="D19" s="1">
        <v>10</v>
      </c>
      <c r="E19" s="1">
        <v>27</v>
      </c>
      <c r="F19" s="1">
        <v>32</v>
      </c>
      <c r="G19" s="1">
        <v>17</v>
      </c>
    </row>
    <row r="20" spans="1:7">
      <c r="A20" s="4" t="s">
        <v>40</v>
      </c>
      <c r="B20" s="18">
        <f t="shared" ref="B20:G20" si="0">B16/(B19-B18)</f>
        <v>1</v>
      </c>
      <c r="C20" s="18">
        <f>C16/(C19-C18)</f>
        <v>1</v>
      </c>
      <c r="D20" s="63">
        <f t="shared" si="0"/>
        <v>1</v>
      </c>
      <c r="E20" s="58">
        <f t="shared" si="0"/>
        <v>0.90909090909090906</v>
      </c>
      <c r="F20" s="58">
        <f t="shared" si="0"/>
        <v>0.88888888888888884</v>
      </c>
      <c r="G20" s="58">
        <f t="shared" si="0"/>
        <v>0.76470588235294112</v>
      </c>
    </row>
    <row r="21" spans="1:7">
      <c r="A21" s="4" t="s">
        <v>41</v>
      </c>
      <c r="B21" s="19">
        <f t="shared" ref="B21:G21" si="1">B18/B19</f>
        <v>0.23478260869565218</v>
      </c>
      <c r="C21" s="19">
        <f t="shared" si="1"/>
        <v>1.282051282051282E-2</v>
      </c>
      <c r="D21" s="140">
        <f t="shared" si="1"/>
        <v>0.1</v>
      </c>
      <c r="E21" s="71">
        <f t="shared" si="1"/>
        <v>0.18518518518518517</v>
      </c>
      <c r="F21" s="71">
        <f t="shared" si="1"/>
        <v>0.15625</v>
      </c>
      <c r="G21" s="71">
        <f t="shared" si="1"/>
        <v>0</v>
      </c>
    </row>
    <row r="22" spans="1:7">
      <c r="A22" s="5" t="s">
        <v>42</v>
      </c>
      <c r="B22" s="20">
        <f t="shared" ref="B22:G22" si="2">B17/(B19-B18)</f>
        <v>0</v>
      </c>
      <c r="C22" s="20">
        <f>C17/(C19-C18)</f>
        <v>0</v>
      </c>
      <c r="D22" s="141">
        <f t="shared" si="2"/>
        <v>0</v>
      </c>
      <c r="E22" s="57">
        <f>E17/(E19-E18)</f>
        <v>9.0909090909090912E-2</v>
      </c>
      <c r="F22" s="130">
        <f t="shared" si="2"/>
        <v>0.1111111111111111</v>
      </c>
      <c r="G22" s="57">
        <f t="shared" si="2"/>
        <v>0.23529411764705882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topLeftCell="A13" workbookViewId="0">
      <selection activeCell="A14" sqref="A14:G22"/>
    </sheetView>
  </sheetViews>
  <sheetFormatPr defaultRowHeight="14.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>
      <c r="A2" s="321" t="s">
        <v>126</v>
      </c>
      <c r="B2" s="321"/>
      <c r="C2" s="321"/>
      <c r="D2" s="321"/>
      <c r="E2" s="321"/>
      <c r="F2" s="321"/>
      <c r="G2" s="321"/>
      <c r="H2" s="321"/>
    </row>
    <row r="3" spans="1:8">
      <c r="A3" s="6" t="s">
        <v>17</v>
      </c>
      <c r="B3" s="7" t="s">
        <v>18</v>
      </c>
      <c r="C3" s="7" t="s">
        <v>70</v>
      </c>
      <c r="D3" s="7" t="s">
        <v>34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>
      <c r="A4" s="4" t="s">
        <v>19</v>
      </c>
      <c r="B4" s="9" t="s">
        <v>26</v>
      </c>
      <c r="C4" s="72" t="s">
        <v>129</v>
      </c>
      <c r="D4" s="72" t="s">
        <v>127</v>
      </c>
      <c r="E4" s="72" t="s">
        <v>131</v>
      </c>
      <c r="F4" s="132" t="s">
        <v>134</v>
      </c>
      <c r="G4" s="30" t="s">
        <v>107</v>
      </c>
      <c r="H4" s="30" t="s">
        <v>120</v>
      </c>
    </row>
    <row r="5" spans="1:8">
      <c r="A5" s="4" t="s">
        <v>20</v>
      </c>
      <c r="B5" s="9" t="s">
        <v>27</v>
      </c>
      <c r="C5" s="123">
        <v>0.76</v>
      </c>
      <c r="D5" s="123">
        <v>0.81</v>
      </c>
      <c r="E5" s="123">
        <v>0.83</v>
      </c>
      <c r="F5" s="123">
        <v>0.83</v>
      </c>
      <c r="G5" s="47">
        <v>0.75</v>
      </c>
      <c r="H5" s="151">
        <v>0.87</v>
      </c>
    </row>
    <row r="6" spans="1:8">
      <c r="A6" s="4" t="s">
        <v>21</v>
      </c>
      <c r="B6" s="9" t="s">
        <v>26</v>
      </c>
      <c r="C6" s="72" t="s">
        <v>121</v>
      </c>
      <c r="D6" s="72" t="s">
        <v>112</v>
      </c>
      <c r="E6" s="72" t="s">
        <v>133</v>
      </c>
      <c r="F6" s="132" t="s">
        <v>135</v>
      </c>
      <c r="G6" s="107" t="s">
        <v>134</v>
      </c>
      <c r="H6" s="30" t="s">
        <v>138</v>
      </c>
    </row>
    <row r="7" spans="1:8">
      <c r="A7" s="4" t="s">
        <v>22</v>
      </c>
      <c r="B7" s="9" t="s">
        <v>27</v>
      </c>
      <c r="C7" s="56">
        <v>0.94</v>
      </c>
      <c r="D7" s="56">
        <v>0.98</v>
      </c>
      <c r="E7" s="56">
        <v>0.91</v>
      </c>
      <c r="F7" s="123">
        <v>0.69</v>
      </c>
      <c r="G7" s="47">
        <v>0.77</v>
      </c>
      <c r="H7" s="151">
        <v>0.91</v>
      </c>
    </row>
    <row r="8" spans="1:8">
      <c r="A8" s="4" t="s">
        <v>23</v>
      </c>
      <c r="B8" s="9" t="s">
        <v>28</v>
      </c>
      <c r="C8" s="72" t="s">
        <v>130</v>
      </c>
      <c r="D8" s="166" t="s">
        <v>128</v>
      </c>
      <c r="E8" s="72" t="s">
        <v>132</v>
      </c>
      <c r="F8" s="72" t="s">
        <v>136</v>
      </c>
      <c r="G8" s="30" t="s">
        <v>137</v>
      </c>
      <c r="H8" s="30" t="s">
        <v>139</v>
      </c>
    </row>
    <row r="9" spans="1:8">
      <c r="A9" s="4" t="s">
        <v>24</v>
      </c>
      <c r="B9" s="9" t="s">
        <v>29</v>
      </c>
      <c r="C9" s="123">
        <v>0.81</v>
      </c>
      <c r="D9" s="123">
        <v>0.71</v>
      </c>
      <c r="E9" s="56">
        <v>0.85</v>
      </c>
      <c r="F9" s="123">
        <v>0.78</v>
      </c>
      <c r="G9" s="47">
        <v>0.83</v>
      </c>
      <c r="H9" s="151">
        <v>0.88</v>
      </c>
    </row>
    <row r="10" spans="1:8">
      <c r="A10" s="4" t="s">
        <v>25</v>
      </c>
      <c r="B10" s="3">
        <v>0.85</v>
      </c>
      <c r="C10" s="123">
        <v>0.82</v>
      </c>
      <c r="D10" s="56">
        <v>0.93</v>
      </c>
      <c r="E10" s="142">
        <v>0.91</v>
      </c>
      <c r="F10" s="142">
        <v>1</v>
      </c>
      <c r="G10" s="151">
        <v>0.78</v>
      </c>
      <c r="H10" s="142">
        <v>1</v>
      </c>
    </row>
    <row r="11" spans="1:8">
      <c r="A11" s="4" t="s">
        <v>31</v>
      </c>
      <c r="B11" s="134" t="s">
        <v>16</v>
      </c>
      <c r="C11" s="133">
        <v>55</v>
      </c>
      <c r="D11" s="133">
        <v>172</v>
      </c>
      <c r="E11" s="133">
        <v>11</v>
      </c>
      <c r="F11" s="133">
        <v>25</v>
      </c>
      <c r="G11" s="30">
        <v>32</v>
      </c>
      <c r="H11" s="138">
        <v>11</v>
      </c>
    </row>
    <row r="12" spans="1:8">
      <c r="A12" s="5" t="s">
        <v>75</v>
      </c>
      <c r="B12" s="134" t="s">
        <v>16</v>
      </c>
      <c r="C12" s="135">
        <v>0.14000000000000001</v>
      </c>
      <c r="D12" s="135">
        <v>0.23</v>
      </c>
      <c r="E12" s="136">
        <v>0.19</v>
      </c>
      <c r="F12" s="136">
        <v>0.23</v>
      </c>
      <c r="G12" s="151">
        <v>0.19</v>
      </c>
      <c r="H12" s="137">
        <v>0.16</v>
      </c>
    </row>
    <row r="14" spans="1:8" ht="18.5">
      <c r="A14" s="322" t="s">
        <v>105</v>
      </c>
      <c r="B14" s="323"/>
      <c r="C14" s="323"/>
      <c r="D14" s="323"/>
      <c r="E14" s="323"/>
      <c r="F14" s="323"/>
      <c r="G14" s="324"/>
      <c r="H14" s="124"/>
    </row>
    <row r="15" spans="1:8">
      <c r="A15" s="6" t="s">
        <v>17</v>
      </c>
      <c r="B15" s="7" t="s">
        <v>70</v>
      </c>
      <c r="C15" s="7" t="s">
        <v>34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>
      <c r="A16" s="4" t="s">
        <v>36</v>
      </c>
      <c r="B16" s="1">
        <v>387</v>
      </c>
      <c r="C16" s="1">
        <v>756</v>
      </c>
      <c r="D16" s="1">
        <v>58</v>
      </c>
      <c r="E16" s="1">
        <v>108</v>
      </c>
      <c r="F16" s="43">
        <v>172</v>
      </c>
      <c r="G16" s="1">
        <v>67</v>
      </c>
    </row>
    <row r="17" spans="1:7">
      <c r="A17" s="4" t="s">
        <v>37</v>
      </c>
      <c r="B17" s="1">
        <v>21</v>
      </c>
      <c r="C17" s="1">
        <v>4</v>
      </c>
      <c r="D17" s="1">
        <v>1</v>
      </c>
      <c r="E17" s="1">
        <v>21</v>
      </c>
      <c r="F17" s="43">
        <v>27</v>
      </c>
      <c r="G17" s="1">
        <v>9</v>
      </c>
    </row>
    <row r="18" spans="1:7">
      <c r="A18" s="4" t="s">
        <v>38</v>
      </c>
      <c r="B18" s="1">
        <f>1+6+3+3+3+3+4+1+6+1+8+2+1+6+4+4+4+7</f>
        <v>67</v>
      </c>
      <c r="C18" s="1">
        <f>2+1</f>
        <v>3</v>
      </c>
      <c r="D18" s="1">
        <f>1</f>
        <v>1</v>
      </c>
      <c r="E18" s="1">
        <f>4+1+2+2+1</f>
        <v>10</v>
      </c>
      <c r="F18" s="43">
        <f>1+1+3+1+1</f>
        <v>7</v>
      </c>
      <c r="G18" s="1">
        <f>1</f>
        <v>1</v>
      </c>
    </row>
    <row r="19" spans="1:7">
      <c r="A19" s="4" t="s">
        <v>39</v>
      </c>
      <c r="B19" s="1">
        <v>475</v>
      </c>
      <c r="C19" s="1">
        <v>763</v>
      </c>
      <c r="D19" s="1">
        <v>60</v>
      </c>
      <c r="E19" s="1">
        <v>139</v>
      </c>
      <c r="F19" s="43">
        <v>206</v>
      </c>
      <c r="G19" s="1">
        <v>77</v>
      </c>
    </row>
    <row r="20" spans="1:7">
      <c r="A20" s="4" t="s">
        <v>40</v>
      </c>
      <c r="B20" s="18">
        <f>B16/(B19-B18)</f>
        <v>0.94852941176470584</v>
      </c>
      <c r="C20" s="63">
        <f>C16/(C19-C18)</f>
        <v>0.99473684210526314</v>
      </c>
      <c r="D20" s="63">
        <f>D16/(D19-D18)</f>
        <v>0.98305084745762716</v>
      </c>
      <c r="E20" s="58">
        <f t="shared" ref="E20:G20" si="0">E16/(E19-E18)</f>
        <v>0.83720930232558144</v>
      </c>
      <c r="F20" s="58">
        <f t="shared" si="0"/>
        <v>0.86432160804020097</v>
      </c>
      <c r="G20" s="63">
        <f t="shared" si="0"/>
        <v>0.88157894736842102</v>
      </c>
    </row>
    <row r="21" spans="1:7">
      <c r="A21" s="4" t="s">
        <v>41</v>
      </c>
      <c r="B21" s="19">
        <f t="shared" ref="B21:G21" si="1">B18/B19</f>
        <v>0.14105263157894737</v>
      </c>
      <c r="C21" s="19">
        <f t="shared" si="1"/>
        <v>3.9318479685452159E-3</v>
      </c>
      <c r="D21" s="140">
        <f t="shared" si="1"/>
        <v>1.6666666666666666E-2</v>
      </c>
      <c r="E21" s="71">
        <f t="shared" si="1"/>
        <v>7.1942446043165464E-2</v>
      </c>
      <c r="F21" s="71">
        <f t="shared" si="1"/>
        <v>3.3980582524271843E-2</v>
      </c>
      <c r="G21" s="71">
        <f t="shared" si="1"/>
        <v>1.2987012987012988E-2</v>
      </c>
    </row>
    <row r="22" spans="1:7">
      <c r="A22" s="5" t="s">
        <v>42</v>
      </c>
      <c r="B22" s="20">
        <f t="shared" ref="B22:G22" si="2">B17/(B19-B18)</f>
        <v>5.1470588235294115E-2</v>
      </c>
      <c r="C22" s="141">
        <f>C17/(C19-C18)</f>
        <v>5.263157894736842E-3</v>
      </c>
      <c r="D22" s="141">
        <f t="shared" si="2"/>
        <v>1.6949152542372881E-2</v>
      </c>
      <c r="E22" s="57">
        <f>E17/(E19-E18)</f>
        <v>0.16279069767441862</v>
      </c>
      <c r="F22" s="57">
        <f t="shared" si="2"/>
        <v>0.135678391959799</v>
      </c>
      <c r="G22" s="130">
        <f t="shared" si="2"/>
        <v>0.11842105263157894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2:K25"/>
  <sheetViews>
    <sheetView topLeftCell="B22" workbookViewId="0">
      <selection activeCell="E13" sqref="E13"/>
    </sheetView>
  </sheetViews>
  <sheetFormatPr defaultRowHeight="14.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</cols>
  <sheetData>
    <row r="2" spans="2:11" ht="30.5" customHeight="1">
      <c r="B2" s="325" t="s">
        <v>125</v>
      </c>
      <c r="C2" s="326"/>
      <c r="D2" s="326"/>
      <c r="E2" s="326"/>
      <c r="F2" s="326"/>
      <c r="G2" s="326"/>
      <c r="H2" s="326"/>
      <c r="I2" s="326"/>
      <c r="J2" s="326"/>
      <c r="K2" s="327"/>
    </row>
    <row r="3" spans="2:11" ht="29">
      <c r="B3" s="13" t="s">
        <v>1</v>
      </c>
      <c r="C3" s="14" t="s">
        <v>2</v>
      </c>
      <c r="D3" s="14" t="s">
        <v>15</v>
      </c>
      <c r="E3" s="128" t="s">
        <v>102</v>
      </c>
      <c r="F3" s="128" t="s">
        <v>103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</row>
    <row r="4" spans="2:11">
      <c r="B4" s="4" t="s">
        <v>8</v>
      </c>
      <c r="C4" s="1"/>
      <c r="D4" s="1"/>
      <c r="E4" s="67"/>
      <c r="F4" s="67"/>
      <c r="G4" s="2">
        <v>0.86</v>
      </c>
      <c r="H4" s="2">
        <v>0.94</v>
      </c>
      <c r="I4" s="2">
        <v>0.06</v>
      </c>
      <c r="J4" s="2">
        <v>0.65</v>
      </c>
      <c r="K4" s="12">
        <v>0.95</v>
      </c>
    </row>
    <row r="5" spans="2:11">
      <c r="B5" s="4" t="s">
        <v>70</v>
      </c>
      <c r="C5" s="1">
        <v>3491</v>
      </c>
      <c r="D5" s="1">
        <v>3382</v>
      </c>
      <c r="E5" s="164">
        <f>(C5-C19)/C19</f>
        <v>-5.5976203353163875E-2</v>
      </c>
      <c r="F5" s="164">
        <f>(D5-D19)/D19</f>
        <v>-4.1383219954648526E-2</v>
      </c>
      <c r="G5" s="63">
        <v>0.9</v>
      </c>
      <c r="H5" s="63">
        <f>D5/C5</f>
        <v>0.968776854769407</v>
      </c>
      <c r="I5" s="63">
        <f>1-H5</f>
        <v>3.1223145230592997E-2</v>
      </c>
      <c r="J5" s="58">
        <v>0.38</v>
      </c>
      <c r="K5" s="58">
        <v>0.82</v>
      </c>
    </row>
    <row r="6" spans="2:11">
      <c r="B6" s="4" t="s">
        <v>10</v>
      </c>
      <c r="C6" s="1">
        <v>1185</v>
      </c>
      <c r="D6" s="1">
        <v>1135</v>
      </c>
      <c r="E6" s="129">
        <f t="shared" ref="E6:F9" si="0">(C6-C20)/C20</f>
        <v>5.1464063886424133E-2</v>
      </c>
      <c r="F6" s="129">
        <f t="shared" si="0"/>
        <v>3.5583941605839414E-2</v>
      </c>
      <c r="G6" s="63">
        <v>0.91</v>
      </c>
      <c r="H6" s="63">
        <f t="shared" ref="H6:H9" si="1">D6/C6</f>
        <v>0.95780590717299574</v>
      </c>
      <c r="I6" s="63">
        <f t="shared" ref="I6:I9" si="2">1-H6</f>
        <v>4.2194092827004259E-2</v>
      </c>
      <c r="J6" s="63">
        <v>0.77</v>
      </c>
      <c r="K6" s="63">
        <v>1</v>
      </c>
    </row>
    <row r="7" spans="2:11">
      <c r="B7" s="4" t="s">
        <v>11</v>
      </c>
      <c r="C7" s="64">
        <v>1915</v>
      </c>
      <c r="D7" s="64">
        <v>1826</v>
      </c>
      <c r="E7" s="164">
        <f t="shared" si="0"/>
        <v>-0.18162393162393162</v>
      </c>
      <c r="F7" s="164">
        <f t="shared" si="0"/>
        <v>-0.18482142857142858</v>
      </c>
      <c r="G7" s="55">
        <v>0.64</v>
      </c>
      <c r="H7" s="63">
        <f t="shared" si="1"/>
        <v>0.9535248041775457</v>
      </c>
      <c r="I7" s="63">
        <f t="shared" si="2"/>
        <v>4.6475195822454296E-2</v>
      </c>
      <c r="J7" s="46">
        <v>0.8</v>
      </c>
      <c r="K7" s="63">
        <v>1</v>
      </c>
    </row>
    <row r="8" spans="2:11">
      <c r="B8" s="4" t="s">
        <v>34</v>
      </c>
      <c r="C8" s="62">
        <v>4743</v>
      </c>
      <c r="D8" s="62">
        <v>4466</v>
      </c>
      <c r="E8" s="164">
        <f t="shared" si="0"/>
        <v>-0.18617021276595744</v>
      </c>
      <c r="F8" s="164">
        <f t="shared" si="0"/>
        <v>-0.19138149556400508</v>
      </c>
      <c r="G8" s="45">
        <v>0.86</v>
      </c>
      <c r="H8" s="63">
        <f t="shared" si="1"/>
        <v>0.94159814463419778</v>
      </c>
      <c r="I8" s="63">
        <f t="shared" si="2"/>
        <v>5.8401855365802224E-2</v>
      </c>
      <c r="J8" s="139">
        <v>0.56999999999999995</v>
      </c>
      <c r="K8" s="118" t="s">
        <v>16</v>
      </c>
    </row>
    <row r="9" spans="2:11">
      <c r="B9" s="4" t="s">
        <v>13</v>
      </c>
      <c r="C9" s="122">
        <v>2366</v>
      </c>
      <c r="D9" s="61">
        <v>2158</v>
      </c>
      <c r="E9" s="129">
        <f t="shared" si="0"/>
        <v>0.13314176245210729</v>
      </c>
      <c r="F9" s="129">
        <f t="shared" si="0"/>
        <v>8.8250126071608676E-2</v>
      </c>
      <c r="G9" s="60">
        <v>0.75</v>
      </c>
      <c r="H9" s="58">
        <f t="shared" si="1"/>
        <v>0.91208791208791207</v>
      </c>
      <c r="I9" s="58">
        <f t="shared" si="2"/>
        <v>8.7912087912087933E-2</v>
      </c>
      <c r="J9" s="60">
        <v>0.62</v>
      </c>
      <c r="K9" s="59">
        <v>0.97</v>
      </c>
    </row>
    <row r="10" spans="2:11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</row>
    <row r="11" spans="2:11">
      <c r="B11" s="73" t="s">
        <v>0</v>
      </c>
      <c r="C11" s="74">
        <f>SUM(C5:C9)</f>
        <v>13700</v>
      </c>
      <c r="D11" s="74">
        <f>SUM(D5:D9)</f>
        <v>12967</v>
      </c>
      <c r="E11" s="170">
        <f>AVERAGE(E5:E9)</f>
        <v>-4.7832904280904295E-2</v>
      </c>
      <c r="F11" s="170">
        <f>AVERAGE(F5:F9)</f>
        <v>-5.8750415282526822E-2</v>
      </c>
      <c r="G11" s="125">
        <f>AVERAGE(G5:G9)</f>
        <v>0.81200000000000006</v>
      </c>
      <c r="H11" s="165">
        <f t="shared" ref="H11:J11" si="3">AVERAGE(H5:H9)</f>
        <v>0.9467587245684117</v>
      </c>
      <c r="I11" s="165">
        <f t="shared" si="3"/>
        <v>5.3241275431588339E-2</v>
      </c>
      <c r="J11" s="125">
        <f t="shared" si="3"/>
        <v>0.628</v>
      </c>
      <c r="K11" s="171">
        <f>AVERAGEIF(K5:K9,"&lt;&gt;0")</f>
        <v>0.94750000000000001</v>
      </c>
    </row>
    <row r="16" spans="2:11">
      <c r="B16" s="325" t="s">
        <v>124</v>
      </c>
      <c r="C16" s="326"/>
      <c r="D16" s="326"/>
      <c r="E16" s="326"/>
      <c r="F16" s="326"/>
      <c r="G16" s="326"/>
      <c r="H16" s="326"/>
      <c r="I16" s="326"/>
      <c r="J16" s="326"/>
      <c r="K16" s="327"/>
    </row>
    <row r="17" spans="2:11" ht="29">
      <c r="B17" s="13" t="s">
        <v>1</v>
      </c>
      <c r="C17" s="14" t="s">
        <v>2</v>
      </c>
      <c r="D17" s="14" t="s">
        <v>15</v>
      </c>
      <c r="E17" s="128" t="s">
        <v>102</v>
      </c>
      <c r="F17" s="128" t="s">
        <v>103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>
      <c r="B18" s="4" t="s">
        <v>8</v>
      </c>
      <c r="C18" s="1"/>
      <c r="D18" s="1"/>
      <c r="E18" s="67"/>
      <c r="F18" s="67"/>
      <c r="G18" s="2">
        <v>0.86</v>
      </c>
      <c r="H18" s="2">
        <v>0.94</v>
      </c>
      <c r="I18" s="2">
        <v>0.06</v>
      </c>
      <c r="J18" s="2">
        <v>0.65</v>
      </c>
      <c r="K18" s="12">
        <v>0.95</v>
      </c>
    </row>
    <row r="19" spans="2:11">
      <c r="B19" s="4" t="s">
        <v>70</v>
      </c>
      <c r="C19" s="1">
        <v>3698</v>
      </c>
      <c r="D19" s="1">
        <v>3528</v>
      </c>
      <c r="E19" s="129">
        <v>-0.17565760142666073</v>
      </c>
      <c r="F19" s="129">
        <v>-0.1539568345323741</v>
      </c>
      <c r="G19" s="63">
        <v>0.88</v>
      </c>
      <c r="H19" s="63">
        <f>D19/C19</f>
        <v>0.95402920497566257</v>
      </c>
      <c r="I19" s="63">
        <f>1-H19</f>
        <v>4.597079502433743E-2</v>
      </c>
      <c r="J19" s="58">
        <v>0.45</v>
      </c>
      <c r="K19" s="58">
        <v>0.81</v>
      </c>
    </row>
    <row r="20" spans="2:11">
      <c r="B20" s="4" t="s">
        <v>10</v>
      </c>
      <c r="C20" s="1">
        <v>1127</v>
      </c>
      <c r="D20" s="1">
        <v>1096</v>
      </c>
      <c r="E20" s="129">
        <v>-0.13507290867229471</v>
      </c>
      <c r="F20" s="129">
        <v>-0.13153724247226625</v>
      </c>
      <c r="G20" s="63">
        <v>0.89</v>
      </c>
      <c r="H20" s="63">
        <f t="shared" ref="H20:H23" si="4">D20/C20</f>
        <v>0.97249334516415264</v>
      </c>
      <c r="I20" s="63">
        <f t="shared" ref="I20:I23" si="5">1-H20</f>
        <v>2.7506654835847355E-2</v>
      </c>
      <c r="J20" s="63">
        <v>0.71</v>
      </c>
      <c r="K20" s="63">
        <v>1</v>
      </c>
    </row>
    <row r="21" spans="2:11">
      <c r="B21" s="4" t="s">
        <v>11</v>
      </c>
      <c r="C21" s="64">
        <v>2340</v>
      </c>
      <c r="D21" s="64">
        <v>2240</v>
      </c>
      <c r="E21" s="129">
        <v>-7.9102715466351836E-2</v>
      </c>
      <c r="F21" s="129">
        <v>-7.3997519636213316E-2</v>
      </c>
      <c r="G21" s="45">
        <v>0.9</v>
      </c>
      <c r="H21" s="63">
        <f t="shared" si="4"/>
        <v>0.95726495726495731</v>
      </c>
      <c r="I21" s="63">
        <f t="shared" si="5"/>
        <v>4.2735042735042694E-2</v>
      </c>
      <c r="J21" s="139">
        <v>0.55000000000000004</v>
      </c>
      <c r="K21" s="63">
        <v>1</v>
      </c>
    </row>
    <row r="22" spans="2:11">
      <c r="B22" s="4" t="s">
        <v>34</v>
      </c>
      <c r="C22" s="62">
        <v>5828</v>
      </c>
      <c r="D22" s="62">
        <v>5523</v>
      </c>
      <c r="E22" s="129">
        <v>0.15405940594059406</v>
      </c>
      <c r="F22" s="129">
        <v>0.14442602569415666</v>
      </c>
      <c r="G22" s="45">
        <v>0.86</v>
      </c>
      <c r="H22" s="63">
        <f t="shared" si="4"/>
        <v>0.9476664378860673</v>
      </c>
      <c r="I22" s="63">
        <f t="shared" si="5"/>
        <v>5.2333562113932697E-2</v>
      </c>
      <c r="J22" s="139">
        <v>0.67</v>
      </c>
      <c r="K22" s="118" t="s">
        <v>16</v>
      </c>
    </row>
    <row r="23" spans="2:11">
      <c r="B23" s="4" t="s">
        <v>13</v>
      </c>
      <c r="C23" s="122">
        <v>2088</v>
      </c>
      <c r="D23" s="61">
        <v>1983</v>
      </c>
      <c r="E23" s="129">
        <v>-8.5413929040735873E-2</v>
      </c>
      <c r="F23" s="129">
        <v>-4.4797687861271675E-2</v>
      </c>
      <c r="G23" s="59">
        <v>0.86</v>
      </c>
      <c r="H23" s="63">
        <f t="shared" si="4"/>
        <v>0.94971264367816088</v>
      </c>
      <c r="I23" s="63">
        <f t="shared" si="5"/>
        <v>5.0287356321839116E-2</v>
      </c>
      <c r="J23" s="60">
        <v>0.47</v>
      </c>
      <c r="K23" s="59">
        <v>0.88</v>
      </c>
    </row>
    <row r="24" spans="2:11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>
      <c r="B25" s="73" t="s">
        <v>0</v>
      </c>
      <c r="C25" s="74">
        <f>SUM(C19:C23)</f>
        <v>15081</v>
      </c>
      <c r="D25" s="74">
        <f>SUM(D19:D23)</f>
        <v>14370</v>
      </c>
      <c r="E25" s="170">
        <v>-6.423754973308983E-2</v>
      </c>
      <c r="F25" s="170">
        <v>-5.1972651761593734E-2</v>
      </c>
      <c r="G25" s="165">
        <f>AVERAGE(G19:G23)</f>
        <v>0.87799999999999989</v>
      </c>
      <c r="H25" s="165">
        <f t="shared" ref="H25:J25" si="6">AVERAGE(H19:H23)</f>
        <v>0.95623331779380005</v>
      </c>
      <c r="I25" s="165">
        <f t="shared" si="6"/>
        <v>4.3766682206199857E-2</v>
      </c>
      <c r="J25" s="125">
        <f t="shared" si="6"/>
        <v>0.56999999999999995</v>
      </c>
      <c r="K25" s="169">
        <f>AVERAGEIF(K19:K23,"&lt;&gt;0")</f>
        <v>0.92249999999999999</v>
      </c>
    </row>
  </sheetData>
  <mergeCells count="2">
    <mergeCell ref="B2:K2"/>
    <mergeCell ref="B16:K16"/>
  </mergeCells>
  <phoneticPr fontId="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AJ47"/>
  <sheetViews>
    <sheetView workbookViewId="0">
      <selection activeCell="AB33" sqref="AB33"/>
    </sheetView>
  </sheetViews>
  <sheetFormatPr defaultRowHeight="14.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6" width="39" bestFit="1" customWidth="1"/>
    <col min="17" max="21" width="14.36328125" customWidth="1"/>
    <col min="29" max="29" width="14.36328125" bestFit="1" customWidth="1"/>
    <col min="30" max="30" width="12.08984375" bestFit="1" customWidth="1"/>
  </cols>
  <sheetData>
    <row r="2" spans="1:36">
      <c r="B2" s="329" t="s">
        <v>74</v>
      </c>
      <c r="C2" s="329"/>
      <c r="D2" s="329"/>
      <c r="E2" s="329"/>
      <c r="F2" s="329"/>
      <c r="G2" s="329"/>
      <c r="H2" s="329"/>
      <c r="I2" s="329"/>
      <c r="L2" s="329" t="s">
        <v>80</v>
      </c>
      <c r="M2" s="329"/>
      <c r="N2" s="329"/>
      <c r="O2" s="329"/>
      <c r="P2" s="329"/>
      <c r="Q2" s="329"/>
      <c r="R2" s="329"/>
      <c r="S2" s="329"/>
      <c r="T2" s="329"/>
      <c r="U2" s="329"/>
      <c r="AA2" s="325" t="s">
        <v>80</v>
      </c>
      <c r="AB2" s="326"/>
      <c r="AC2" s="326"/>
      <c r="AD2" s="326"/>
      <c r="AE2" s="326"/>
      <c r="AF2" s="326"/>
      <c r="AG2" s="326"/>
      <c r="AH2" s="327"/>
      <c r="AI2" s="203"/>
      <c r="AJ2" s="203"/>
    </row>
    <row r="3" spans="1:36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77</v>
      </c>
      <c r="P3" s="14" t="s">
        <v>78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  <c r="AA3" s="13" t="s">
        <v>1</v>
      </c>
      <c r="AB3" s="14" t="s">
        <v>2</v>
      </c>
      <c r="AC3" s="14" t="s">
        <v>15</v>
      </c>
      <c r="AD3" s="14" t="s">
        <v>3</v>
      </c>
      <c r="AE3" s="14" t="s">
        <v>4</v>
      </c>
      <c r="AF3" s="14" t="s">
        <v>5</v>
      </c>
      <c r="AG3" s="14" t="s">
        <v>6</v>
      </c>
      <c r="AH3" s="8" t="s">
        <v>7</v>
      </c>
    </row>
    <row r="4" spans="1:36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  <c r="AA4" s="4" t="s">
        <v>8</v>
      </c>
      <c r="AB4" s="1"/>
      <c r="AC4" s="1"/>
      <c r="AD4" s="2">
        <v>0.86</v>
      </c>
      <c r="AE4" s="2">
        <v>0.94</v>
      </c>
      <c r="AF4" s="2">
        <v>0.06</v>
      </c>
      <c r="AG4" s="2">
        <v>0.65</v>
      </c>
      <c r="AH4" s="12">
        <v>0.95</v>
      </c>
    </row>
    <row r="5" spans="1:36">
      <c r="B5" s="4" t="s">
        <v>9</v>
      </c>
      <c r="C5" s="62">
        <v>23677</v>
      </c>
      <c r="D5" s="62">
        <v>13337</v>
      </c>
      <c r="E5" s="58">
        <v>0.34699999999999998</v>
      </c>
      <c r="F5" s="58">
        <f>Table11617[[#This Row],[Calls Handled]]/Table11617[[#This Row],[Calls Presented]]</f>
        <v>0.56328926806605562</v>
      </c>
      <c r="G5" s="58">
        <f>1-Table11617[[#This Row],[ANS]]</f>
        <v>0.43671073193394438</v>
      </c>
      <c r="H5" s="63">
        <v>0.71099999999999997</v>
      </c>
      <c r="I5" s="58">
        <v>0.8</v>
      </c>
      <c r="L5" s="4" t="s">
        <v>9</v>
      </c>
      <c r="M5" s="62">
        <v>29848</v>
      </c>
      <c r="N5" s="62">
        <v>19894</v>
      </c>
      <c r="O5" s="140">
        <f>(Table1161720[[#This Row],[Calls Presented]]-B17)/B17</f>
        <v>6.2395444029186689E-2</v>
      </c>
      <c r="P5" s="140">
        <f>(Table1161720[[#This Row],[Calls Handled]]-C17)/C17</f>
        <v>0.11726384364820847</v>
      </c>
      <c r="Q5" s="58">
        <v>0.31</v>
      </c>
      <c r="R5" s="58">
        <f>Table1161720[[#This Row],[Calls Handled]]/Table1161720[[#This Row],[Calls Presented]]</f>
        <v>0.66651031894934332</v>
      </c>
      <c r="S5" s="58">
        <f>1-Table1161720[[#This Row],[ANS]]</f>
        <v>0.33348968105065668</v>
      </c>
      <c r="T5" s="63">
        <v>0.74</v>
      </c>
      <c r="U5" s="58">
        <v>0.80359999999999998</v>
      </c>
      <c r="AA5" s="4" t="s">
        <v>9</v>
      </c>
      <c r="AB5" s="62">
        <v>29848</v>
      </c>
      <c r="AC5" s="62">
        <v>19894</v>
      </c>
      <c r="AD5" s="58">
        <v>0.31</v>
      </c>
      <c r="AE5" s="58">
        <f>Table116172018[[#This Row],[Calls Handled]]/Table116172018[[#This Row],[Calls Presented]]</f>
        <v>0.66651031894934332</v>
      </c>
      <c r="AF5" s="58">
        <f>1-Table116172018[[#This Row],[ANS]]</f>
        <v>0.33348968105065668</v>
      </c>
      <c r="AG5" s="63">
        <v>0.74</v>
      </c>
      <c r="AH5" s="58">
        <v>0.80359999999999998</v>
      </c>
    </row>
    <row r="6" spans="1:36">
      <c r="B6" s="4" t="s">
        <v>10</v>
      </c>
      <c r="C6">
        <v>10358</v>
      </c>
      <c r="D6" s="1">
        <v>9767</v>
      </c>
      <c r="E6" s="45">
        <v>0.83199999999999996</v>
      </c>
      <c r="F6" s="63">
        <f>Table11617[[#This Row],[Calls Handled]]/Table11617[[#This Row],[Calls Presented]]</f>
        <v>0.9429426530218189</v>
      </c>
      <c r="G6" s="63">
        <f>1-Table11617[[#This Row],[ANS]]</f>
        <v>5.70573469781811E-2</v>
      </c>
      <c r="H6" s="46">
        <v>0.77</v>
      </c>
      <c r="I6" s="45">
        <v>1</v>
      </c>
      <c r="L6" s="4" t="s">
        <v>10</v>
      </c>
      <c r="M6">
        <v>18585</v>
      </c>
      <c r="N6" s="1">
        <v>13968</v>
      </c>
      <c r="O6" s="140">
        <f>(Table1161720[[#This Row],[Calls Presented]]-B18)/B18</f>
        <v>5.6986862310185973E-2</v>
      </c>
      <c r="P6" s="140">
        <f>(Table1161720[[#This Row],[Calls Handled]]-C18)/C18</f>
        <v>-1.7790591378946629E-2</v>
      </c>
      <c r="Q6" s="45">
        <v>0.47</v>
      </c>
      <c r="R6" s="63">
        <f>Table1161720[[#This Row],[Calls Handled]]/Table1161720[[#This Row],[Calls Presented]]</f>
        <v>0.75157384987893461</v>
      </c>
      <c r="S6" s="63">
        <f>1-Table1161720[[#This Row],[ANS]]</f>
        <v>0.24842615012106539</v>
      </c>
      <c r="T6" s="46">
        <v>1.08</v>
      </c>
      <c r="U6" s="45">
        <v>1</v>
      </c>
      <c r="AA6" s="4" t="s">
        <v>10</v>
      </c>
      <c r="AB6">
        <v>18585</v>
      </c>
      <c r="AC6" s="1">
        <v>13968</v>
      </c>
      <c r="AD6" s="45">
        <v>0.47</v>
      </c>
      <c r="AE6" s="63">
        <f>Table116172018[[#This Row],[Calls Handled]]/Table116172018[[#This Row],[Calls Presented]]</f>
        <v>0.75157384987893461</v>
      </c>
      <c r="AF6" s="63">
        <f>1-Table116172018[[#This Row],[ANS]]</f>
        <v>0.24842615012106539</v>
      </c>
      <c r="AG6" s="46">
        <v>1.08</v>
      </c>
      <c r="AH6" s="45">
        <v>1</v>
      </c>
    </row>
    <row r="7" spans="1:36">
      <c r="B7" s="4" t="s">
        <v>11</v>
      </c>
      <c r="C7" s="64">
        <v>11930</v>
      </c>
      <c r="D7" s="64">
        <v>11117</v>
      </c>
      <c r="E7" s="55">
        <v>0.83399999999999996</v>
      </c>
      <c r="F7" s="58">
        <f>Table11617[[#This Row],[Calls Handled]]/Table11617[[#This Row],[Calls Presented]]</f>
        <v>0.93185247275775351</v>
      </c>
      <c r="G7" s="58">
        <f>1-Table11617[[#This Row],[ANS]]</f>
        <v>6.8147527242246486E-2</v>
      </c>
      <c r="H7" s="46">
        <v>0.69</v>
      </c>
      <c r="I7" s="45">
        <v>1</v>
      </c>
      <c r="L7" s="4" t="s">
        <v>11</v>
      </c>
      <c r="M7" s="64">
        <v>14741</v>
      </c>
      <c r="N7" s="64">
        <v>13886</v>
      </c>
      <c r="O7" s="144">
        <f>(Table1161720[[#This Row],[Calls Presented]]-B19)/B19</f>
        <v>-8.2529408103566321E-2</v>
      </c>
      <c r="P7" s="144">
        <f>(Table1161720[[#This Row],[Calls Handled]]-C19)/C19</f>
        <v>-9.1111402015970677E-2</v>
      </c>
      <c r="Q7" s="45">
        <v>0.86</v>
      </c>
      <c r="R7" s="63">
        <f>Table1161720[[#This Row],[Calls Handled]]/Table1161720[[#This Row],[Calls Presented]]</f>
        <v>0.94199850756393733</v>
      </c>
      <c r="S7" s="63">
        <f>1-Table1161720[[#This Row],[ANS]]</f>
        <v>5.8001492436062674E-2</v>
      </c>
      <c r="T7" s="139">
        <v>0.59</v>
      </c>
      <c r="U7" s="45">
        <v>1</v>
      </c>
      <c r="AA7" s="4" t="s">
        <v>11</v>
      </c>
      <c r="AB7" s="64">
        <v>14741</v>
      </c>
      <c r="AC7" s="64">
        <v>13886</v>
      </c>
      <c r="AD7" s="45">
        <v>0.86</v>
      </c>
      <c r="AE7" s="63">
        <f>Table116172018[[#This Row],[Calls Handled]]/Table116172018[[#This Row],[Calls Presented]]</f>
        <v>0.94199850756393733</v>
      </c>
      <c r="AF7" s="63">
        <f>1-Table116172018[[#This Row],[ANS]]</f>
        <v>5.8001492436062674E-2</v>
      </c>
      <c r="AG7" s="139">
        <v>0.59</v>
      </c>
      <c r="AH7" s="45">
        <v>1</v>
      </c>
    </row>
    <row r="8" spans="1:36">
      <c r="B8" s="4" t="s">
        <v>12</v>
      </c>
      <c r="C8" s="62">
        <v>28778</v>
      </c>
      <c r="D8" s="62">
        <v>16101</v>
      </c>
      <c r="E8" s="55">
        <v>0.16500000000000001</v>
      </c>
      <c r="F8" s="58">
        <f>Table11617[[#This Row],[Calls Handled]]/Table11617[[#This Row],[Calls Presented]]</f>
        <v>0.55948988810897216</v>
      </c>
      <c r="G8" s="58">
        <f>1-Table11617[[#This Row],[ANS]]</f>
        <v>0.44051011189102784</v>
      </c>
      <c r="H8" s="45">
        <v>1.1000000000000001</v>
      </c>
      <c r="I8" s="118" t="s">
        <v>16</v>
      </c>
      <c r="L8" s="4" t="s">
        <v>12</v>
      </c>
      <c r="M8" s="62">
        <v>29466</v>
      </c>
      <c r="N8" s="62">
        <v>21394</v>
      </c>
      <c r="O8" s="140">
        <f>(Table1161720[[#This Row],[Calls Presented]]-B20)/B20</f>
        <v>4.8686739269698909E-2</v>
      </c>
      <c r="P8" s="140">
        <f>(Table1161720[[#This Row],[Calls Handled]]-C20)/C20</f>
        <v>2.5402607361963189E-2</v>
      </c>
      <c r="Q8" s="55">
        <v>0.35</v>
      </c>
      <c r="R8" s="58">
        <f>Table1161720[[#This Row],[Calls Handled]]/Table1161720[[#This Row],[Calls Presented]]</f>
        <v>0.72605715061426734</v>
      </c>
      <c r="S8" s="58">
        <f>1-Table1161720[[#This Row],[ANS]]</f>
        <v>0.27394284938573266</v>
      </c>
      <c r="T8" s="55">
        <v>0.63</v>
      </c>
      <c r="U8" s="118" t="s">
        <v>16</v>
      </c>
      <c r="AA8" s="4" t="s">
        <v>12</v>
      </c>
      <c r="AB8" s="62">
        <v>29466</v>
      </c>
      <c r="AC8" s="62">
        <v>21394</v>
      </c>
      <c r="AD8" s="55">
        <v>0.35</v>
      </c>
      <c r="AE8" s="58">
        <f>Table116172018[[#This Row],[Calls Handled]]/Table116172018[[#This Row],[Calls Presented]]</f>
        <v>0.72605715061426734</v>
      </c>
      <c r="AF8" s="58">
        <f>1-Table116172018[[#This Row],[ANS]]</f>
        <v>0.27394284938573266</v>
      </c>
      <c r="AG8" s="55">
        <v>0.63</v>
      </c>
      <c r="AH8" s="118" t="s">
        <v>16</v>
      </c>
    </row>
    <row r="9" spans="1:36">
      <c r="B9" s="4" t="s">
        <v>13</v>
      </c>
      <c r="C9" s="61">
        <v>15377</v>
      </c>
      <c r="D9" s="61">
        <v>11138</v>
      </c>
      <c r="E9" s="60">
        <v>0.42199999999999999</v>
      </c>
      <c r="F9" s="58">
        <f>Table11617[[#This Row],[Calls Handled]]/Table11617[[#This Row],[Calls Presented]]</f>
        <v>0.72432854262860114</v>
      </c>
      <c r="G9" s="58">
        <f>1-Table11617[[#This Row],[ANS]]</f>
        <v>0.27567145737139886</v>
      </c>
      <c r="H9" s="59">
        <v>0.6</v>
      </c>
      <c r="I9" s="59">
        <v>0.96</v>
      </c>
      <c r="L9" s="4" t="s">
        <v>13</v>
      </c>
      <c r="M9" s="61">
        <v>21922</v>
      </c>
      <c r="N9" s="61">
        <v>16115</v>
      </c>
      <c r="O9" s="140">
        <f>(Table1161720[[#This Row],[Calls Presented]]-B21)/B21</f>
        <v>0.3048032855187191</v>
      </c>
      <c r="P9" s="140">
        <f>(Table1161720[[#This Row],[Calls Handled]]-C21)/C21</f>
        <v>0.14893768715243119</v>
      </c>
      <c r="Q9" s="60">
        <v>0.47</v>
      </c>
      <c r="R9" s="58">
        <f>Table1161720[[#This Row],[Calls Handled]]/Table1161720[[#This Row],[Calls Presented]]</f>
        <v>0.73510628592281724</v>
      </c>
      <c r="S9" s="58">
        <f>1-Table1161720[[#This Row],[ANS]]</f>
        <v>0.26489371407718276</v>
      </c>
      <c r="T9" s="60">
        <v>0.55000000000000004</v>
      </c>
      <c r="U9" s="59">
        <v>0.96</v>
      </c>
      <c r="AA9" s="4" t="s">
        <v>13</v>
      </c>
      <c r="AB9" s="61">
        <v>21922</v>
      </c>
      <c r="AC9" s="61">
        <v>16115</v>
      </c>
      <c r="AD9" s="60">
        <v>0.47</v>
      </c>
      <c r="AE9" s="58">
        <f>Table116172018[[#This Row],[Calls Handled]]/Table116172018[[#This Row],[Calls Presented]]</f>
        <v>0.73510628592281724</v>
      </c>
      <c r="AF9" s="58">
        <f>1-Table116172018[[#This Row],[ANS]]</f>
        <v>0.26489371407718276</v>
      </c>
      <c r="AG9" s="60">
        <v>0.55000000000000004</v>
      </c>
      <c r="AH9" s="59">
        <v>0.96</v>
      </c>
    </row>
    <row r="10" spans="1:36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  <c r="AA10" s="4" t="s">
        <v>14</v>
      </c>
      <c r="AB10" s="10"/>
      <c r="AC10" s="11"/>
      <c r="AD10" s="11"/>
      <c r="AE10" s="11"/>
      <c r="AF10" s="11"/>
      <c r="AG10" s="11"/>
      <c r="AH10" s="11"/>
    </row>
    <row r="11" spans="1:36">
      <c r="B11" s="73" t="s">
        <v>0</v>
      </c>
      <c r="C11" s="74">
        <f>SUM(C5:C9)</f>
        <v>90120</v>
      </c>
      <c r="D11" s="74">
        <f>SUM(D5:D9)</f>
        <v>61460</v>
      </c>
      <c r="E11" s="75">
        <f>AVERAGE(E5:E9)</f>
        <v>0.52</v>
      </c>
      <c r="F11" s="75">
        <f>Table11617[[#This Row],[Calls Handled]]/Table11617[[#This Row],[Calls Presented]]</f>
        <v>0.68197958277851756</v>
      </c>
      <c r="G11" s="75">
        <f>1-Table11617[[#This Row],[ANS]]</f>
        <v>0.31802041722148244</v>
      </c>
      <c r="H11" s="75">
        <f>AVERAGE(H5:H9)</f>
        <v>0.7742</v>
      </c>
      <c r="I11" s="76">
        <f>AVERAGEIF(I5:I9,"&gt;0")</f>
        <v>0.94</v>
      </c>
      <c r="L11" s="73" t="s">
        <v>0</v>
      </c>
      <c r="M11" s="74">
        <f>SUM(M5:M9)</f>
        <v>114562</v>
      </c>
      <c r="N11" s="74">
        <f>SUM(N5:N9)</f>
        <v>85257</v>
      </c>
      <c r="O11" s="145">
        <f>(Table1161720[[#This Row],[Calls Presented]]-B23)/B23</f>
        <v>7.4247027493342332E-2</v>
      </c>
      <c r="P11" s="145">
        <f>(Table1161720[[#This Row],[Calls Handled]]-C23)/C23</f>
        <v>3.7252874262424719E-2</v>
      </c>
      <c r="Q11" s="75">
        <f>AVERAGEIF(Q5:Q9, "&lt;&gt;0")</f>
        <v>0.49199999999999999</v>
      </c>
      <c r="R11" s="75">
        <f>Table1161720[[#This Row],[Calls Handled]]/Table1161720[[#This Row],[Calls Presented]]</f>
        <v>0.74419964735252531</v>
      </c>
      <c r="S11" s="75">
        <f>1-Table1161720[[#This Row],[ANS]]</f>
        <v>0.25580035264747469</v>
      </c>
      <c r="T11" s="75">
        <f t="shared" ref="T11:U11" si="0">AVERAGEIF(T5:T9, "&lt;&gt;0")</f>
        <v>0.71799999999999997</v>
      </c>
      <c r="U11" s="76">
        <f t="shared" si="0"/>
        <v>0.94089999999999996</v>
      </c>
      <c r="AA11" s="73" t="s">
        <v>0</v>
      </c>
      <c r="AB11" s="74">
        <f>SUM(AB5:AB9)</f>
        <v>114562</v>
      </c>
      <c r="AC11" s="74">
        <f>SUM(AC5:AC9)</f>
        <v>85257</v>
      </c>
      <c r="AD11" s="75">
        <f>AVERAGEIF(AD5:AD9, "&lt;&gt;0")</f>
        <v>0.49199999999999999</v>
      </c>
      <c r="AE11" s="75">
        <f>Table116172018[[#This Row],[Calls Handled]]/Table116172018[[#This Row],[Calls Presented]]</f>
        <v>0.74419964735252531</v>
      </c>
      <c r="AF11" s="75">
        <f>1-Table116172018[[#This Row],[ANS]]</f>
        <v>0.25580035264747469</v>
      </c>
      <c r="AG11" s="75">
        <f t="shared" ref="AG11:AH11" si="1">AVERAGEIF(AG5:AG9, "&lt;&gt;0")</f>
        <v>0.71799999999999997</v>
      </c>
      <c r="AH11" s="76">
        <f t="shared" si="1"/>
        <v>0.94089999999999996</v>
      </c>
    </row>
    <row r="14" spans="1:36">
      <c r="A14" s="329" t="s">
        <v>76</v>
      </c>
      <c r="B14" s="329"/>
      <c r="C14" s="329"/>
      <c r="D14" s="329"/>
      <c r="E14" s="329"/>
      <c r="F14" s="329"/>
      <c r="G14" s="329"/>
      <c r="H14" s="329"/>
      <c r="I14" s="329"/>
      <c r="J14" s="329"/>
      <c r="L14" s="329" t="s">
        <v>83</v>
      </c>
      <c r="M14" s="329"/>
      <c r="N14" s="329"/>
      <c r="O14" s="329"/>
      <c r="P14" s="329"/>
      <c r="Q14" s="329"/>
      <c r="R14" s="329"/>
      <c r="S14" s="329"/>
      <c r="T14" s="329"/>
      <c r="U14" s="329"/>
      <c r="AB14" s="328" t="s">
        <v>154</v>
      </c>
      <c r="AC14" s="328"/>
      <c r="AD14" s="328"/>
    </row>
    <row r="15" spans="1:36">
      <c r="A15" s="13" t="s">
        <v>1</v>
      </c>
      <c r="B15" s="14" t="s">
        <v>2</v>
      </c>
      <c r="C15" s="14" t="s">
        <v>15</v>
      </c>
      <c r="D15" s="14" t="s">
        <v>77</v>
      </c>
      <c r="E15" s="14" t="s">
        <v>78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77</v>
      </c>
      <c r="P15" s="14" t="s">
        <v>78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  <c r="AB15" s="204" t="s">
        <v>1</v>
      </c>
      <c r="AC15" s="204" t="s">
        <v>2</v>
      </c>
      <c r="AD15" s="204" t="s">
        <v>15</v>
      </c>
    </row>
    <row r="16" spans="1:36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  <c r="AB16" s="202" t="s">
        <v>9</v>
      </c>
      <c r="AC16" s="62">
        <v>888.00336700336698</v>
      </c>
      <c r="AD16" s="62">
        <v>628.25589225589226</v>
      </c>
    </row>
    <row r="17" spans="1:30">
      <c r="A17" s="4" t="s">
        <v>9</v>
      </c>
      <c r="B17" s="62">
        <v>28095</v>
      </c>
      <c r="C17" s="62">
        <v>17806</v>
      </c>
      <c r="D17" s="140">
        <v>0.18659458546268531</v>
      </c>
      <c r="E17" s="140">
        <v>0.33508285221564071</v>
      </c>
      <c r="F17" s="58">
        <v>0.30038461538461542</v>
      </c>
      <c r="G17" s="58">
        <f>Table116172016[[#This Row],[Calls Handled]]/Table116172016[[#This Row],[Calls Presented]]</f>
        <v>0.63377825235807084</v>
      </c>
      <c r="H17" s="58">
        <f>1-Table116172016[[#This Row],[ANS]]</f>
        <v>0.36622174764192916</v>
      </c>
      <c r="I17" s="58">
        <v>0.73653846153846159</v>
      </c>
      <c r="J17" s="58">
        <v>0.8</v>
      </c>
      <c r="L17" s="4" t="s">
        <v>9</v>
      </c>
      <c r="M17" s="62">
        <v>18123</v>
      </c>
      <c r="N17" s="62">
        <v>16500</v>
      </c>
      <c r="O17" s="140">
        <v>-0.39282363977485929</v>
      </c>
      <c r="P17" s="140">
        <v>-0.17060420227204182</v>
      </c>
      <c r="Q17" s="58">
        <v>0.76</v>
      </c>
      <c r="R17" s="58">
        <f>Table116172019[[#This Row],[Calls Handled]]/Table116172019[[#This Row],[Calls Presented]]</f>
        <v>0.91044529051481538</v>
      </c>
      <c r="S17" s="58">
        <f>1-Table116172019[[#This Row],[ANS]]</f>
        <v>8.9554709485184625E-2</v>
      </c>
      <c r="T17" s="63">
        <v>0.53</v>
      </c>
      <c r="U17" s="58">
        <v>0.79</v>
      </c>
      <c r="AB17" s="199" t="s">
        <v>10</v>
      </c>
      <c r="AC17" s="207">
        <v>375.20655737704919</v>
      </c>
      <c r="AD17" s="206">
        <v>337.7672131147541</v>
      </c>
    </row>
    <row r="18" spans="1:30">
      <c r="A18" s="4" t="s">
        <v>10</v>
      </c>
      <c r="B18" s="1">
        <v>17583</v>
      </c>
      <c r="C18" s="1">
        <v>14221</v>
      </c>
      <c r="D18" s="87">
        <f>(Table116172016[[#This Row],[Calls Presented]]-C6)/C6</f>
        <v>0.69752848040162196</v>
      </c>
      <c r="E18" s="87">
        <f>(Table116172016[[#This Row],[Calls Handled]]-D6)/D6</f>
        <v>0.45602539162485922</v>
      </c>
      <c r="F18" s="45">
        <v>0.83</v>
      </c>
      <c r="G18" s="58">
        <f>Table116172016[[#This Row],[Calls Handled]]/Table116172016[[#This Row],[Calls Presented]]</f>
        <v>0.80879258374566343</v>
      </c>
      <c r="H18" s="63">
        <f>1-Table116172016[[#This Row],[ANS]]</f>
        <v>0.19120741625433657</v>
      </c>
      <c r="I18" s="46">
        <v>0.65</v>
      </c>
      <c r="J18" s="45"/>
      <c r="L18" s="4" t="s">
        <v>10</v>
      </c>
      <c r="M18">
        <v>7663</v>
      </c>
      <c r="N18" s="1">
        <v>7042</v>
      </c>
      <c r="O18" s="140">
        <v>-0.58767823513586226</v>
      </c>
      <c r="P18" s="140">
        <v>-0.49584765177548684</v>
      </c>
      <c r="Q18" s="55">
        <v>0.81</v>
      </c>
      <c r="R18" s="58">
        <f>Table116172019[[#This Row],[Calls Handled]]/Table116172019[[#This Row],[Calls Presented]]</f>
        <v>0.9189612423332898</v>
      </c>
      <c r="S18" s="58">
        <f>1-Table116172019[[#This Row],[ANS]]</f>
        <v>8.1038757666710204E-2</v>
      </c>
      <c r="T18" s="46">
        <v>0.73</v>
      </c>
      <c r="U18" s="45">
        <v>1</v>
      </c>
      <c r="AB18" s="202" t="s">
        <v>11</v>
      </c>
      <c r="AC18" s="64">
        <v>474.4225806451613</v>
      </c>
      <c r="AD18" s="64">
        <v>441.76129032258063</v>
      </c>
    </row>
    <row r="19" spans="1:30">
      <c r="A19" s="4" t="s">
        <v>11</v>
      </c>
      <c r="B19" s="64">
        <v>16067</v>
      </c>
      <c r="C19" s="64">
        <v>15278</v>
      </c>
      <c r="D19" s="140">
        <v>0.34677284157585919</v>
      </c>
      <c r="E19" s="140">
        <v>0.37429162543851757</v>
      </c>
      <c r="F19" s="45">
        <v>0.87655172413793125</v>
      </c>
      <c r="G19" s="63">
        <f>Table116172016[[#This Row],[Calls Handled]]/Table116172016[[#This Row],[Calls Presented]]</f>
        <v>0.95089313499719919</v>
      </c>
      <c r="H19" s="63">
        <f>1-Table116172016[[#This Row],[ANS]]</f>
        <v>4.9106865002800815E-2</v>
      </c>
      <c r="I19" s="139">
        <v>0.55551724137931047</v>
      </c>
      <c r="J19" s="45">
        <v>1</v>
      </c>
      <c r="L19" s="4" t="s">
        <v>11</v>
      </c>
      <c r="M19" s="1">
        <v>10186</v>
      </c>
      <c r="N19" s="1">
        <v>9765</v>
      </c>
      <c r="O19" s="140">
        <v>-0.30900210297808833</v>
      </c>
      <c r="P19" s="140">
        <v>-0.2967737289356186</v>
      </c>
      <c r="Q19" s="45">
        <v>0.86</v>
      </c>
      <c r="R19" s="63">
        <f>Table116172019[[#This Row],[Calls Handled]]/Table116172019[[#This Row],[Calls Presented]]</f>
        <v>0.95866876104457099</v>
      </c>
      <c r="S19" s="63">
        <f>1-Table116172019[[#This Row],[ANS]]</f>
        <v>4.1331238955429006E-2</v>
      </c>
      <c r="T19" s="139">
        <v>0.57999999999999996</v>
      </c>
      <c r="U19" s="45">
        <v>0.98</v>
      </c>
      <c r="AB19" s="199" t="s">
        <v>12</v>
      </c>
      <c r="AC19" s="200">
        <v>862.75</v>
      </c>
      <c r="AD19" s="200">
        <v>816.56578947368416</v>
      </c>
    </row>
    <row r="20" spans="1:30">
      <c r="A20" s="4" t="s">
        <v>12</v>
      </c>
      <c r="B20" s="62">
        <v>28098</v>
      </c>
      <c r="C20" s="62">
        <v>20864</v>
      </c>
      <c r="D20" s="144">
        <v>-2.3629161164778652E-2</v>
      </c>
      <c r="E20" s="140">
        <v>0.29582013539531704</v>
      </c>
      <c r="F20" s="55">
        <v>0.39333333333333337</v>
      </c>
      <c r="G20" s="58">
        <f>Table116172016[[#This Row],[Calls Handled]]/Table116172016[[#This Row],[Calls Presented]]</f>
        <v>0.7425439533062852</v>
      </c>
      <c r="H20" s="58">
        <f>1-Table116172016[[#This Row],[ANS]]</f>
        <v>0.2574560466937148</v>
      </c>
      <c r="I20" s="45">
        <v>0.80869813656850698</v>
      </c>
      <c r="J20" s="118" t="s">
        <v>16</v>
      </c>
      <c r="L20" s="4" t="s">
        <v>12</v>
      </c>
      <c r="M20" s="62">
        <v>22974</v>
      </c>
      <c r="N20" s="62">
        <v>21626</v>
      </c>
      <c r="O20" s="140">
        <v>-0.220321726735899</v>
      </c>
      <c r="P20" s="140">
        <v>1.0844161914555483E-2</v>
      </c>
      <c r="Q20" s="55">
        <v>0.85</v>
      </c>
      <c r="R20" s="63">
        <f>Table116172019[[#This Row],[Calls Handled]]/Table116172019[[#This Row],[Calls Presented]]</f>
        <v>0.94132497605989385</v>
      </c>
      <c r="S20" s="63">
        <f>1-Table116172019[[#This Row],[ANS]]</f>
        <v>5.8675023940106152E-2</v>
      </c>
      <c r="T20" s="55">
        <v>0.6</v>
      </c>
      <c r="U20" s="118" t="s">
        <v>16</v>
      </c>
      <c r="AB20" s="202" t="s">
        <v>13</v>
      </c>
      <c r="AC20" s="208">
        <v>527.90410958904113</v>
      </c>
      <c r="AD20" s="62">
        <v>425.06164383561645</v>
      </c>
    </row>
    <row r="21" spans="1:30">
      <c r="A21" s="4" t="s">
        <v>13</v>
      </c>
      <c r="B21" s="61">
        <v>16801</v>
      </c>
      <c r="C21" s="61">
        <v>14026</v>
      </c>
      <c r="D21" s="140">
        <v>9.2605839890745917E-2</v>
      </c>
      <c r="E21" s="140">
        <v>0.25929251212066801</v>
      </c>
      <c r="F21" s="60">
        <v>0.60319999999999996</v>
      </c>
      <c r="G21" s="58">
        <f>Table116172016[[#This Row],[Calls Handled]]/Table116172016[[#This Row],[Calls Presented]]</f>
        <v>0.83483126004404495</v>
      </c>
      <c r="H21" s="58">
        <f>1-Table116172016[[#This Row],[ANS]]</f>
        <v>0.16516873995595505</v>
      </c>
      <c r="I21" s="60">
        <v>0.60160000000000002</v>
      </c>
      <c r="J21" s="59">
        <v>0.95640000000000003</v>
      </c>
      <c r="L21" s="4" t="s">
        <v>13</v>
      </c>
      <c r="M21" s="61">
        <v>8327</v>
      </c>
      <c r="N21" s="61">
        <v>7134</v>
      </c>
      <c r="O21" s="140">
        <v>-0.62015327068698112</v>
      </c>
      <c r="P21" s="140">
        <v>-0.55730685696556004</v>
      </c>
      <c r="Q21" s="60">
        <v>0.65</v>
      </c>
      <c r="R21" s="58">
        <f>Table116172019[[#This Row],[Calls Handled]]/Table116172019[[#This Row],[Calls Presented]]</f>
        <v>0.85673111564789239</v>
      </c>
      <c r="S21" s="58">
        <f>1-Table116172019[[#This Row],[ANS]]</f>
        <v>0.14326888435210761</v>
      </c>
      <c r="T21" s="60">
        <v>0.53</v>
      </c>
      <c r="U21" s="59">
        <v>0.96</v>
      </c>
      <c r="AB21" s="199" t="s">
        <v>14</v>
      </c>
      <c r="AC21" s="201"/>
      <c r="AD21" s="205"/>
    </row>
    <row r="22" spans="1:30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  <c r="AB22" s="175" t="s">
        <v>0</v>
      </c>
      <c r="AC22" s="74">
        <f>AVERAGEIF(AC16:AC20, "&lt;&gt;0")</f>
        <v>625.65732292292364</v>
      </c>
      <c r="AD22" s="74">
        <f>AVERAGEIF(AD16:AD20, "&lt;&gt;0")</f>
        <v>529.88236580050557</v>
      </c>
    </row>
    <row r="23" spans="1:30">
      <c r="A23" s="73" t="s">
        <v>0</v>
      </c>
      <c r="B23" s="74">
        <f>SUM(B17:B21)</f>
        <v>106644</v>
      </c>
      <c r="C23" s="74">
        <f>SUM(C17:C21)</f>
        <v>82195</v>
      </c>
      <c r="D23" s="145">
        <v>-1.1750998668442078E-2</v>
      </c>
      <c r="E23" s="145">
        <v>0.1059876342336479</v>
      </c>
      <c r="F23" s="75">
        <f>AVERAGEIF(F17:F21, "&lt;&gt;0")</f>
        <v>0.60069393457117604</v>
      </c>
      <c r="G23" s="75">
        <f>Table116172016[[#This Row],[Calls Handled]]/Table116172016[[#This Row],[Calls Presented]]</f>
        <v>0.77074190765537676</v>
      </c>
      <c r="H23" s="75">
        <f>1-Table116172016[[#This Row],[ANS]]</f>
        <v>0.22925809234462324</v>
      </c>
      <c r="I23" s="75">
        <f t="shared" ref="I23:J23" si="2">AVERAGEIF(I17:I21, "&lt;&gt;0")</f>
        <v>0.67047076789725568</v>
      </c>
      <c r="J23" s="76">
        <f t="shared" si="2"/>
        <v>0.91880000000000006</v>
      </c>
      <c r="L23" s="73" t="s">
        <v>0</v>
      </c>
      <c r="M23" s="74">
        <f>SUM(M17:M21)</f>
        <v>67273</v>
      </c>
      <c r="N23" s="74">
        <f>SUM(N17:N21)</f>
        <v>62067</v>
      </c>
      <c r="O23" s="145">
        <f>(Table116172019[[#This Row],[Calls Presented]]-M11)/M11</f>
        <v>-0.41278085228958994</v>
      </c>
      <c r="P23" s="145">
        <f>(Table116172019[[#This Row],[Calls Handled]]-N11)/N11</f>
        <v>-0.27200112600724868</v>
      </c>
      <c r="Q23" s="75">
        <f>AVERAGEIF(Q17:Q21, "&lt;&gt;0")</f>
        <v>0.78600000000000003</v>
      </c>
      <c r="R23" s="75">
        <f>Table116172019[[#This Row],[Calls Handled]]/Table116172019[[#This Row],[Calls Presented]]</f>
        <v>0.92261382724124097</v>
      </c>
      <c r="S23" s="75">
        <f>1-Table116172019[[#This Row],[ANS]]</f>
        <v>7.7386172758759031E-2</v>
      </c>
      <c r="T23" s="75">
        <f t="shared" ref="T23:U23" si="3">AVERAGEIF(T17:T21, "&lt;&gt;0")</f>
        <v>0.59399999999999997</v>
      </c>
      <c r="U23" s="76">
        <f t="shared" si="3"/>
        <v>0.9325</v>
      </c>
    </row>
    <row r="26" spans="1:30">
      <c r="L26" s="329" t="s">
        <v>104</v>
      </c>
      <c r="M26" s="329"/>
      <c r="N26" s="329"/>
      <c r="O26" s="329"/>
      <c r="P26" s="329"/>
      <c r="Q26" s="329"/>
      <c r="R26" s="329"/>
      <c r="S26" s="329"/>
      <c r="T26" s="329"/>
      <c r="U26" s="329"/>
    </row>
    <row r="27" spans="1:30">
      <c r="L27" s="13" t="s">
        <v>1</v>
      </c>
      <c r="M27" s="14" t="s">
        <v>2</v>
      </c>
      <c r="N27" s="14" t="s">
        <v>15</v>
      </c>
      <c r="O27" s="14" t="s">
        <v>77</v>
      </c>
      <c r="P27" s="14" t="s">
        <v>78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30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30">
      <c r="L29" s="4" t="s">
        <v>9</v>
      </c>
      <c r="M29" s="62">
        <v>14782</v>
      </c>
      <c r="N29" s="62">
        <v>14033</v>
      </c>
      <c r="O29" s="140">
        <f>(M29-M17)/M17</f>
        <v>-0.18435137670363627</v>
      </c>
      <c r="P29" s="140">
        <f>(N29-N17)/N17</f>
        <v>-0.14951515151515152</v>
      </c>
      <c r="Q29" s="63">
        <v>0.86</v>
      </c>
      <c r="R29" s="63">
        <f>Table11617201923[[#This Row],[Calls Handled]]/Table11617201923[[#This Row],[Calls Presented]]</f>
        <v>0.94933026654038699</v>
      </c>
      <c r="S29" s="63">
        <f>1-Table11617201923[[#This Row],[ANS]]</f>
        <v>5.0669733459613009E-2</v>
      </c>
      <c r="T29" s="58">
        <v>0.45</v>
      </c>
      <c r="U29" s="58">
        <v>0.82</v>
      </c>
    </row>
    <row r="30" spans="1:30">
      <c r="L30" s="4" t="s">
        <v>10</v>
      </c>
      <c r="M30">
        <v>4560</v>
      </c>
      <c r="N30" s="1">
        <v>4362</v>
      </c>
      <c r="O30" s="140">
        <f t="shared" ref="O30:P30" si="4">(M30-M18)/M18</f>
        <v>-0.4049327939449302</v>
      </c>
      <c r="P30" s="140">
        <f t="shared" si="4"/>
        <v>-0.38057370065322349</v>
      </c>
      <c r="Q30" s="45">
        <v>0.86</v>
      </c>
      <c r="R30" s="63">
        <f>Table11617201923[[#This Row],[Calls Handled]]/Table11617201923[[#This Row],[Calls Presented]]</f>
        <v>0.95657894736842108</v>
      </c>
      <c r="S30" s="63">
        <f>1-Table11617201923[[#This Row],[ANS]]</f>
        <v>4.3421052631578916E-2</v>
      </c>
      <c r="T30" s="46">
        <v>0.73</v>
      </c>
      <c r="U30" s="45">
        <v>1</v>
      </c>
    </row>
    <row r="31" spans="1:30">
      <c r="L31" s="4" t="s">
        <v>11</v>
      </c>
      <c r="M31" s="1">
        <v>8945</v>
      </c>
      <c r="N31" s="1">
        <v>8575</v>
      </c>
      <c r="O31" s="140">
        <f t="shared" ref="O31:P31" si="5">(M31-M19)/M19</f>
        <v>-0.12183388965246417</v>
      </c>
      <c r="P31" s="140">
        <f t="shared" si="5"/>
        <v>-0.12186379928315412</v>
      </c>
      <c r="Q31" s="45">
        <v>0.9</v>
      </c>
      <c r="R31" s="63">
        <f>Table11617201923[[#This Row],[Calls Handled]]/Table11617201923[[#This Row],[Calls Presented]]</f>
        <v>0.9586361095584125</v>
      </c>
      <c r="S31" s="63">
        <f>1-Table11617201923[[#This Row],[ANS]]</f>
        <v>4.1363890441587503E-2</v>
      </c>
      <c r="T31" s="139">
        <v>0.55000000000000004</v>
      </c>
      <c r="U31" s="45">
        <v>1</v>
      </c>
    </row>
    <row r="32" spans="1:30">
      <c r="L32" s="4" t="s">
        <v>12</v>
      </c>
      <c r="M32" s="62">
        <v>18729</v>
      </c>
      <c r="N32" s="62">
        <v>17737</v>
      </c>
      <c r="O32" s="140">
        <f t="shared" ref="O32:P32" si="6">(M32-M20)/M20</f>
        <v>-0.18477409245233742</v>
      </c>
      <c r="P32" s="140">
        <f t="shared" si="6"/>
        <v>-0.17982983445852216</v>
      </c>
      <c r="Q32" s="45">
        <v>0.88</v>
      </c>
      <c r="R32" s="63">
        <f>Table11617201923[[#This Row],[Calls Handled]]/Table11617201923[[#This Row],[Calls Presented]]</f>
        <v>0.94703401142613064</v>
      </c>
      <c r="S32" s="63">
        <f>1-Table11617201923[[#This Row],[ANS]]</f>
        <v>5.296598857386936E-2</v>
      </c>
      <c r="T32" s="55">
        <v>0.52</v>
      </c>
      <c r="U32" s="118" t="s">
        <v>16</v>
      </c>
    </row>
    <row r="33" spans="12:21">
      <c r="L33" s="4" t="s">
        <v>13</v>
      </c>
      <c r="M33" s="61">
        <v>4497</v>
      </c>
      <c r="N33" s="61">
        <v>4104</v>
      </c>
      <c r="O33" s="140">
        <f t="shared" ref="O33:P33" si="7">(M33-M21)/M21</f>
        <v>-0.45994956166686685</v>
      </c>
      <c r="P33" s="140">
        <f t="shared" si="7"/>
        <v>-0.42472666105971407</v>
      </c>
      <c r="Q33" s="60">
        <v>0.7</v>
      </c>
      <c r="R33" s="58">
        <f>Table11617201923[[#This Row],[Calls Handled]]/Table11617201923[[#This Row],[Calls Presented]]</f>
        <v>0.91260840560373579</v>
      </c>
      <c r="S33" s="58">
        <f>1-Table11617201923[[#This Row],[ANS]]</f>
        <v>8.7391594396264205E-2</v>
      </c>
      <c r="T33" s="60">
        <v>0.54</v>
      </c>
      <c r="U33" s="59">
        <v>0.96</v>
      </c>
    </row>
    <row r="34" spans="12:21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>
      <c r="L35" s="73" t="s">
        <v>0</v>
      </c>
      <c r="M35" s="74">
        <f>SUM(M29:M33)</f>
        <v>51513</v>
      </c>
      <c r="N35" s="74">
        <f>SUM(N29:N33)</f>
        <v>48811</v>
      </c>
      <c r="O35" s="145">
        <f>(Table11617201923[[#This Row],[Calls Presented]]-M23)/M23</f>
        <v>-0.23426932052978164</v>
      </c>
      <c r="P35" s="145">
        <f>(Table11617201923[[#This Row],[Calls Handled]]-N23)/N23</f>
        <v>-0.21357565211787263</v>
      </c>
      <c r="Q35" s="75">
        <f>AVERAGEIF(Q29:Q33, "&lt;&gt;0")</f>
        <v>0.84000000000000008</v>
      </c>
      <c r="R35" s="75">
        <f>Table11617201923[[#This Row],[Calls Handled]]/Table11617201923[[#This Row],[Calls Presented]]</f>
        <v>0.94754722108982203</v>
      </c>
      <c r="S35" s="75">
        <f>1-Table11617201923[[#This Row],[ANS]]</f>
        <v>5.2452778910177966E-2</v>
      </c>
      <c r="T35" s="75">
        <f t="shared" ref="T35:U35" si="8">AVERAGEIF(T29:T33, "&lt;&gt;0")</f>
        <v>0.55800000000000005</v>
      </c>
      <c r="U35" s="76">
        <f t="shared" si="8"/>
        <v>0.94499999999999995</v>
      </c>
    </row>
    <row r="38" spans="12:21">
      <c r="L38" s="329" t="s">
        <v>140</v>
      </c>
      <c r="M38" s="329"/>
      <c r="N38" s="329"/>
      <c r="O38" s="329"/>
      <c r="P38" s="329"/>
      <c r="Q38" s="329"/>
      <c r="R38" s="329"/>
      <c r="S38" s="329"/>
      <c r="T38" s="329"/>
      <c r="U38" s="329"/>
    </row>
    <row r="39" spans="12:21">
      <c r="L39" s="13" t="s">
        <v>1</v>
      </c>
      <c r="M39" s="14" t="s">
        <v>2</v>
      </c>
      <c r="N39" s="14" t="s">
        <v>15</v>
      </c>
      <c r="O39" s="14" t="s">
        <v>77</v>
      </c>
      <c r="P39" s="14" t="s">
        <v>78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>
      <c r="L41" s="4" t="s">
        <v>9</v>
      </c>
      <c r="M41" s="62">
        <v>16404</v>
      </c>
      <c r="N41" s="62">
        <v>15390</v>
      </c>
      <c r="O41" s="140">
        <f>(M41-M29)/M29</f>
        <v>0.10972804762549046</v>
      </c>
      <c r="P41" s="140">
        <f>(N41-N29)/N29</f>
        <v>9.6700634219340123E-2</v>
      </c>
      <c r="Q41" s="63">
        <v>0.83</v>
      </c>
      <c r="R41" s="63">
        <f>Table1161720192324[[#This Row],[Calls Handled]]/Table1161720192324[[#This Row],[Calls Presented]]</f>
        <v>0.93818580833942944</v>
      </c>
      <c r="S41" s="63">
        <f>1-Table1161720192324[[#This Row],[ANS]]</f>
        <v>6.1814191660570561E-2</v>
      </c>
      <c r="T41" s="58">
        <v>0.46</v>
      </c>
      <c r="U41" s="58">
        <v>0.81</v>
      </c>
    </row>
    <row r="42" spans="12:21">
      <c r="L42" s="4" t="s">
        <v>10</v>
      </c>
      <c r="M42">
        <v>4194</v>
      </c>
      <c r="N42" s="1">
        <v>4040</v>
      </c>
      <c r="O42" s="140">
        <f t="shared" ref="O42:O45" si="9">(M42-M30)/M30</f>
        <v>-8.0263157894736842E-2</v>
      </c>
      <c r="P42" s="140">
        <f t="shared" ref="P42:P45" si="10">(N42-N30)/N30</f>
        <v>-7.3819348922512615E-2</v>
      </c>
      <c r="Q42" s="45">
        <v>0.89</v>
      </c>
      <c r="R42" s="63">
        <f>Table1161720192324[[#This Row],[Calls Handled]]/Table1161720192324[[#This Row],[Calls Presented]]</f>
        <v>0.96328087744396762</v>
      </c>
      <c r="S42" s="63">
        <f>1-Table1161720192324[[#This Row],[ANS]]</f>
        <v>3.671912255603238E-2</v>
      </c>
      <c r="T42" s="46">
        <v>0.72</v>
      </c>
      <c r="U42" s="45">
        <v>1</v>
      </c>
    </row>
    <row r="43" spans="12:21">
      <c r="L43" s="4" t="s">
        <v>11</v>
      </c>
      <c r="M43" s="1">
        <v>10535</v>
      </c>
      <c r="N43" s="1">
        <v>10047</v>
      </c>
      <c r="O43" s="140">
        <f t="shared" si="9"/>
        <v>0.17775293460033539</v>
      </c>
      <c r="P43" s="140">
        <f t="shared" si="10"/>
        <v>0.17166180758017494</v>
      </c>
      <c r="Q43" s="45">
        <v>0.83</v>
      </c>
      <c r="R43" s="63">
        <f>Table1161720192324[[#This Row],[Calls Handled]]/Table1161720192324[[#This Row],[Calls Presented]]</f>
        <v>0.95367821547223541</v>
      </c>
      <c r="S43" s="63">
        <f>1-Table1161720192324[[#This Row],[ANS]]</f>
        <v>4.6321784527764587E-2</v>
      </c>
      <c r="T43" s="139">
        <v>0.64</v>
      </c>
      <c r="U43" s="45">
        <v>1</v>
      </c>
    </row>
    <row r="44" spans="12:21">
      <c r="L44" s="4" t="s">
        <v>12</v>
      </c>
      <c r="M44" s="62">
        <v>23825</v>
      </c>
      <c r="N44" s="62">
        <v>22655</v>
      </c>
      <c r="O44" s="140">
        <f t="shared" si="9"/>
        <v>0.27209140904479684</v>
      </c>
      <c r="P44" s="140">
        <f t="shared" si="10"/>
        <v>0.27727349608163726</v>
      </c>
      <c r="Q44" s="45">
        <v>0.87</v>
      </c>
      <c r="R44" s="63">
        <f>Table1161720192324[[#This Row],[Calls Handled]]/Table1161720192324[[#This Row],[Calls Presented]]</f>
        <v>0.95089192025183633</v>
      </c>
      <c r="S44" s="63">
        <f>1-Table1161720192324[[#This Row],[ANS]]</f>
        <v>4.9108079748163669E-2</v>
      </c>
      <c r="T44" s="55">
        <v>0.64</v>
      </c>
      <c r="U44" s="118" t="s">
        <v>16</v>
      </c>
    </row>
    <row r="45" spans="12:21">
      <c r="L45" s="4" t="s">
        <v>13</v>
      </c>
      <c r="M45" s="61">
        <v>8792</v>
      </c>
      <c r="N45" s="61">
        <v>8104</v>
      </c>
      <c r="O45" s="140">
        <f t="shared" si="9"/>
        <v>0.95508116522125863</v>
      </c>
      <c r="P45" s="140">
        <f t="shared" si="10"/>
        <v>0.97465886939571145</v>
      </c>
      <c r="Q45" s="60">
        <v>0.81</v>
      </c>
      <c r="R45" s="63">
        <f>Table1161720192324[[#This Row],[Calls Handled]]/Table1161720192324[[#This Row],[Calls Presented]]</f>
        <v>0.92174704276615105</v>
      </c>
      <c r="S45" s="63">
        <f>1-Table1161720192324[[#This Row],[ANS]]</f>
        <v>7.8252957233848952E-2</v>
      </c>
      <c r="T45" s="60">
        <v>0.54</v>
      </c>
      <c r="U45" s="59">
        <v>0.95</v>
      </c>
    </row>
    <row r="46" spans="12:21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>
      <c r="L47" s="73" t="s">
        <v>0</v>
      </c>
      <c r="M47" s="74">
        <f>SUM(M41:M45)</f>
        <v>63750</v>
      </c>
      <c r="N47" s="74">
        <f>SUM(N41:N45)</f>
        <v>60236</v>
      </c>
      <c r="O47" s="192">
        <f>(Table1161720192324[[#This Row],[Calls Presented]]-M35)/M35</f>
        <v>0.23755168598217927</v>
      </c>
      <c r="P47" s="192">
        <f>(Table1161720192324[[#This Row],[Calls Handled]]-N35)/N35</f>
        <v>0.23406609165966688</v>
      </c>
      <c r="Q47" s="75">
        <f>AVERAGEIF(Q41:Q45, "&lt;&gt;0")</f>
        <v>0.84600000000000009</v>
      </c>
      <c r="R47" s="75">
        <f>Table1161720192324[[#This Row],[Calls Handled]]/Table1161720192324[[#This Row],[Calls Presented]]</f>
        <v>0.94487843137254901</v>
      </c>
      <c r="S47" s="75">
        <f>1-Table1161720192324[[#This Row],[ANS]]</f>
        <v>5.512156862745099E-2</v>
      </c>
      <c r="T47" s="75">
        <f t="shared" ref="T47:U47" si="11">AVERAGEIF(T41:T45, "&lt;&gt;0")</f>
        <v>0.6</v>
      </c>
      <c r="U47" s="76">
        <f t="shared" si="11"/>
        <v>0.94</v>
      </c>
    </row>
  </sheetData>
  <mergeCells count="8">
    <mergeCell ref="AA2:AH2"/>
    <mergeCell ref="AB14:AD14"/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AT36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1" sqref="H1"/>
    </sheetView>
  </sheetViews>
  <sheetFormatPr defaultRowHeight="14.5"/>
  <cols>
    <col min="2" max="2" width="18.26953125" bestFit="1" customWidth="1"/>
    <col min="3" max="3" width="19" bestFit="1" customWidth="1"/>
    <col min="4" max="4" width="4.90625" customWidth="1"/>
    <col min="5" max="5" width="10.36328125" customWidth="1"/>
    <col min="6" max="6" width="15.36328125" bestFit="1" customWidth="1"/>
    <col min="7" max="7" width="24.81640625" bestFit="1" customWidth="1"/>
    <col min="8" max="8" width="24.08984375" bestFit="1" customWidth="1"/>
    <col min="9" max="9" width="21.81640625" bestFit="1" customWidth="1"/>
    <col min="10" max="10" width="18.36328125" bestFit="1" customWidth="1"/>
    <col min="11" max="11" width="21" bestFit="1" customWidth="1"/>
    <col min="12" max="12" width="17.6328125" bestFit="1" customWidth="1"/>
    <col min="16" max="16" width="9" customWidth="1"/>
    <col min="20" max="20" width="23.1796875" style="119" bestFit="1" customWidth="1"/>
    <col min="21" max="21" width="64.1796875" style="237" bestFit="1" customWidth="1"/>
    <col min="22" max="22" width="59.81640625" style="237" bestFit="1" customWidth="1"/>
    <col min="23" max="23" width="42.36328125" style="237" bestFit="1" customWidth="1"/>
    <col min="24" max="24" width="38" style="237" bestFit="1" customWidth="1"/>
    <col min="25" max="35" width="23.1796875" style="237" customWidth="1"/>
    <col min="36" max="36" width="8.7265625" style="237" customWidth="1"/>
    <col min="37" max="37" width="9.90625" customWidth="1"/>
    <col min="38" max="38" width="21.1796875" customWidth="1"/>
    <col min="39" max="39" width="23.1796875" customWidth="1"/>
    <col min="40" max="40" width="10.6328125" bestFit="1" customWidth="1"/>
  </cols>
  <sheetData>
    <row r="1" spans="1:41">
      <c r="A1" s="39" t="s">
        <v>35</v>
      </c>
      <c r="B1" s="39" t="s">
        <v>176</v>
      </c>
      <c r="C1" s="40" t="s">
        <v>54</v>
      </c>
      <c r="D1" s="40" t="s">
        <v>58</v>
      </c>
      <c r="E1" s="40" t="s">
        <v>57</v>
      </c>
      <c r="F1" s="40" t="s">
        <v>33</v>
      </c>
      <c r="G1" s="40" t="s">
        <v>153</v>
      </c>
      <c r="H1" s="40" t="s">
        <v>60</v>
      </c>
      <c r="I1" s="40" t="s">
        <v>55</v>
      </c>
      <c r="J1" s="40" t="s">
        <v>56</v>
      </c>
      <c r="K1" s="40" t="s">
        <v>152</v>
      </c>
      <c r="L1" s="40" t="s">
        <v>151</v>
      </c>
      <c r="M1" s="40" t="s">
        <v>32</v>
      </c>
      <c r="N1" s="40" t="s">
        <v>5</v>
      </c>
      <c r="O1" s="40" t="s">
        <v>4</v>
      </c>
      <c r="P1" s="40" t="s">
        <v>178</v>
      </c>
      <c r="Q1" s="41" t="s">
        <v>7</v>
      </c>
      <c r="R1" s="41" t="s">
        <v>81</v>
      </c>
      <c r="S1" s="41" t="s">
        <v>82</v>
      </c>
      <c r="T1" s="238" t="s">
        <v>79</v>
      </c>
      <c r="U1" s="120" t="s">
        <v>157</v>
      </c>
      <c r="V1" s="120" t="s">
        <v>158</v>
      </c>
      <c r="W1" s="120" t="s">
        <v>159</v>
      </c>
      <c r="X1" s="120" t="s">
        <v>160</v>
      </c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</row>
    <row r="2" spans="1:41">
      <c r="A2" s="33">
        <v>44652</v>
      </c>
      <c r="B2" s="305">
        <f>IF(YEAR(Table9[[#This Row],[Date]]) = 2022, WEEKNUM(Table9[[#This Row],[Date]])-13, WEEKNUM(Table9[[#This Row],[Date]])+40)</f>
        <v>1</v>
      </c>
      <c r="C2" s="35" t="s">
        <v>52</v>
      </c>
      <c r="D2" s="35" t="s">
        <v>59</v>
      </c>
      <c r="E2" s="1">
        <v>197</v>
      </c>
      <c r="F2" s="1">
        <v>191</v>
      </c>
      <c r="G2" s="67">
        <v>-0.13596491228070176</v>
      </c>
      <c r="H2" s="67">
        <v>-0.15111111111111111</v>
      </c>
      <c r="I2" s="1">
        <v>197</v>
      </c>
      <c r="J2" s="1">
        <v>191</v>
      </c>
      <c r="K2" s="1">
        <v>197</v>
      </c>
      <c r="L2" s="1">
        <v>191</v>
      </c>
      <c r="M2" s="18">
        <v>0.9</v>
      </c>
      <c r="N2" s="18">
        <v>0.03</v>
      </c>
      <c r="O2" s="18">
        <v>0.97</v>
      </c>
      <c r="P2" s="18">
        <v>0.65</v>
      </c>
      <c r="Q2" s="22">
        <v>1</v>
      </c>
      <c r="R2" s="213">
        <v>0</v>
      </c>
      <c r="S2" s="213">
        <v>0</v>
      </c>
      <c r="T2" s="239">
        <v>0</v>
      </c>
      <c r="U2" s="245" t="str">
        <f>IF(OR(G2&lt;$AA$5,G2&gt;$AB$5), "Outlier", "Normal")</f>
        <v>Normal</v>
      </c>
      <c r="V2" s="245" t="str">
        <f>IF(OR(H2&lt;$AA$6,H2&gt;$AB$6), "Outlier", "Normal")</f>
        <v>Normal</v>
      </c>
      <c r="W2" s="87">
        <f>IF(U2="Normal",$G2,IF($G2&lt;150%, $G2, $AA$9))</f>
        <v>-0.13596491228070176</v>
      </c>
      <c r="X2" s="87">
        <f>IF(V2="Normal",$H2,IF($H2&lt;150%, $H2, $AE$9))</f>
        <v>-0.15111111111111111</v>
      </c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</row>
    <row r="3" spans="1:41">
      <c r="A3" s="33">
        <v>44653</v>
      </c>
      <c r="B3" s="305">
        <f>IF(YEAR(Table9[[#This Row],[Date]]) = 2022, WEEKNUM(Table9[[#This Row],[Date]])-13, WEEKNUM(Table9[[#This Row],[Date]])+40)</f>
        <v>1</v>
      </c>
      <c r="C3" s="35" t="s">
        <v>53</v>
      </c>
      <c r="D3" s="35" t="s">
        <v>59</v>
      </c>
      <c r="E3" s="1">
        <v>157</v>
      </c>
      <c r="F3" s="1">
        <v>152</v>
      </c>
      <c r="G3" s="67">
        <v>-0.25592417061611372</v>
      </c>
      <c r="H3" s="67">
        <v>-0.26923076923076922</v>
      </c>
      <c r="I3" s="1">
        <v>354</v>
      </c>
      <c r="J3" s="1">
        <v>343</v>
      </c>
      <c r="K3" s="1">
        <v>354</v>
      </c>
      <c r="L3" s="1">
        <v>343</v>
      </c>
      <c r="M3" s="18">
        <v>0.84</v>
      </c>
      <c r="N3" s="18">
        <v>0.03</v>
      </c>
      <c r="O3" s="18">
        <v>0.97</v>
      </c>
      <c r="P3" s="18">
        <v>0.65</v>
      </c>
      <c r="Q3" s="18">
        <v>1</v>
      </c>
      <c r="R3" s="214">
        <v>0</v>
      </c>
      <c r="S3" s="230">
        <v>0</v>
      </c>
      <c r="T3" s="240">
        <v>0</v>
      </c>
      <c r="U3" s="245" t="str">
        <f t="shared" ref="U3:U66" si="0">IF(OR(G3&lt;$AA$5,G3&gt;$AB$5), "Outlier", "Normal")</f>
        <v>Normal</v>
      </c>
      <c r="V3" s="245" t="str">
        <f t="shared" ref="V3:V66" si="1">IF(OR(H3&lt;$AA$6,H3&gt;$AB$6), "Outlier", "Normal")</f>
        <v>Normal</v>
      </c>
      <c r="W3" s="87">
        <f t="shared" ref="W3:W66" si="2">IF(U3="Normal",$G3,IF($G3&lt;150%, $G3, $AA$9))</f>
        <v>-0.25592417061611372</v>
      </c>
      <c r="X3" s="87">
        <f t="shared" ref="X3:X66" si="3">IF(V3="Normal",$H3,IF($H3&lt;150%, $H3, $AE$9))</f>
        <v>-0.26923076923076922</v>
      </c>
      <c r="Y3" s="236"/>
      <c r="Z3" s="329" t="s">
        <v>161</v>
      </c>
      <c r="AA3" s="329"/>
      <c r="AB3" s="329"/>
      <c r="AC3"/>
      <c r="AD3" s="329" t="s">
        <v>162</v>
      </c>
      <c r="AE3" s="329"/>
      <c r="AF3" s="247"/>
      <c r="AG3" s="329" t="s">
        <v>163</v>
      </c>
      <c r="AH3" s="329"/>
      <c r="AI3" s="236"/>
      <c r="AN3" t="s">
        <v>67</v>
      </c>
      <c r="AO3" s="16">
        <v>44655</v>
      </c>
    </row>
    <row r="4" spans="1:41">
      <c r="A4" s="27">
        <v>44654</v>
      </c>
      <c r="B4" s="306">
        <f>IF(YEAR(Table9[[#This Row],[Date]]) = 2022, WEEKNUM(Table9[[#This Row],[Date]])-13, WEEKNUM(Table9[[#This Row],[Date]])+40)</f>
        <v>2</v>
      </c>
      <c r="C4" s="35" t="s">
        <v>47</v>
      </c>
      <c r="D4" s="35" t="s">
        <v>59</v>
      </c>
      <c r="E4" s="1">
        <v>0</v>
      </c>
      <c r="F4" s="1">
        <v>0</v>
      </c>
      <c r="G4" s="67">
        <v>0</v>
      </c>
      <c r="H4" s="67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22">
        <v>0</v>
      </c>
      <c r="R4" s="230">
        <v>0</v>
      </c>
      <c r="S4" s="230">
        <v>0</v>
      </c>
      <c r="T4" s="240">
        <v>0</v>
      </c>
      <c r="U4" s="245" t="str">
        <f t="shared" si="0"/>
        <v>Normal</v>
      </c>
      <c r="V4" s="245" t="str">
        <f t="shared" si="1"/>
        <v>Normal</v>
      </c>
      <c r="W4" s="87">
        <f t="shared" si="2"/>
        <v>0</v>
      </c>
      <c r="X4" s="87">
        <f t="shared" si="3"/>
        <v>0</v>
      </c>
      <c r="Y4" s="236"/>
      <c r="Z4" s="203" t="s">
        <v>164</v>
      </c>
      <c r="AA4" s="1" t="s">
        <v>165</v>
      </c>
      <c r="AB4" s="1" t="s">
        <v>166</v>
      </c>
      <c r="AC4"/>
      <c r="AD4" s="1" t="s">
        <v>167</v>
      </c>
      <c r="AE4" s="248">
        <f>_xlfn.QUARTILE.INC(G:G, 1)</f>
        <v>-0.11245674740484429</v>
      </c>
      <c r="AF4" s="247"/>
      <c r="AG4" s="1" t="s">
        <v>167</v>
      </c>
      <c r="AH4" s="248">
        <f>_xlfn.QUARTILE.INC(H:H, 1)</f>
        <v>-0.10052910052910052</v>
      </c>
      <c r="AI4" s="236"/>
      <c r="AN4" t="s">
        <v>68</v>
      </c>
      <c r="AO4" s="16">
        <v>45012</v>
      </c>
    </row>
    <row r="5" spans="1:41">
      <c r="A5" s="33">
        <v>44655</v>
      </c>
      <c r="B5" s="305">
        <f>IF(YEAR(Table9[[#This Row],[Date]]) = 2022, WEEKNUM(Table9[[#This Row],[Date]])-13, WEEKNUM(Table9[[#This Row],[Date]])+40)</f>
        <v>2</v>
      </c>
      <c r="C5" s="35" t="s">
        <v>48</v>
      </c>
      <c r="D5" s="35" t="s">
        <v>59</v>
      </c>
      <c r="E5" s="1">
        <v>298</v>
      </c>
      <c r="F5" s="1">
        <v>284</v>
      </c>
      <c r="G5" s="67">
        <v>-8.0246913580246909E-2</v>
      </c>
      <c r="H5" s="67">
        <v>-0.10410094637223975</v>
      </c>
      <c r="I5" s="1">
        <v>652</v>
      </c>
      <c r="J5" s="1">
        <v>627</v>
      </c>
      <c r="K5" s="1">
        <v>652</v>
      </c>
      <c r="L5" s="1">
        <v>627</v>
      </c>
      <c r="M5" s="18">
        <v>0.89</v>
      </c>
      <c r="N5" s="18">
        <v>0.05</v>
      </c>
      <c r="O5" s="18">
        <v>0.95</v>
      </c>
      <c r="P5" s="18">
        <v>0.66</v>
      </c>
      <c r="Q5" s="22">
        <v>1</v>
      </c>
      <c r="R5" s="230">
        <v>0</v>
      </c>
      <c r="S5" s="230">
        <v>0</v>
      </c>
      <c r="T5" s="240">
        <v>0</v>
      </c>
      <c r="U5" s="245" t="str">
        <f t="shared" si="0"/>
        <v>Normal</v>
      </c>
      <c r="V5" s="245" t="str">
        <f t="shared" si="1"/>
        <v>Normal</v>
      </c>
      <c r="W5" s="87">
        <f t="shared" si="2"/>
        <v>-8.0246913580246909E-2</v>
      </c>
      <c r="X5" s="87">
        <f t="shared" si="3"/>
        <v>-0.10410094637223975</v>
      </c>
      <c r="Y5" s="236"/>
      <c r="Z5" s="203" t="s">
        <v>168</v>
      </c>
      <c r="AA5" s="19">
        <f>AE4-1.5*AE6</f>
        <v>-0.43785828642255847</v>
      </c>
      <c r="AB5" s="19">
        <f>AE5+1.5*AE6</f>
        <v>0.42987915095801266</v>
      </c>
      <c r="AC5"/>
      <c r="AD5" s="1" t="s">
        <v>169</v>
      </c>
      <c r="AE5" s="248">
        <f>_xlfn.QUARTILE.INC(G:G, 3)</f>
        <v>0.1044776119402985</v>
      </c>
      <c r="AF5" s="247"/>
      <c r="AG5" s="1" t="s">
        <v>169</v>
      </c>
      <c r="AH5" s="248">
        <f>_xlfn.QUARTILE.INC(H:H, 3)</f>
        <v>0.11842105263157894</v>
      </c>
      <c r="AI5" s="236"/>
    </row>
    <row r="6" spans="1:41">
      <c r="A6" s="33">
        <v>44656</v>
      </c>
      <c r="B6" s="305">
        <f>IF(YEAR(Table9[[#This Row],[Date]]) = 2022, WEEKNUM(Table9[[#This Row],[Date]])-13, WEEKNUM(Table9[[#This Row],[Date]])+40)</f>
        <v>2</v>
      </c>
      <c r="C6" s="35" t="s">
        <v>49</v>
      </c>
      <c r="D6" s="35" t="s">
        <v>59</v>
      </c>
      <c r="E6" s="1">
        <v>305</v>
      </c>
      <c r="F6" s="1">
        <v>297</v>
      </c>
      <c r="G6" s="67">
        <v>-7.29483282674772E-2</v>
      </c>
      <c r="H6" s="67">
        <v>-7.1874999999999994E-2</v>
      </c>
      <c r="I6" s="1">
        <v>957</v>
      </c>
      <c r="J6" s="1">
        <v>924</v>
      </c>
      <c r="K6" s="1">
        <v>957</v>
      </c>
      <c r="L6" s="1">
        <v>924</v>
      </c>
      <c r="M6" s="18">
        <v>0.88</v>
      </c>
      <c r="N6" s="18">
        <v>0.03</v>
      </c>
      <c r="O6" s="18">
        <v>0.97</v>
      </c>
      <c r="P6" s="18">
        <v>0.73</v>
      </c>
      <c r="Q6" s="22">
        <v>1</v>
      </c>
      <c r="R6" s="230">
        <v>0</v>
      </c>
      <c r="S6" s="230">
        <v>0</v>
      </c>
      <c r="T6" s="240">
        <v>0</v>
      </c>
      <c r="U6" s="245" t="str">
        <f t="shared" si="0"/>
        <v>Normal</v>
      </c>
      <c r="V6" s="245" t="str">
        <f t="shared" si="1"/>
        <v>Normal</v>
      </c>
      <c r="W6" s="87">
        <f t="shared" si="2"/>
        <v>-7.29483282674772E-2</v>
      </c>
      <c r="X6" s="87">
        <f t="shared" si="3"/>
        <v>-7.1874999999999994E-2</v>
      </c>
      <c r="Y6" s="236"/>
      <c r="Z6" s="203" t="s">
        <v>33</v>
      </c>
      <c r="AA6" s="19">
        <f>AH4-1.5*AH6</f>
        <v>-0.4289543302701197</v>
      </c>
      <c r="AB6" s="19">
        <f>AH5+1.5*AH6</f>
        <v>0.4468462823725981</v>
      </c>
      <c r="AC6"/>
      <c r="AD6" s="68" t="s">
        <v>170</v>
      </c>
      <c r="AE6" s="148">
        <f>AE5-AE4</f>
        <v>0.2169343593451428</v>
      </c>
      <c r="AF6" s="247"/>
      <c r="AG6" s="68" t="s">
        <v>170</v>
      </c>
      <c r="AH6" s="148">
        <f>AH5-AH4</f>
        <v>0.21895015316067945</v>
      </c>
      <c r="AI6" s="236"/>
    </row>
    <row r="7" spans="1:41">
      <c r="A7" s="33">
        <v>44657</v>
      </c>
      <c r="B7" s="305">
        <f>IF(YEAR(Table9[[#This Row],[Date]]) = 2022, WEEKNUM(Table9[[#This Row],[Date]])-13, WEEKNUM(Table9[[#This Row],[Date]])+40)</f>
        <v>2</v>
      </c>
      <c r="C7" s="35" t="s">
        <v>50</v>
      </c>
      <c r="D7" s="35" t="s">
        <v>59</v>
      </c>
      <c r="E7" s="1">
        <v>250</v>
      </c>
      <c r="F7" s="1">
        <v>241</v>
      </c>
      <c r="G7" s="67">
        <v>-0.16943521594684385</v>
      </c>
      <c r="H7" s="67">
        <v>-0.16319444444444445</v>
      </c>
      <c r="I7" s="1">
        <v>1207</v>
      </c>
      <c r="J7" s="1">
        <v>1165</v>
      </c>
      <c r="K7" s="1">
        <v>1207</v>
      </c>
      <c r="L7" s="1">
        <v>1165</v>
      </c>
      <c r="M7" s="18">
        <v>0.86</v>
      </c>
      <c r="N7" s="18">
        <v>0.04</v>
      </c>
      <c r="O7" s="18">
        <v>0.96</v>
      </c>
      <c r="P7" s="18">
        <v>0.66</v>
      </c>
      <c r="Q7" s="22">
        <v>1</v>
      </c>
      <c r="R7" s="230">
        <v>0</v>
      </c>
      <c r="S7" s="230">
        <v>0</v>
      </c>
      <c r="T7" s="240">
        <v>0</v>
      </c>
      <c r="U7" s="245" t="str">
        <f t="shared" si="0"/>
        <v>Normal</v>
      </c>
      <c r="V7" s="245" t="str">
        <f t="shared" si="1"/>
        <v>Normal</v>
      </c>
      <c r="W7" s="87">
        <f t="shared" si="2"/>
        <v>-0.16943521594684385</v>
      </c>
      <c r="X7" s="87">
        <f t="shared" si="3"/>
        <v>-0.16319444444444445</v>
      </c>
      <c r="Y7" s="236"/>
      <c r="Z7"/>
      <c r="AA7"/>
      <c r="AB7"/>
      <c r="AC7"/>
      <c r="AD7"/>
      <c r="AE7"/>
      <c r="AF7" s="247"/>
      <c r="AG7" s="247"/>
      <c r="AH7" s="247"/>
      <c r="AI7" s="236"/>
      <c r="AK7" s="6" t="s">
        <v>64</v>
      </c>
      <c r="AL7" s="7" t="s">
        <v>65</v>
      </c>
      <c r="AM7" s="99" t="s">
        <v>66</v>
      </c>
    </row>
    <row r="8" spans="1:41">
      <c r="A8" s="33">
        <v>44658</v>
      </c>
      <c r="B8" s="305">
        <f>IF(YEAR(Table9[[#This Row],[Date]]) = 2022, WEEKNUM(Table9[[#This Row],[Date]])-13, WEEKNUM(Table9[[#This Row],[Date]])+40)</f>
        <v>2</v>
      </c>
      <c r="C8" s="35" t="s">
        <v>51</v>
      </c>
      <c r="D8" s="35" t="s">
        <v>59</v>
      </c>
      <c r="E8" s="1">
        <v>263</v>
      </c>
      <c r="F8" s="1">
        <v>253</v>
      </c>
      <c r="G8" s="67">
        <v>-3.787878787878788E-3</v>
      </c>
      <c r="H8" s="67">
        <v>0</v>
      </c>
      <c r="I8" s="1">
        <v>1470</v>
      </c>
      <c r="J8" s="1">
        <v>1418</v>
      </c>
      <c r="K8" s="1">
        <v>1470</v>
      </c>
      <c r="L8" s="1">
        <v>1418</v>
      </c>
      <c r="M8" s="18">
        <v>0.89</v>
      </c>
      <c r="N8" s="18">
        <v>0.04</v>
      </c>
      <c r="O8" s="18">
        <v>0.96</v>
      </c>
      <c r="P8" s="18">
        <v>0.82</v>
      </c>
      <c r="Q8" s="22">
        <v>1</v>
      </c>
      <c r="R8" s="230">
        <v>0</v>
      </c>
      <c r="S8" s="230">
        <v>0</v>
      </c>
      <c r="T8" s="240">
        <v>0</v>
      </c>
      <c r="U8" s="245" t="str">
        <f t="shared" si="0"/>
        <v>Normal</v>
      </c>
      <c r="V8" s="245" t="str">
        <f t="shared" si="1"/>
        <v>Normal</v>
      </c>
      <c r="W8" s="87">
        <f t="shared" si="2"/>
        <v>-3.787878787878788E-3</v>
      </c>
      <c r="X8" s="87">
        <f t="shared" si="3"/>
        <v>0</v>
      </c>
      <c r="Y8" s="236"/>
      <c r="Z8" s="325" t="s">
        <v>171</v>
      </c>
      <c r="AA8" s="327"/>
      <c r="AB8"/>
      <c r="AC8"/>
      <c r="AD8" s="325" t="s">
        <v>172</v>
      </c>
      <c r="AE8" s="327"/>
      <c r="AF8" s="247"/>
      <c r="AG8" s="247"/>
      <c r="AH8" s="247"/>
      <c r="AI8" s="236"/>
      <c r="AK8" s="27">
        <v>44655</v>
      </c>
      <c r="AL8" s="1" cm="1">
        <f t="array" ref="AL8">SUMIFS(calls_off_GUY,period_GUY,"&gt;="&amp;AK8,period_GUY,"&lt;"&amp;AK9)</f>
        <v>1584</v>
      </c>
      <c r="AM8" s="100" cm="1">
        <f t="array" ref="AM8">SUMIFS(calls_ans_GUY,period_GUY,"&gt;="&amp;AK8,period_GUY,"&lt;"&amp;AK9)</f>
        <v>1531</v>
      </c>
    </row>
    <row r="9" spans="1:41">
      <c r="A9" s="33">
        <v>44659</v>
      </c>
      <c r="B9" s="305">
        <f>IF(YEAR(Table9[[#This Row],[Date]]) = 2022, WEEKNUM(Table9[[#This Row],[Date]])-13, WEEKNUM(Table9[[#This Row],[Date]])+40)</f>
        <v>2</v>
      </c>
      <c r="C9" s="35" t="s">
        <v>52</v>
      </c>
      <c r="D9" s="35" t="s">
        <v>59</v>
      </c>
      <c r="E9" s="1">
        <v>292</v>
      </c>
      <c r="F9" s="1">
        <v>286</v>
      </c>
      <c r="G9" s="67">
        <v>0.48223350253807107</v>
      </c>
      <c r="H9" s="67">
        <v>0.49738219895287961</v>
      </c>
      <c r="I9" s="1">
        <v>1762</v>
      </c>
      <c r="J9" s="1">
        <v>1704</v>
      </c>
      <c r="K9" s="1">
        <v>1762</v>
      </c>
      <c r="L9" s="1">
        <v>1704</v>
      </c>
      <c r="M9" s="18">
        <v>0.86</v>
      </c>
      <c r="N9" s="18">
        <v>0.02</v>
      </c>
      <c r="O9" s="18">
        <v>0.98</v>
      </c>
      <c r="P9" s="18">
        <v>0.73</v>
      </c>
      <c r="Q9" s="22">
        <v>1</v>
      </c>
      <c r="R9" s="230">
        <v>0</v>
      </c>
      <c r="S9" s="230">
        <v>0</v>
      </c>
      <c r="T9" s="240">
        <v>0</v>
      </c>
      <c r="U9" s="245" t="str">
        <f t="shared" si="0"/>
        <v>Outlier</v>
      </c>
      <c r="V9" s="245" t="str">
        <f t="shared" si="1"/>
        <v>Outlier</v>
      </c>
      <c r="W9" s="87">
        <f t="shared" si="2"/>
        <v>0.48223350253807107</v>
      </c>
      <c r="X9" s="87">
        <f t="shared" si="3"/>
        <v>0.49738219895287961</v>
      </c>
      <c r="Y9" s="236"/>
      <c r="Z9" s="1" t="s">
        <v>173</v>
      </c>
      <c r="AA9" s="67">
        <f>AVERAGEIF(G2:G367,"&lt;&gt;0")</f>
        <v>3.8370656823366094E-2</v>
      </c>
      <c r="AB9"/>
      <c r="AC9"/>
      <c r="AD9" s="1" t="s">
        <v>173</v>
      </c>
      <c r="AE9" s="67">
        <f>AVERAGEIF(H2:H367, "&lt;&gt;0")</f>
        <v>2.8034934202892148E-2</v>
      </c>
      <c r="AF9" s="247"/>
      <c r="AG9" s="247"/>
      <c r="AH9" s="247"/>
      <c r="AI9" s="236"/>
      <c r="AK9" s="27">
        <f>AK8+7</f>
        <v>44662</v>
      </c>
      <c r="AL9" s="1" cm="1">
        <f t="array" ref="AL9">SUMIFS(calls_off_GUY,period_GUY,"&gt;="&amp;AK9,period_GUY,"&lt;"&amp;AK10)</f>
        <v>1234</v>
      </c>
      <c r="AM9" s="100" cm="1">
        <f t="array" ref="AM9">SUMIFS(calls_ans_GUY,period_GUY,"&gt;="&amp;AK9,period_GUY,"&lt;"&amp;AK10)</f>
        <v>1219</v>
      </c>
    </row>
    <row r="10" spans="1:41">
      <c r="A10" s="33">
        <v>44660</v>
      </c>
      <c r="B10" s="305">
        <f>IF(YEAR(Table9[[#This Row],[Date]]) = 2022, WEEKNUM(Table9[[#This Row],[Date]])-13, WEEKNUM(Table9[[#This Row],[Date]])+40)</f>
        <v>2</v>
      </c>
      <c r="C10" s="35" t="s">
        <v>53</v>
      </c>
      <c r="D10" s="35" t="s">
        <v>59</v>
      </c>
      <c r="E10" s="1">
        <v>176</v>
      </c>
      <c r="F10" s="1">
        <v>170</v>
      </c>
      <c r="G10" s="67">
        <v>0.12101910828025478</v>
      </c>
      <c r="H10" s="67">
        <v>0.11842105263157894</v>
      </c>
      <c r="I10" s="1">
        <v>1938</v>
      </c>
      <c r="J10" s="1">
        <v>1874</v>
      </c>
      <c r="K10" s="1">
        <v>1938</v>
      </c>
      <c r="L10" s="1">
        <v>1874</v>
      </c>
      <c r="M10" s="18">
        <v>0.86</v>
      </c>
      <c r="N10" s="18">
        <v>0.03</v>
      </c>
      <c r="O10" s="18">
        <v>0.97</v>
      </c>
      <c r="P10" s="18">
        <v>0.55000000000000004</v>
      </c>
      <c r="Q10" s="22">
        <v>1</v>
      </c>
      <c r="R10" s="230">
        <v>0</v>
      </c>
      <c r="S10" s="230">
        <v>0</v>
      </c>
      <c r="T10" s="240">
        <v>0</v>
      </c>
      <c r="U10" s="245" t="str">
        <f t="shared" si="0"/>
        <v>Normal</v>
      </c>
      <c r="V10" s="245" t="str">
        <f t="shared" si="1"/>
        <v>Normal</v>
      </c>
      <c r="W10" s="87">
        <f t="shared" si="2"/>
        <v>0.12101910828025478</v>
      </c>
      <c r="X10" s="87">
        <f t="shared" si="3"/>
        <v>0.11842105263157894</v>
      </c>
      <c r="Y10" s="236"/>
      <c r="Z10" s="1" t="s">
        <v>174</v>
      </c>
      <c r="AA10" s="19">
        <f>MEDIAN(G2:G367)</f>
        <v>0</v>
      </c>
      <c r="AB10"/>
      <c r="AC10"/>
      <c r="AD10" s="1" t="s">
        <v>174</v>
      </c>
      <c r="AE10" s="19">
        <f>MEDIAN(H2:H367)</f>
        <v>0</v>
      </c>
      <c r="AF10" s="247"/>
      <c r="AG10" s="247"/>
      <c r="AH10" s="247"/>
      <c r="AI10" s="236"/>
      <c r="AK10" s="27">
        <f t="shared" ref="AK10:AK22" si="4">AK9+7</f>
        <v>44669</v>
      </c>
      <c r="AL10" s="1" cm="1">
        <f t="array" ref="AL10">SUMIFS(calls_off_GUY,period_GUY,"&gt;="&amp;AK10,period_GUY,"&lt;"&amp;AK11)</f>
        <v>1327</v>
      </c>
      <c r="AM10" s="100" cm="1">
        <f t="array" ref="AM10">SUMIFS(calls_ans_GUY,period_GUY,"&gt;="&amp;AK10,period_GUY,"&lt;"&amp;AK11)</f>
        <v>1300</v>
      </c>
    </row>
    <row r="11" spans="1:41">
      <c r="A11" s="27">
        <v>44661</v>
      </c>
      <c r="B11" s="306">
        <f>IF(YEAR(Table9[[#This Row],[Date]]) = 2022, WEEKNUM(Table9[[#This Row],[Date]])-13, WEEKNUM(Table9[[#This Row],[Date]])+40)</f>
        <v>3</v>
      </c>
      <c r="C11" s="35" t="s">
        <v>47</v>
      </c>
      <c r="D11" s="35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22">
        <v>0</v>
      </c>
      <c r="R11" s="230">
        <v>0</v>
      </c>
      <c r="S11" s="230">
        <v>0</v>
      </c>
      <c r="T11" s="240">
        <v>0</v>
      </c>
      <c r="U11" s="245" t="str">
        <f t="shared" si="0"/>
        <v>Normal</v>
      </c>
      <c r="V11" s="245" t="str">
        <f t="shared" si="1"/>
        <v>Normal</v>
      </c>
      <c r="W11" s="87">
        <f t="shared" si="2"/>
        <v>0</v>
      </c>
      <c r="X11" s="87">
        <f t="shared" si="3"/>
        <v>0</v>
      </c>
      <c r="Y11" s="236"/>
      <c r="Z11" s="1" t="s">
        <v>175</v>
      </c>
      <c r="AA11" s="17">
        <f>_xlfn.MODE.SNGL(F2:F123)</f>
        <v>0</v>
      </c>
      <c r="AB11"/>
      <c r="AC11"/>
      <c r="AD11" s="1" t="s">
        <v>175</v>
      </c>
      <c r="AE11" s="1">
        <f>_xlfn.MODE.SNGL(H2:H367)</f>
        <v>0</v>
      </c>
      <c r="AF11" s="247"/>
      <c r="AG11" s="247"/>
      <c r="AH11" s="247"/>
      <c r="AI11" s="236"/>
      <c r="AK11" s="27">
        <f t="shared" si="4"/>
        <v>44676</v>
      </c>
      <c r="AL11" s="1" cm="1">
        <f t="array" ref="AL11">SUMIFS(calls_off_GUY,period_GUY,"&gt;="&amp;AK11,period_GUY,"&lt;"&amp;AK12)</f>
        <v>1888</v>
      </c>
      <c r="AM11" s="100" cm="1">
        <f t="array" ref="AM11">SUMIFS(calls_ans_GUY,period_GUY,"&gt;="&amp;AK11,period_GUY,"&lt;"&amp;AK12)</f>
        <v>1792</v>
      </c>
    </row>
    <row r="12" spans="1:41">
      <c r="A12" s="33">
        <v>44662</v>
      </c>
      <c r="B12" s="305">
        <f>IF(YEAR(Table9[[#This Row],[Date]]) = 2022, WEEKNUM(Table9[[#This Row],[Date]])-13, WEEKNUM(Table9[[#This Row],[Date]])+40)</f>
        <v>3</v>
      </c>
      <c r="C12" s="35" t="s">
        <v>48</v>
      </c>
      <c r="D12" s="35" t="s">
        <v>59</v>
      </c>
      <c r="E12" s="1">
        <v>300</v>
      </c>
      <c r="F12" s="1">
        <v>297</v>
      </c>
      <c r="G12" s="67">
        <v>6.7114093959731542E-3</v>
      </c>
      <c r="H12" s="67">
        <v>4.5774647887323945E-2</v>
      </c>
      <c r="I12" s="1">
        <v>2238</v>
      </c>
      <c r="J12" s="1">
        <v>2171</v>
      </c>
      <c r="K12" s="1">
        <v>2238</v>
      </c>
      <c r="L12" s="1">
        <v>2171</v>
      </c>
      <c r="M12" s="18">
        <v>0.95</v>
      </c>
      <c r="N12" s="18">
        <v>0.01</v>
      </c>
      <c r="O12" s="18">
        <v>0.99</v>
      </c>
      <c r="P12" s="18">
        <v>0.79</v>
      </c>
      <c r="Q12" s="22">
        <v>1</v>
      </c>
      <c r="R12" s="230">
        <v>0</v>
      </c>
      <c r="S12" s="230">
        <v>0</v>
      </c>
      <c r="T12" s="240">
        <v>0</v>
      </c>
      <c r="U12" s="245" t="str">
        <f t="shared" si="0"/>
        <v>Normal</v>
      </c>
      <c r="V12" s="245" t="str">
        <f t="shared" si="1"/>
        <v>Normal</v>
      </c>
      <c r="W12" s="87">
        <f t="shared" si="2"/>
        <v>6.7114093959731542E-3</v>
      </c>
      <c r="X12" s="87">
        <f t="shared" si="3"/>
        <v>4.5774647887323945E-2</v>
      </c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K12" s="27">
        <f t="shared" si="4"/>
        <v>44683</v>
      </c>
      <c r="AL12" s="1" cm="1">
        <f t="array" ref="AL12">SUMIFS(calls_off_GUY,period_GUY,"&gt;="&amp;AK12,period_GUY,"&lt;"&amp;AK13)</f>
        <v>1219</v>
      </c>
      <c r="AM12" s="100" cm="1">
        <f t="array" ref="AM12">SUMIFS(calls_ans_GUY,period_GUY,"&gt;="&amp;AK12,period_GUY,"&lt;"&amp;AK13)</f>
        <v>1181</v>
      </c>
    </row>
    <row r="13" spans="1:41">
      <c r="A13" s="33">
        <v>44663</v>
      </c>
      <c r="B13" s="305">
        <f>IF(YEAR(Table9[[#This Row],[Date]]) = 2022, WEEKNUM(Table9[[#This Row],[Date]])-13, WEEKNUM(Table9[[#This Row],[Date]])+40)</f>
        <v>3</v>
      </c>
      <c r="C13" s="35" t="s">
        <v>49</v>
      </c>
      <c r="D13" s="35" t="s">
        <v>59</v>
      </c>
      <c r="E13" s="1">
        <v>247</v>
      </c>
      <c r="F13" s="1">
        <v>241</v>
      </c>
      <c r="G13" s="67">
        <v>-0.1901639344262295</v>
      </c>
      <c r="H13" s="67">
        <v>-0.18855218855218855</v>
      </c>
      <c r="I13" s="1">
        <v>2485</v>
      </c>
      <c r="J13" s="1">
        <v>2412</v>
      </c>
      <c r="K13" s="1">
        <v>2485</v>
      </c>
      <c r="L13" s="1">
        <v>2412</v>
      </c>
      <c r="M13" s="18">
        <v>0.87</v>
      </c>
      <c r="N13" s="18">
        <v>0.02</v>
      </c>
      <c r="O13" s="18">
        <v>0.98</v>
      </c>
      <c r="P13" s="18">
        <v>0.75</v>
      </c>
      <c r="Q13" s="22">
        <v>1</v>
      </c>
      <c r="R13" s="230">
        <v>0</v>
      </c>
      <c r="S13" s="230">
        <v>0</v>
      </c>
      <c r="T13" s="240">
        <v>0</v>
      </c>
      <c r="U13" s="245" t="str">
        <f t="shared" si="0"/>
        <v>Normal</v>
      </c>
      <c r="V13" s="245" t="str">
        <f t="shared" si="1"/>
        <v>Normal</v>
      </c>
      <c r="W13" s="87">
        <f t="shared" si="2"/>
        <v>-0.1901639344262295</v>
      </c>
      <c r="X13" s="87">
        <f t="shared" si="3"/>
        <v>-0.18855218855218855</v>
      </c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K13" s="27">
        <f t="shared" si="4"/>
        <v>44690</v>
      </c>
      <c r="AL13" s="1" cm="1">
        <f t="array" ref="AL13">SUMIFS(calls_off_GUY,period_GUY,"&gt;="&amp;AK13,period_GUY,"&lt;"&amp;AK14)</f>
        <v>1699</v>
      </c>
      <c r="AM13" s="100" cm="1">
        <f t="array" ref="AM13">SUMIFS(calls_ans_GUY,period_GUY,"&gt;="&amp;AK13,period_GUY,"&lt;"&amp;AK14)</f>
        <v>1612</v>
      </c>
    </row>
    <row r="14" spans="1:41">
      <c r="A14" s="33">
        <v>44664</v>
      </c>
      <c r="B14" s="305">
        <f>IF(YEAR(Table9[[#This Row],[Date]]) = 2022, WEEKNUM(Table9[[#This Row],[Date]])-13, WEEKNUM(Table9[[#This Row],[Date]])+40)</f>
        <v>3</v>
      </c>
      <c r="C14" s="35" t="s">
        <v>50</v>
      </c>
      <c r="D14" s="35" t="s">
        <v>59</v>
      </c>
      <c r="E14" s="1">
        <v>268</v>
      </c>
      <c r="F14" s="1">
        <v>264</v>
      </c>
      <c r="G14" s="67">
        <v>7.1999999999999995E-2</v>
      </c>
      <c r="H14" s="67">
        <v>9.5435684647302899E-2</v>
      </c>
      <c r="I14" s="1">
        <v>2753</v>
      </c>
      <c r="J14" s="1">
        <v>2676</v>
      </c>
      <c r="K14" s="1">
        <v>2753</v>
      </c>
      <c r="L14" s="1">
        <v>2676</v>
      </c>
      <c r="M14" s="18">
        <v>0.89</v>
      </c>
      <c r="N14" s="18">
        <v>0.01</v>
      </c>
      <c r="O14" s="18">
        <v>0.99</v>
      </c>
      <c r="P14" s="18">
        <v>0.68</v>
      </c>
      <c r="Q14" s="22">
        <v>1</v>
      </c>
      <c r="R14" s="230">
        <v>0</v>
      </c>
      <c r="S14" s="230">
        <v>0</v>
      </c>
      <c r="T14" s="240">
        <v>0</v>
      </c>
      <c r="U14" s="245" t="str">
        <f t="shared" si="0"/>
        <v>Normal</v>
      </c>
      <c r="V14" s="245" t="str">
        <f t="shared" si="1"/>
        <v>Normal</v>
      </c>
      <c r="W14" s="87">
        <f t="shared" si="2"/>
        <v>7.1999999999999995E-2</v>
      </c>
      <c r="X14" s="87">
        <f t="shared" si="3"/>
        <v>9.5435684647302899E-2</v>
      </c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K14" s="27">
        <f t="shared" si="4"/>
        <v>44697</v>
      </c>
      <c r="AL14" s="1" cm="1">
        <f t="array" ref="AL14">SUMIFS(calls_off_GUY,period_GUY,"&gt;="&amp;AK14,period_GUY,"&lt;"&amp;AK15)</f>
        <v>1812</v>
      </c>
      <c r="AM14" s="100" cm="1">
        <f t="array" ref="AM14">SUMIFS(calls_ans_GUY,period_GUY,"&gt;="&amp;AK14,period_GUY,"&lt;"&amp;AK15)</f>
        <v>1731</v>
      </c>
    </row>
    <row r="15" spans="1:41">
      <c r="A15" s="33">
        <v>44665</v>
      </c>
      <c r="B15" s="305">
        <f>IF(YEAR(Table9[[#This Row],[Date]]) = 2022, WEEKNUM(Table9[[#This Row],[Date]])-13, WEEKNUM(Table9[[#This Row],[Date]])+40)</f>
        <v>3</v>
      </c>
      <c r="C15" s="35" t="s">
        <v>51</v>
      </c>
      <c r="D15" s="35" t="s">
        <v>59</v>
      </c>
      <c r="E15" s="1">
        <v>238</v>
      </c>
      <c r="F15" s="1">
        <v>236</v>
      </c>
      <c r="G15" s="67">
        <v>-9.5057034220532313E-2</v>
      </c>
      <c r="H15" s="67">
        <v>-6.7193675889328064E-2</v>
      </c>
      <c r="I15" s="1">
        <v>2991</v>
      </c>
      <c r="J15" s="1">
        <v>2912</v>
      </c>
      <c r="K15" s="1">
        <v>2991</v>
      </c>
      <c r="L15" s="1">
        <v>2912</v>
      </c>
      <c r="M15" s="18">
        <v>0.9</v>
      </c>
      <c r="N15" s="18">
        <v>0.01</v>
      </c>
      <c r="O15" s="18">
        <v>0.99</v>
      </c>
      <c r="P15" s="18">
        <v>0.71</v>
      </c>
      <c r="Q15" s="22">
        <v>1</v>
      </c>
      <c r="R15" s="230">
        <v>0</v>
      </c>
      <c r="S15" s="230">
        <v>0</v>
      </c>
      <c r="T15" s="240">
        <v>0</v>
      </c>
      <c r="U15" s="245" t="str">
        <f t="shared" si="0"/>
        <v>Normal</v>
      </c>
      <c r="V15" s="245" t="str">
        <f t="shared" si="1"/>
        <v>Normal</v>
      </c>
      <c r="W15" s="87">
        <f t="shared" si="2"/>
        <v>-9.5057034220532313E-2</v>
      </c>
      <c r="X15" s="87">
        <f t="shared" si="3"/>
        <v>-6.7193675889328064E-2</v>
      </c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K15" s="27">
        <f t="shared" si="4"/>
        <v>44704</v>
      </c>
      <c r="AL15" s="1" cm="1">
        <f t="array" ref="AL15">SUMIFS(calls_off_GUY,period_GUY,"&gt;="&amp;AK15,period_GUY,"&lt;"&amp;AK16)</f>
        <v>1782</v>
      </c>
      <c r="AM15" s="100" cm="1">
        <f t="array" ref="AM15">SUMIFS(calls_ans_GUY,period_GUY,"&gt;="&amp;AK15,period_GUY,"&lt;"&amp;AK16)</f>
        <v>1724</v>
      </c>
    </row>
    <row r="16" spans="1:41">
      <c r="A16" s="33">
        <v>44666</v>
      </c>
      <c r="B16" s="305">
        <f>IF(YEAR(Table9[[#This Row],[Date]]) = 2022, WEEKNUM(Table9[[#This Row],[Date]])-13, WEEKNUM(Table9[[#This Row],[Date]])+40)</f>
        <v>3</v>
      </c>
      <c r="C16" s="35" t="s">
        <v>63</v>
      </c>
      <c r="D16" s="35" t="s">
        <v>59</v>
      </c>
      <c r="E16" s="1">
        <v>0</v>
      </c>
      <c r="F16" s="1">
        <v>0</v>
      </c>
      <c r="G16" s="67">
        <v>0</v>
      </c>
      <c r="H16" s="67">
        <v>0</v>
      </c>
      <c r="I16" s="1">
        <v>0</v>
      </c>
      <c r="J16" s="1">
        <v>0</v>
      </c>
      <c r="K16" s="1">
        <v>0</v>
      </c>
      <c r="L16" s="1">
        <v>0</v>
      </c>
      <c r="M16" s="18">
        <v>0</v>
      </c>
      <c r="N16" s="18">
        <v>0</v>
      </c>
      <c r="O16" s="18">
        <v>0</v>
      </c>
      <c r="P16" s="18">
        <v>0</v>
      </c>
      <c r="Q16" s="22">
        <v>0</v>
      </c>
      <c r="R16" s="230">
        <v>0</v>
      </c>
      <c r="S16" s="230">
        <v>0</v>
      </c>
      <c r="T16" s="240">
        <v>0</v>
      </c>
      <c r="U16" s="245" t="str">
        <f t="shared" si="0"/>
        <v>Normal</v>
      </c>
      <c r="V16" s="245" t="str">
        <f t="shared" si="1"/>
        <v>Normal</v>
      </c>
      <c r="W16" s="87">
        <f t="shared" si="2"/>
        <v>0</v>
      </c>
      <c r="X16" s="87">
        <f t="shared" si="3"/>
        <v>0</v>
      </c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K16" s="27">
        <f t="shared" si="4"/>
        <v>44711</v>
      </c>
      <c r="AL16" s="1" cm="1">
        <f t="array" ref="AL16">SUMIFS(calls_off_GUY,period_GUY,"&gt;="&amp;AK16,period_GUY,"&lt;"&amp;AK17)</f>
        <v>1923</v>
      </c>
      <c r="AM16" s="100" cm="1">
        <f t="array" ref="AM16">SUMIFS(calls_ans_GUY,period_GUY,"&gt;="&amp;AK16,period_GUY,"&lt;"&amp;AK17)</f>
        <v>1846</v>
      </c>
    </row>
    <row r="17" spans="1:39">
      <c r="A17" s="33">
        <v>44667</v>
      </c>
      <c r="B17" s="305">
        <f>IF(YEAR(Table9[[#This Row],[Date]]) = 2022, WEEKNUM(Table9[[#This Row],[Date]])-13, WEEKNUM(Table9[[#This Row],[Date]])+40)</f>
        <v>3</v>
      </c>
      <c r="C17" s="35" t="s">
        <v>53</v>
      </c>
      <c r="D17" s="35" t="s">
        <v>59</v>
      </c>
      <c r="E17" s="1">
        <v>181</v>
      </c>
      <c r="F17" s="1">
        <v>181</v>
      </c>
      <c r="G17" s="67">
        <v>2.8409090909090908E-2</v>
      </c>
      <c r="H17" s="67">
        <v>6.4705882352941183E-2</v>
      </c>
      <c r="I17" s="1">
        <v>3172</v>
      </c>
      <c r="J17" s="1">
        <v>3093</v>
      </c>
      <c r="K17" s="1">
        <v>3172</v>
      </c>
      <c r="L17" s="1">
        <v>3093</v>
      </c>
      <c r="M17" s="18">
        <v>0.94</v>
      </c>
      <c r="N17" s="18">
        <v>0</v>
      </c>
      <c r="O17" s="18">
        <v>1</v>
      </c>
      <c r="P17" s="18">
        <v>0.66</v>
      </c>
      <c r="Q17" s="22">
        <v>1</v>
      </c>
      <c r="R17" s="230">
        <v>0</v>
      </c>
      <c r="S17" s="230">
        <v>0</v>
      </c>
      <c r="T17" s="240">
        <v>0</v>
      </c>
      <c r="U17" s="245" t="str">
        <f t="shared" si="0"/>
        <v>Normal</v>
      </c>
      <c r="V17" s="245" t="str">
        <f t="shared" si="1"/>
        <v>Normal</v>
      </c>
      <c r="W17" s="87">
        <f t="shared" si="2"/>
        <v>2.8409090909090908E-2</v>
      </c>
      <c r="X17" s="87">
        <f t="shared" si="3"/>
        <v>6.4705882352941183E-2</v>
      </c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K17" s="27">
        <f t="shared" si="4"/>
        <v>44718</v>
      </c>
      <c r="AL17" s="1" cm="1">
        <f t="array" ref="AL17">SUMIFS(calls_off_GUY,period_GUY,"&gt;="&amp;AK17,period_GUY,"&lt;"&amp;AK18)</f>
        <v>1523</v>
      </c>
      <c r="AM17" s="100" cm="1">
        <f t="array" ref="AM17">SUMIFS(calls_ans_GUY,period_GUY,"&gt;="&amp;AK17,period_GUY,"&lt;"&amp;AK18)</f>
        <v>1484</v>
      </c>
    </row>
    <row r="18" spans="1:39">
      <c r="A18" s="27">
        <v>44668</v>
      </c>
      <c r="B18" s="306">
        <f>IF(YEAR(Table9[[#This Row],[Date]]) = 2022, WEEKNUM(Table9[[#This Row],[Date]])-13, WEEKNUM(Table9[[#This Row],[Date]])+40)</f>
        <v>4</v>
      </c>
      <c r="C18" s="35" t="s">
        <v>47</v>
      </c>
      <c r="D18" s="35" t="s">
        <v>59</v>
      </c>
      <c r="E18" s="1">
        <v>0</v>
      </c>
      <c r="F18" s="1">
        <v>0</v>
      </c>
      <c r="G18" s="67">
        <v>0</v>
      </c>
      <c r="H18" s="67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22">
        <v>0</v>
      </c>
      <c r="R18" s="230">
        <v>0</v>
      </c>
      <c r="S18" s="230">
        <v>0</v>
      </c>
      <c r="T18" s="240">
        <v>0</v>
      </c>
      <c r="U18" s="245" t="str">
        <f t="shared" si="0"/>
        <v>Normal</v>
      </c>
      <c r="V18" s="245" t="str">
        <f t="shared" si="1"/>
        <v>Normal</v>
      </c>
      <c r="W18" s="87">
        <f t="shared" si="2"/>
        <v>0</v>
      </c>
      <c r="X18" s="87">
        <f t="shared" si="3"/>
        <v>0</v>
      </c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K18" s="27">
        <f t="shared" si="4"/>
        <v>44725</v>
      </c>
      <c r="AL18" s="1" cm="1">
        <f t="array" ref="AL18">SUMIFS(calls_off_GUY,period_GUY,"&gt;="&amp;AK18,period_GUY,"&lt;"&amp;AK19)</f>
        <v>1710</v>
      </c>
      <c r="AM18" s="100" cm="1">
        <f t="array" ref="AM18">SUMIFS(calls_ans_GUY,period_GUY,"&gt;="&amp;AK18,period_GUY,"&lt;"&amp;AK19)</f>
        <v>1647</v>
      </c>
    </row>
    <row r="19" spans="1:39">
      <c r="A19" s="33">
        <v>44669</v>
      </c>
      <c r="B19" s="305">
        <f>IF(YEAR(Table9[[#This Row],[Date]]) = 2022, WEEKNUM(Table9[[#This Row],[Date]])-13, WEEKNUM(Table9[[#This Row],[Date]])+40)</f>
        <v>4</v>
      </c>
      <c r="C19" s="35" t="s">
        <v>63</v>
      </c>
      <c r="D19" s="35" t="s">
        <v>59</v>
      </c>
      <c r="E19" s="1">
        <v>0</v>
      </c>
      <c r="F19" s="1">
        <v>0</v>
      </c>
      <c r="G19" s="67">
        <v>0</v>
      </c>
      <c r="H19" s="67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22">
        <v>0</v>
      </c>
      <c r="R19" s="230">
        <v>0</v>
      </c>
      <c r="S19" s="230">
        <v>0</v>
      </c>
      <c r="T19" s="240">
        <v>0</v>
      </c>
      <c r="U19" s="245" t="str">
        <f t="shared" si="0"/>
        <v>Normal</v>
      </c>
      <c r="V19" s="245" t="str">
        <f t="shared" si="1"/>
        <v>Normal</v>
      </c>
      <c r="W19" s="87">
        <f t="shared" si="2"/>
        <v>0</v>
      </c>
      <c r="X19" s="87">
        <f t="shared" si="3"/>
        <v>0</v>
      </c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K19" s="27">
        <f t="shared" si="4"/>
        <v>44732</v>
      </c>
      <c r="AL19" s="1" cm="1">
        <f t="array" ref="AL19">SUMIFS(calls_off_GUY,period_GUY,"&gt;="&amp;AK19,period_GUY,"&lt;"&amp;AK20)</f>
        <v>1990</v>
      </c>
      <c r="AM19" s="100" cm="1">
        <f t="array" ref="AM19">SUMIFS(calls_ans_GUY,period_GUY,"&gt;="&amp;AK19,period_GUY,"&lt;"&amp;AK20)</f>
        <v>1947</v>
      </c>
    </row>
    <row r="20" spans="1:39">
      <c r="A20" s="33">
        <v>44670</v>
      </c>
      <c r="B20" s="305">
        <f>IF(YEAR(Table9[[#This Row],[Date]]) = 2022, WEEKNUM(Table9[[#This Row],[Date]])-13, WEEKNUM(Table9[[#This Row],[Date]])+40)</f>
        <v>4</v>
      </c>
      <c r="C20" s="35" t="s">
        <v>49</v>
      </c>
      <c r="D20" s="35" t="s">
        <v>59</v>
      </c>
      <c r="E20" s="1">
        <v>342</v>
      </c>
      <c r="F20" s="1">
        <v>337</v>
      </c>
      <c r="G20" s="67">
        <v>0.38461538461538464</v>
      </c>
      <c r="H20" s="67">
        <v>0.39834024896265557</v>
      </c>
      <c r="I20" s="1">
        <v>3514</v>
      </c>
      <c r="J20" s="1">
        <v>3430</v>
      </c>
      <c r="K20" s="1">
        <v>3514</v>
      </c>
      <c r="L20" s="1">
        <v>3430</v>
      </c>
      <c r="M20" s="18">
        <v>0.89</v>
      </c>
      <c r="N20" s="18">
        <v>0.01</v>
      </c>
      <c r="O20" s="18">
        <v>0.99</v>
      </c>
      <c r="P20" s="18">
        <v>0.83</v>
      </c>
      <c r="Q20" s="22">
        <v>1</v>
      </c>
      <c r="R20" s="230">
        <v>0</v>
      </c>
      <c r="S20" s="230">
        <v>0</v>
      </c>
      <c r="T20" s="240">
        <v>0</v>
      </c>
      <c r="U20" s="245" t="str">
        <f t="shared" si="0"/>
        <v>Normal</v>
      </c>
      <c r="V20" s="245" t="str">
        <f t="shared" si="1"/>
        <v>Normal</v>
      </c>
      <c r="W20" s="87">
        <f t="shared" si="2"/>
        <v>0.38461538461538464</v>
      </c>
      <c r="X20" s="87">
        <f t="shared" si="3"/>
        <v>0.39834024896265557</v>
      </c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K20" s="27">
        <f t="shared" si="4"/>
        <v>44739</v>
      </c>
      <c r="AL20" s="1" cm="1">
        <f t="array" ref="AL20">SUMIFS(calls_off_GUY,period_GUY,"&gt;="&amp;AK20,period_GUY,"&lt;"&amp;AK21)</f>
        <v>1881</v>
      </c>
      <c r="AM20" s="100" cm="1">
        <f t="array" ref="AM20">SUMIFS(calls_ans_GUY,period_GUY,"&gt;="&amp;AK20,period_GUY,"&lt;"&amp;AK21)</f>
        <v>1825</v>
      </c>
    </row>
    <row r="21" spans="1:39">
      <c r="A21" s="33">
        <v>44671</v>
      </c>
      <c r="B21" s="305">
        <f>IF(YEAR(Table9[[#This Row],[Date]]) = 2022, WEEKNUM(Table9[[#This Row],[Date]])-13, WEEKNUM(Table9[[#This Row],[Date]])+40)</f>
        <v>4</v>
      </c>
      <c r="C21" s="35" t="s">
        <v>50</v>
      </c>
      <c r="D21" s="35" t="s">
        <v>59</v>
      </c>
      <c r="E21" s="1">
        <v>296</v>
      </c>
      <c r="F21" s="1">
        <v>289</v>
      </c>
      <c r="G21" s="67">
        <v>0.1044776119402985</v>
      </c>
      <c r="H21" s="67">
        <v>9.4696969696969696E-2</v>
      </c>
      <c r="I21" s="1">
        <v>3810</v>
      </c>
      <c r="J21" s="1">
        <v>3719</v>
      </c>
      <c r="K21" s="1">
        <v>3810</v>
      </c>
      <c r="L21" s="1">
        <v>3719</v>
      </c>
      <c r="M21" s="18">
        <v>0.88</v>
      </c>
      <c r="N21" s="18">
        <v>0.02</v>
      </c>
      <c r="O21" s="18">
        <v>0.98</v>
      </c>
      <c r="P21" s="18">
        <v>0.76</v>
      </c>
      <c r="Q21" s="22">
        <v>1</v>
      </c>
      <c r="R21" s="230">
        <v>0</v>
      </c>
      <c r="S21" s="230">
        <v>0</v>
      </c>
      <c r="T21" s="240">
        <v>0</v>
      </c>
      <c r="U21" s="245" t="str">
        <f t="shared" si="0"/>
        <v>Normal</v>
      </c>
      <c r="V21" s="245" t="str">
        <f t="shared" si="1"/>
        <v>Normal</v>
      </c>
      <c r="W21" s="87">
        <f t="shared" si="2"/>
        <v>0.1044776119402985</v>
      </c>
      <c r="X21" s="87">
        <f t="shared" si="3"/>
        <v>9.4696969696969696E-2</v>
      </c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K21" s="27">
        <f>AK20+7</f>
        <v>44746</v>
      </c>
      <c r="AL21" s="1" cm="1">
        <f t="array" ref="AL21">SUMIFS(calls_off_GUY,period_GUY,"&gt;="&amp;AK21,period_GUY,"&lt;"&amp;AK22)</f>
        <v>1307</v>
      </c>
      <c r="AM21" s="100" cm="1">
        <f t="array" ref="AM21">SUMIFS(calls_ans_GUY,period_GUY,"&gt;="&amp;AK21,period_GUY,"&lt;"&amp;AK22)</f>
        <v>1270</v>
      </c>
    </row>
    <row r="22" spans="1:39">
      <c r="A22" s="33">
        <v>44672</v>
      </c>
      <c r="B22" s="305">
        <f>IF(YEAR(Table9[[#This Row],[Date]]) = 2022, WEEKNUM(Table9[[#This Row],[Date]])-13, WEEKNUM(Table9[[#This Row],[Date]])+40)</f>
        <v>4</v>
      </c>
      <c r="C22" s="35" t="s">
        <v>51</v>
      </c>
      <c r="D22" s="35" t="s">
        <v>59</v>
      </c>
      <c r="E22" s="1">
        <v>249</v>
      </c>
      <c r="F22" s="1">
        <v>247</v>
      </c>
      <c r="G22" s="67">
        <v>4.6218487394957986E-2</v>
      </c>
      <c r="H22" s="67">
        <v>4.6610169491525424E-2</v>
      </c>
      <c r="I22" s="1">
        <v>4059</v>
      </c>
      <c r="J22" s="1">
        <v>3966</v>
      </c>
      <c r="K22" s="1">
        <v>4059</v>
      </c>
      <c r="L22" s="1">
        <v>3966</v>
      </c>
      <c r="M22" s="18">
        <v>0.89</v>
      </c>
      <c r="N22" s="18">
        <v>0.01</v>
      </c>
      <c r="O22" s="18">
        <v>0.99</v>
      </c>
      <c r="P22" s="18">
        <v>0.66</v>
      </c>
      <c r="Q22" s="22">
        <v>1</v>
      </c>
      <c r="R22" s="230">
        <v>0</v>
      </c>
      <c r="S22" s="230">
        <v>0</v>
      </c>
      <c r="T22" s="240">
        <v>0</v>
      </c>
      <c r="U22" s="245" t="str">
        <f t="shared" si="0"/>
        <v>Normal</v>
      </c>
      <c r="V22" s="245" t="str">
        <f t="shared" si="1"/>
        <v>Normal</v>
      </c>
      <c r="W22" s="87">
        <f t="shared" si="2"/>
        <v>4.6218487394957986E-2</v>
      </c>
      <c r="X22" s="87">
        <f t="shared" si="3"/>
        <v>4.6610169491525424E-2</v>
      </c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K22" s="27">
        <f t="shared" si="4"/>
        <v>44753</v>
      </c>
      <c r="AL22" s="1" cm="1">
        <f t="array" ref="AL22">SUMIFS(calls_off_GUY,period_GUY,"&gt;="&amp;AK22,period_GUY,"&lt;"&amp;AK23)</f>
        <v>1909</v>
      </c>
      <c r="AM22" s="100" cm="1">
        <f t="array" ref="AM22">SUMIFS(calls_ans_GUY,period_GUY,"&gt;="&amp;AK22,period_GUY,"&lt;"&amp;AK23)</f>
        <v>1869</v>
      </c>
    </row>
    <row r="23" spans="1:39">
      <c r="A23" s="33">
        <v>44673</v>
      </c>
      <c r="B23" s="305">
        <f>IF(YEAR(Table9[[#This Row],[Date]]) = 2022, WEEKNUM(Table9[[#This Row],[Date]])-13, WEEKNUM(Table9[[#This Row],[Date]])+40)</f>
        <v>4</v>
      </c>
      <c r="C23" s="35" t="s">
        <v>52</v>
      </c>
      <c r="D23" s="35" t="s">
        <v>59</v>
      </c>
      <c r="E23" s="1">
        <v>267</v>
      </c>
      <c r="F23" s="1">
        <v>258</v>
      </c>
      <c r="G23" s="67">
        <v>0</v>
      </c>
      <c r="H23" s="67">
        <v>0</v>
      </c>
      <c r="I23" s="1">
        <v>4326</v>
      </c>
      <c r="J23" s="1">
        <v>4224</v>
      </c>
      <c r="K23" s="1">
        <v>4326</v>
      </c>
      <c r="L23" s="1">
        <v>4224</v>
      </c>
      <c r="M23" s="18">
        <v>0.82</v>
      </c>
      <c r="N23" s="18">
        <v>0.03</v>
      </c>
      <c r="O23" s="18">
        <v>0.97</v>
      </c>
      <c r="P23" s="18">
        <v>0.66</v>
      </c>
      <c r="Q23" s="22">
        <v>1</v>
      </c>
      <c r="R23" s="230">
        <v>0</v>
      </c>
      <c r="S23" s="230">
        <v>0</v>
      </c>
      <c r="T23" s="240">
        <v>0</v>
      </c>
      <c r="U23" s="245" t="str">
        <f t="shared" si="0"/>
        <v>Normal</v>
      </c>
      <c r="V23" s="245" t="str">
        <f t="shared" si="1"/>
        <v>Normal</v>
      </c>
      <c r="W23" s="87">
        <f t="shared" si="2"/>
        <v>0</v>
      </c>
      <c r="X23" s="87">
        <f t="shared" si="3"/>
        <v>0</v>
      </c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K23" s="27">
        <f t="shared" ref="AK23:AK59" si="5">AK22+7</f>
        <v>44760</v>
      </c>
      <c r="AL23" s="1" cm="1">
        <f t="array" ref="AL23">SUMIFS(calls_off_GUY,period_GUY,"&gt;="&amp;AK23,period_GUY,"&lt;"&amp;AK24)</f>
        <v>2040</v>
      </c>
      <c r="AM23" s="100" cm="1">
        <f t="array" ref="AM23">SUMIFS(calls_ans_GUY,period_GUY,"&gt;="&amp;AK23,period_GUY,"&lt;"&amp;AK24)</f>
        <v>1970</v>
      </c>
    </row>
    <row r="24" spans="1:39">
      <c r="A24" s="33">
        <v>44674</v>
      </c>
      <c r="B24" s="305">
        <f>IF(YEAR(Table9[[#This Row],[Date]]) = 2022, WEEKNUM(Table9[[#This Row],[Date]])-13, WEEKNUM(Table9[[#This Row],[Date]])+40)</f>
        <v>4</v>
      </c>
      <c r="C24" s="35" t="s">
        <v>53</v>
      </c>
      <c r="D24" s="35" t="s">
        <v>59</v>
      </c>
      <c r="E24" s="1">
        <v>173</v>
      </c>
      <c r="F24" s="1">
        <v>169</v>
      </c>
      <c r="G24" s="67">
        <v>-4.4198895027624308E-2</v>
      </c>
      <c r="H24" s="67">
        <v>-6.6298342541436461E-2</v>
      </c>
      <c r="I24" s="1">
        <v>4499</v>
      </c>
      <c r="J24" s="1">
        <v>4393</v>
      </c>
      <c r="K24" s="1">
        <v>4499</v>
      </c>
      <c r="L24" s="1">
        <v>4393</v>
      </c>
      <c r="M24" s="18">
        <v>0.89</v>
      </c>
      <c r="N24" s="18">
        <v>0.02</v>
      </c>
      <c r="O24" s="18">
        <v>0.98</v>
      </c>
      <c r="P24" s="18">
        <v>0.66</v>
      </c>
      <c r="Q24" s="22">
        <v>1</v>
      </c>
      <c r="R24" s="230">
        <v>0</v>
      </c>
      <c r="S24" s="230">
        <v>0</v>
      </c>
      <c r="T24" s="240">
        <v>0</v>
      </c>
      <c r="U24" s="245" t="str">
        <f t="shared" si="0"/>
        <v>Normal</v>
      </c>
      <c r="V24" s="245" t="str">
        <f t="shared" si="1"/>
        <v>Normal</v>
      </c>
      <c r="W24" s="87">
        <f t="shared" si="2"/>
        <v>-4.4198895027624308E-2</v>
      </c>
      <c r="X24" s="87">
        <f t="shared" si="3"/>
        <v>-6.6298342541436461E-2</v>
      </c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K24" s="33">
        <f t="shared" si="5"/>
        <v>44767</v>
      </c>
      <c r="AL24" s="38" cm="1">
        <f t="array" ref="AL24">SUMIFS(calls_off_GUY,period_GUY,"&gt;="&amp;AK24,period_GUY,"&lt;"&amp;AK25)</f>
        <v>2049</v>
      </c>
      <c r="AM24" s="98" cm="1">
        <f t="array" ref="AM24">SUMIFS(calls_ans_GUY,period_GUY,"&gt;="&amp;AK24,period_GUY,"&lt;"&amp;AK25)</f>
        <v>1989</v>
      </c>
    </row>
    <row r="25" spans="1:39">
      <c r="A25" s="27">
        <v>44675</v>
      </c>
      <c r="B25" s="306">
        <f>IF(YEAR(Table9[[#This Row],[Date]]) = 2022, WEEKNUM(Table9[[#This Row],[Date]])-13, WEEKNUM(Table9[[#This Row],[Date]])+40)</f>
        <v>5</v>
      </c>
      <c r="C25" s="35" t="s">
        <v>47</v>
      </c>
      <c r="D25" s="35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22">
        <v>0</v>
      </c>
      <c r="R25" s="230">
        <v>0</v>
      </c>
      <c r="S25" s="230">
        <v>0</v>
      </c>
      <c r="T25" s="240">
        <v>0</v>
      </c>
      <c r="U25" s="245" t="str">
        <f t="shared" si="0"/>
        <v>Normal</v>
      </c>
      <c r="V25" s="245" t="str">
        <f t="shared" si="1"/>
        <v>Normal</v>
      </c>
      <c r="W25" s="87">
        <f t="shared" si="2"/>
        <v>0</v>
      </c>
      <c r="X25" s="87">
        <f t="shared" si="3"/>
        <v>0</v>
      </c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K25" s="33">
        <f t="shared" si="5"/>
        <v>44774</v>
      </c>
      <c r="AL25" s="1" cm="1">
        <f t="array" ref="AL25">SUMIFS(calls_off_GUY,period_GUY,"&gt;="&amp;AK25,period_GUY,"&lt;"&amp;AK26)</f>
        <v>1624</v>
      </c>
      <c r="AM25" s="100" cm="1">
        <f t="array" ref="AM25">SUMIFS(calls_ans_GUY,period_GUY,"&gt;="&amp;AK25,period_GUY,"&lt;"&amp;AK26)</f>
        <v>1569</v>
      </c>
    </row>
    <row r="26" spans="1:39">
      <c r="A26" s="33">
        <v>44676</v>
      </c>
      <c r="B26" s="305">
        <f>IF(YEAR(Table9[[#This Row],[Date]]) = 2022, WEEKNUM(Table9[[#This Row],[Date]])-13, WEEKNUM(Table9[[#This Row],[Date]])+40)</f>
        <v>5</v>
      </c>
      <c r="C26" s="35" t="s">
        <v>48</v>
      </c>
      <c r="D26" s="35" t="s">
        <v>59</v>
      </c>
      <c r="E26" s="1">
        <v>291</v>
      </c>
      <c r="F26" s="1">
        <v>284</v>
      </c>
      <c r="G26" s="67">
        <v>0</v>
      </c>
      <c r="H26" s="67">
        <v>0</v>
      </c>
      <c r="I26" s="1">
        <v>4790</v>
      </c>
      <c r="J26" s="1">
        <v>4677</v>
      </c>
      <c r="K26" s="1">
        <v>4790</v>
      </c>
      <c r="L26" s="1">
        <v>4677</v>
      </c>
      <c r="M26" s="18">
        <v>0.93</v>
      </c>
      <c r="N26" s="18">
        <v>0.02</v>
      </c>
      <c r="O26" s="18">
        <v>0.98</v>
      </c>
      <c r="P26" s="18">
        <v>0.59</v>
      </c>
      <c r="Q26" s="22">
        <v>0.99</v>
      </c>
      <c r="R26" s="230">
        <v>0</v>
      </c>
      <c r="S26" s="230">
        <v>0</v>
      </c>
      <c r="T26" s="240">
        <v>0</v>
      </c>
      <c r="U26" s="245" t="str">
        <f t="shared" si="0"/>
        <v>Normal</v>
      </c>
      <c r="V26" s="245" t="str">
        <f t="shared" si="1"/>
        <v>Normal</v>
      </c>
      <c r="W26" s="87">
        <f t="shared" si="2"/>
        <v>0</v>
      </c>
      <c r="X26" s="87">
        <f t="shared" si="3"/>
        <v>0</v>
      </c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K26" s="33">
        <f t="shared" si="5"/>
        <v>44781</v>
      </c>
      <c r="AL26" s="1" cm="1">
        <f t="array" ref="AL26">SUMIFS(calls_off_GUY,period_GUY,"&gt;="&amp;AK26,period_GUY,"&lt;"&amp;AK27)</f>
        <v>2170</v>
      </c>
      <c r="AM26" s="100" cm="1">
        <f t="array" ref="AM26">SUMIFS(calls_ans_GUY,period_GUY,"&gt;="&amp;AK26,period_GUY,"&lt;"&amp;AK27)</f>
        <v>2074</v>
      </c>
    </row>
    <row r="27" spans="1:39">
      <c r="A27" s="33">
        <v>44677</v>
      </c>
      <c r="B27" s="305">
        <f>IF(YEAR(Table9[[#This Row],[Date]]) = 2022, WEEKNUM(Table9[[#This Row],[Date]])-13, WEEKNUM(Table9[[#This Row],[Date]])+40)</f>
        <v>5</v>
      </c>
      <c r="C27" s="35" t="s">
        <v>49</v>
      </c>
      <c r="D27" s="35" t="s">
        <v>59</v>
      </c>
      <c r="E27" s="1">
        <v>352</v>
      </c>
      <c r="F27" s="1">
        <v>314</v>
      </c>
      <c r="G27" s="67">
        <v>2.9239766081871343E-2</v>
      </c>
      <c r="H27" s="67">
        <v>-6.8249258160237386E-2</v>
      </c>
      <c r="I27" s="1">
        <v>5142</v>
      </c>
      <c r="J27" s="1">
        <v>4991</v>
      </c>
      <c r="K27" s="1">
        <v>5142</v>
      </c>
      <c r="L27" s="1">
        <v>4991</v>
      </c>
      <c r="M27" s="18">
        <v>0.78</v>
      </c>
      <c r="N27" s="18">
        <v>0.11</v>
      </c>
      <c r="O27" s="18">
        <v>0.89</v>
      </c>
      <c r="P27" s="18">
        <v>0.71</v>
      </c>
      <c r="Q27" s="22">
        <v>1</v>
      </c>
      <c r="R27" s="230">
        <v>0</v>
      </c>
      <c r="S27" s="230">
        <v>0</v>
      </c>
      <c r="T27" s="240">
        <v>0</v>
      </c>
      <c r="U27" s="245" t="str">
        <f t="shared" si="0"/>
        <v>Normal</v>
      </c>
      <c r="V27" s="245" t="str">
        <f t="shared" si="1"/>
        <v>Normal</v>
      </c>
      <c r="W27" s="87">
        <f t="shared" si="2"/>
        <v>2.9239766081871343E-2</v>
      </c>
      <c r="X27" s="87">
        <f t="shared" si="3"/>
        <v>-6.8249258160237386E-2</v>
      </c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K27" s="33">
        <f t="shared" si="5"/>
        <v>44788</v>
      </c>
      <c r="AL27" s="1" cm="1">
        <f t="array" ref="AL27">SUMIFS(calls_off_GUY,period_GUY,"&gt;="&amp;AK27,period_GUY,"&lt;"&amp;AK28)</f>
        <v>2014</v>
      </c>
      <c r="AM27" s="100" cm="1">
        <f t="array" ref="AM27">SUMIFS(calls_ans_GUY,period_GUY,"&gt;="&amp;AK27,period_GUY,"&lt;"&amp;AK28)</f>
        <v>1937</v>
      </c>
    </row>
    <row r="28" spans="1:39">
      <c r="A28" s="33">
        <v>44678</v>
      </c>
      <c r="B28" s="305">
        <f>IF(YEAR(Table9[[#This Row],[Date]]) = 2022, WEEKNUM(Table9[[#This Row],[Date]])-13, WEEKNUM(Table9[[#This Row],[Date]])+40)</f>
        <v>5</v>
      </c>
      <c r="C28" s="35" t="s">
        <v>50</v>
      </c>
      <c r="D28" s="35" t="s">
        <v>59</v>
      </c>
      <c r="E28" s="1">
        <v>352</v>
      </c>
      <c r="F28" s="1">
        <v>336</v>
      </c>
      <c r="G28" s="67">
        <v>0.1891891891891892</v>
      </c>
      <c r="H28" s="67">
        <v>0.16262975778546712</v>
      </c>
      <c r="I28" s="1">
        <v>5494</v>
      </c>
      <c r="J28" s="1">
        <v>5327</v>
      </c>
      <c r="K28" s="1">
        <v>5494</v>
      </c>
      <c r="L28" s="1">
        <v>5327</v>
      </c>
      <c r="M28" s="18">
        <v>0.77</v>
      </c>
      <c r="N28" s="18">
        <v>0.05</v>
      </c>
      <c r="O28" s="18">
        <v>0.95</v>
      </c>
      <c r="P28" s="18">
        <v>0.68</v>
      </c>
      <c r="Q28" s="22">
        <v>1</v>
      </c>
      <c r="R28" s="230">
        <v>0</v>
      </c>
      <c r="S28" s="230">
        <v>0</v>
      </c>
      <c r="T28" s="240">
        <v>0</v>
      </c>
      <c r="U28" s="245" t="str">
        <f t="shared" si="0"/>
        <v>Normal</v>
      </c>
      <c r="V28" s="245" t="str">
        <f t="shared" si="1"/>
        <v>Normal</v>
      </c>
      <c r="W28" s="87">
        <f t="shared" si="2"/>
        <v>0.1891891891891892</v>
      </c>
      <c r="X28" s="87">
        <f t="shared" si="3"/>
        <v>0.16262975778546712</v>
      </c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K28" s="33">
        <f t="shared" si="5"/>
        <v>44795</v>
      </c>
      <c r="AL28" s="1" cm="1">
        <f t="array" ref="AL28">SUMIFS(calls_off_GUY,period_GUY,"&gt;="&amp;AK28,period_GUY,"&lt;"&amp;AK29)</f>
        <v>2432</v>
      </c>
      <c r="AM28" s="100" cm="1">
        <f t="array" ref="AM28">SUMIFS(calls_ans_GUY,period_GUY,"&gt;="&amp;AK28,period_GUY,"&lt;"&amp;AK29)</f>
        <v>2331</v>
      </c>
    </row>
    <row r="29" spans="1:39">
      <c r="A29" s="33">
        <v>44679</v>
      </c>
      <c r="B29" s="305">
        <f>IF(YEAR(Table9[[#This Row],[Date]]) = 2022, WEEKNUM(Table9[[#This Row],[Date]])-13, WEEKNUM(Table9[[#This Row],[Date]])+40)</f>
        <v>5</v>
      </c>
      <c r="C29" s="35" t="s">
        <v>51</v>
      </c>
      <c r="D29" s="35" t="s">
        <v>59</v>
      </c>
      <c r="E29" s="1">
        <v>305</v>
      </c>
      <c r="F29" s="1">
        <v>292</v>
      </c>
      <c r="G29" s="67">
        <v>0.22489959839357429</v>
      </c>
      <c r="H29" s="67">
        <v>0.18218623481781376</v>
      </c>
      <c r="I29" s="1">
        <v>5799</v>
      </c>
      <c r="J29" s="1">
        <v>5619</v>
      </c>
      <c r="K29" s="1">
        <v>5799</v>
      </c>
      <c r="L29" s="1">
        <v>5619</v>
      </c>
      <c r="M29" s="18">
        <v>0.89</v>
      </c>
      <c r="N29" s="18">
        <v>0.04</v>
      </c>
      <c r="O29" s="18">
        <v>0.96</v>
      </c>
      <c r="P29" s="18">
        <v>0.72</v>
      </c>
      <c r="Q29" s="22">
        <v>1</v>
      </c>
      <c r="R29" s="230">
        <v>0</v>
      </c>
      <c r="S29" s="230">
        <v>0</v>
      </c>
      <c r="T29" s="240">
        <v>0</v>
      </c>
      <c r="U29" s="245" t="str">
        <f t="shared" si="0"/>
        <v>Normal</v>
      </c>
      <c r="V29" s="245" t="str">
        <f t="shared" si="1"/>
        <v>Normal</v>
      </c>
      <c r="W29" s="87">
        <f t="shared" si="2"/>
        <v>0.22489959839357429</v>
      </c>
      <c r="X29" s="87">
        <f t="shared" si="3"/>
        <v>0.18218623481781376</v>
      </c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K29" s="33">
        <f t="shared" si="5"/>
        <v>44802</v>
      </c>
      <c r="AL29" s="1" cm="1">
        <f t="array" ref="AL29">SUMIFS(calls_off_GUY,period_GUY,"&gt;="&amp;AK29,period_GUY,"&lt;"&amp;AK30)</f>
        <v>2671</v>
      </c>
      <c r="AM29" s="100" cm="1">
        <f t="array" ref="AM29">SUMIFS(calls_ans_GUY,period_GUY,"&gt;="&amp;AK29,period_GUY,"&lt;"&amp;AK30)</f>
        <v>2573</v>
      </c>
    </row>
    <row r="30" spans="1:39">
      <c r="A30" s="33">
        <v>44680</v>
      </c>
      <c r="B30" s="305">
        <f>IF(YEAR(Table9[[#This Row],[Date]]) = 2022, WEEKNUM(Table9[[#This Row],[Date]])-13, WEEKNUM(Table9[[#This Row],[Date]])+40)</f>
        <v>5</v>
      </c>
      <c r="C30" s="35" t="s">
        <v>52</v>
      </c>
      <c r="D30" s="35" t="s">
        <v>59</v>
      </c>
      <c r="E30" s="1">
        <v>323</v>
      </c>
      <c r="F30" s="1">
        <v>312</v>
      </c>
      <c r="G30" s="67">
        <v>0.20973782771535582</v>
      </c>
      <c r="H30" s="67">
        <v>0.20930232558139536</v>
      </c>
      <c r="I30" s="1">
        <v>6122</v>
      </c>
      <c r="J30" s="1">
        <v>5931</v>
      </c>
      <c r="K30" s="1">
        <v>6122</v>
      </c>
      <c r="L30" s="1">
        <v>5931</v>
      </c>
      <c r="M30" s="18">
        <v>0.81</v>
      </c>
      <c r="N30" s="18">
        <v>0.03</v>
      </c>
      <c r="O30" s="18">
        <v>0.97</v>
      </c>
      <c r="P30" s="18">
        <v>0.7</v>
      </c>
      <c r="Q30" s="22">
        <v>1</v>
      </c>
      <c r="R30" s="230">
        <v>0</v>
      </c>
      <c r="S30" s="230">
        <v>0</v>
      </c>
      <c r="T30" s="240">
        <v>0</v>
      </c>
      <c r="U30" s="245" t="str">
        <f t="shared" si="0"/>
        <v>Normal</v>
      </c>
      <c r="V30" s="245" t="str">
        <f t="shared" si="1"/>
        <v>Normal</v>
      </c>
      <c r="W30" s="87">
        <f t="shared" si="2"/>
        <v>0.20973782771535582</v>
      </c>
      <c r="X30" s="87">
        <f t="shared" si="3"/>
        <v>0.20930232558139536</v>
      </c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K30" s="33">
        <f t="shared" si="5"/>
        <v>44809</v>
      </c>
      <c r="AL30" s="1" cm="1">
        <f t="array" ref="AL30">SUMIFS(calls_off_GUY,period_GUY,"&gt;="&amp;AK30,period_GUY,"&lt;"&amp;AK31)</f>
        <v>2459</v>
      </c>
      <c r="AM30" s="100" cm="1">
        <f t="array" ref="AM30">SUMIFS(calls_ans_GUY,period_GUY,"&gt;="&amp;AK30,period_GUY,"&lt;"&amp;AK31)</f>
        <v>2352</v>
      </c>
    </row>
    <row r="31" spans="1:39">
      <c r="A31" s="33">
        <v>44681</v>
      </c>
      <c r="B31" s="305">
        <f>IF(YEAR(Table9[[#This Row],[Date]]) = 2022, WEEKNUM(Table9[[#This Row],[Date]])-13, WEEKNUM(Table9[[#This Row],[Date]])+40)</f>
        <v>5</v>
      </c>
      <c r="C31" s="35" t="s">
        <v>53</v>
      </c>
      <c r="D31" s="35" t="s">
        <v>59</v>
      </c>
      <c r="E31" s="1">
        <v>265</v>
      </c>
      <c r="F31" s="1">
        <v>254</v>
      </c>
      <c r="G31" s="67">
        <v>0.53179190751445082</v>
      </c>
      <c r="H31" s="67">
        <v>0.50295857988165682</v>
      </c>
      <c r="I31" s="1">
        <v>6387</v>
      </c>
      <c r="J31" s="1">
        <v>6185</v>
      </c>
      <c r="K31" s="1">
        <v>6387</v>
      </c>
      <c r="L31" s="1">
        <v>6185</v>
      </c>
      <c r="M31" s="18">
        <v>0.88</v>
      </c>
      <c r="N31" s="18">
        <v>0.04</v>
      </c>
      <c r="O31" s="18">
        <v>0.96</v>
      </c>
      <c r="P31" s="18">
        <v>0.57999999999999996</v>
      </c>
      <c r="Q31" s="22">
        <v>1</v>
      </c>
      <c r="R31" s="230">
        <v>0</v>
      </c>
      <c r="S31" s="230">
        <v>0</v>
      </c>
      <c r="T31" s="240">
        <v>0</v>
      </c>
      <c r="U31" s="245" t="str">
        <f t="shared" si="0"/>
        <v>Outlier</v>
      </c>
      <c r="V31" s="245" t="str">
        <f t="shared" si="1"/>
        <v>Outlier</v>
      </c>
      <c r="W31" s="87">
        <f t="shared" si="2"/>
        <v>0.53179190751445082</v>
      </c>
      <c r="X31" s="87">
        <f t="shared" si="3"/>
        <v>0.50295857988165682</v>
      </c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K31" s="33">
        <f t="shared" si="5"/>
        <v>44816</v>
      </c>
      <c r="AL31" s="1" cm="1">
        <f t="array" ref="AL31">SUMIFS(calls_off_GUY,period_GUY,"&gt;="&amp;AK31,period_GUY,"&lt;"&amp;AK32)</f>
        <v>2766</v>
      </c>
      <c r="AM31" s="100" cm="1">
        <f t="array" ref="AM31">SUMIFS(calls_ans_GUY,period_GUY,"&gt;="&amp;AK31,period_GUY,"&lt;"&amp;AK32)</f>
        <v>2625</v>
      </c>
    </row>
    <row r="32" spans="1:39">
      <c r="A32" s="27">
        <v>44682</v>
      </c>
      <c r="B32" s="306">
        <f>IF(YEAR(Table9[[#This Row],[Date]]) = 2022, WEEKNUM(Table9[[#This Row],[Date]])-13, WEEKNUM(Table9[[#This Row],[Date]])+40)</f>
        <v>6</v>
      </c>
      <c r="C32" s="35" t="s">
        <v>47</v>
      </c>
      <c r="D32" s="35" t="s">
        <v>59</v>
      </c>
      <c r="E32" s="1">
        <v>0</v>
      </c>
      <c r="F32" s="1">
        <v>0</v>
      </c>
      <c r="G32" s="67">
        <v>0</v>
      </c>
      <c r="H32" s="67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22">
        <v>0</v>
      </c>
      <c r="R32" s="230">
        <v>0</v>
      </c>
      <c r="S32" s="230">
        <v>0</v>
      </c>
      <c r="T32" s="240">
        <v>0</v>
      </c>
      <c r="U32" s="245" t="str">
        <f t="shared" si="0"/>
        <v>Normal</v>
      </c>
      <c r="V32" s="245" t="str">
        <f t="shared" si="1"/>
        <v>Normal</v>
      </c>
      <c r="W32" s="87">
        <f t="shared" si="2"/>
        <v>0</v>
      </c>
      <c r="X32" s="87">
        <f t="shared" si="3"/>
        <v>0</v>
      </c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K32" s="33">
        <f t="shared" si="5"/>
        <v>44823</v>
      </c>
      <c r="AL32" s="1" cm="1">
        <f t="array" ref="AL32">SUMIFS(calls_off_GUY,period_GUY,"&gt;="&amp;AK32,period_GUY,"&lt;"&amp;AK33)</f>
        <v>2604</v>
      </c>
      <c r="AM32" s="100" cm="1">
        <f t="array" ref="AM32">SUMIFS(calls_ans_GUY,period_GUY,"&gt;="&amp;AK32,period_GUY,"&lt;"&amp;AK33)</f>
        <v>2496</v>
      </c>
    </row>
    <row r="33" spans="1:42">
      <c r="A33" s="33">
        <v>44683</v>
      </c>
      <c r="B33" s="305">
        <f>IF(YEAR(Table9[[#This Row],[Date]]) = 2022, WEEKNUM(Table9[[#This Row],[Date]])-13, WEEKNUM(Table9[[#This Row],[Date]])+40)</f>
        <v>6</v>
      </c>
      <c r="C33" s="35" t="s">
        <v>63</v>
      </c>
      <c r="D33" s="35" t="s">
        <v>59</v>
      </c>
      <c r="E33" s="1">
        <v>0</v>
      </c>
      <c r="F33" s="1">
        <v>0</v>
      </c>
      <c r="G33" s="67">
        <v>0</v>
      </c>
      <c r="H33" s="67">
        <v>0</v>
      </c>
      <c r="I33" s="1">
        <v>0</v>
      </c>
      <c r="J33" s="1">
        <v>0</v>
      </c>
      <c r="K33" s="1">
        <v>0</v>
      </c>
      <c r="L33" s="1">
        <v>0</v>
      </c>
      <c r="M33" s="18">
        <v>0</v>
      </c>
      <c r="N33" s="18">
        <v>0</v>
      </c>
      <c r="O33" s="18">
        <v>0</v>
      </c>
      <c r="P33" s="18">
        <v>0</v>
      </c>
      <c r="Q33" s="22">
        <v>0</v>
      </c>
      <c r="R33" s="230">
        <v>0</v>
      </c>
      <c r="S33" s="230">
        <v>0</v>
      </c>
      <c r="T33" s="240">
        <v>0</v>
      </c>
      <c r="U33" s="245" t="str">
        <f t="shared" si="0"/>
        <v>Normal</v>
      </c>
      <c r="V33" s="245" t="str">
        <f t="shared" si="1"/>
        <v>Normal</v>
      </c>
      <c r="W33" s="87">
        <f t="shared" si="2"/>
        <v>0</v>
      </c>
      <c r="X33" s="87">
        <f t="shared" si="3"/>
        <v>0</v>
      </c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K33" s="33">
        <f t="shared" si="5"/>
        <v>44830</v>
      </c>
      <c r="AL33" s="1" cm="1">
        <f t="array" ref="AL33">SUMIFS(calls_off_GUY,period_GUY,"&gt;="&amp;AK33,period_GUY,"&lt;"&amp;AK34)</f>
        <v>2573</v>
      </c>
      <c r="AM33" s="100" cm="1">
        <f t="array" ref="AM33">SUMIFS(calls_ans_GUY,period_GUY,"&gt;="&amp;AK33,period_GUY,"&lt;"&amp;AK34)</f>
        <v>2462</v>
      </c>
    </row>
    <row r="34" spans="1:42">
      <c r="A34" s="33">
        <v>44684</v>
      </c>
      <c r="B34" s="305">
        <f>IF(YEAR(Table9[[#This Row],[Date]]) = 2022, WEEKNUM(Table9[[#This Row],[Date]])-13, WEEKNUM(Table9[[#This Row],[Date]])+40)</f>
        <v>6</v>
      </c>
      <c r="C34" s="35" t="s">
        <v>49</v>
      </c>
      <c r="D34" s="35" t="s">
        <v>59</v>
      </c>
      <c r="E34" s="1">
        <v>371</v>
      </c>
      <c r="F34" s="1">
        <v>355</v>
      </c>
      <c r="G34" s="67">
        <v>5.3977272727272728E-2</v>
      </c>
      <c r="H34" s="67">
        <v>0.13057324840764331</v>
      </c>
      <c r="I34" s="1">
        <v>371</v>
      </c>
      <c r="J34" s="1">
        <v>355</v>
      </c>
      <c r="K34" s="1">
        <v>6758</v>
      </c>
      <c r="L34" s="1">
        <v>6540</v>
      </c>
      <c r="M34" s="18">
        <v>0.84</v>
      </c>
      <c r="N34" s="18">
        <v>0.04</v>
      </c>
      <c r="O34" s="18">
        <v>0.96</v>
      </c>
      <c r="P34" s="18">
        <v>0.7</v>
      </c>
      <c r="Q34" s="22">
        <v>1</v>
      </c>
      <c r="R34" s="230">
        <v>0</v>
      </c>
      <c r="S34" s="230">
        <v>0</v>
      </c>
      <c r="T34" s="240">
        <v>0</v>
      </c>
      <c r="U34" s="245" t="str">
        <f t="shared" si="0"/>
        <v>Normal</v>
      </c>
      <c r="V34" s="245" t="str">
        <f t="shared" si="1"/>
        <v>Normal</v>
      </c>
      <c r="W34" s="87">
        <f t="shared" si="2"/>
        <v>5.3977272727272728E-2</v>
      </c>
      <c r="X34" s="87">
        <f t="shared" si="3"/>
        <v>0.13057324840764331</v>
      </c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K34" s="33">
        <f t="shared" si="5"/>
        <v>44837</v>
      </c>
      <c r="AL34" s="1" cm="1">
        <f t="array" ref="AL34">SUMIFS(calls_off_GUY,period_GUY,"&gt;="&amp;AK34,period_GUY,"&lt;"&amp;AK35)</f>
        <v>2246</v>
      </c>
      <c r="AM34" s="100" cm="1">
        <f t="array" ref="AM34">SUMIFS(calls_ans_GUY,period_GUY,"&gt;="&amp;AK34,period_GUY,"&lt;"&amp;AK35)</f>
        <v>2137</v>
      </c>
    </row>
    <row r="35" spans="1:42">
      <c r="A35" s="33">
        <v>44685</v>
      </c>
      <c r="B35" s="305">
        <f>IF(YEAR(Table9[[#This Row],[Date]]) = 2022, WEEKNUM(Table9[[#This Row],[Date]])-13, WEEKNUM(Table9[[#This Row],[Date]])+40)</f>
        <v>6</v>
      </c>
      <c r="C35" s="35" t="s">
        <v>50</v>
      </c>
      <c r="D35" s="35" t="s">
        <v>59</v>
      </c>
      <c r="E35" s="1">
        <v>306</v>
      </c>
      <c r="F35" s="1">
        <v>298</v>
      </c>
      <c r="G35" s="67">
        <v>-0.13068181818181818</v>
      </c>
      <c r="H35" s="67">
        <v>-0.1130952380952381</v>
      </c>
      <c r="I35" s="1">
        <v>677</v>
      </c>
      <c r="J35" s="1">
        <v>653</v>
      </c>
      <c r="K35" s="1">
        <v>7064</v>
      </c>
      <c r="L35" s="1">
        <v>6838</v>
      </c>
      <c r="M35" s="18">
        <v>0.94</v>
      </c>
      <c r="N35" s="18">
        <v>0.03</v>
      </c>
      <c r="O35" s="18">
        <v>0.97</v>
      </c>
      <c r="P35" s="18">
        <v>0.66</v>
      </c>
      <c r="Q35" s="22">
        <v>1</v>
      </c>
      <c r="R35" s="230">
        <v>0</v>
      </c>
      <c r="S35" s="230">
        <v>0</v>
      </c>
      <c r="T35" s="240">
        <v>0</v>
      </c>
      <c r="U35" s="245" t="str">
        <f t="shared" si="0"/>
        <v>Normal</v>
      </c>
      <c r="V35" s="245" t="str">
        <f t="shared" si="1"/>
        <v>Normal</v>
      </c>
      <c r="W35" s="87">
        <f t="shared" si="2"/>
        <v>-0.13068181818181818</v>
      </c>
      <c r="X35" s="87">
        <f t="shared" si="3"/>
        <v>-0.1130952380952381</v>
      </c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K35" s="33">
        <f t="shared" si="5"/>
        <v>44844</v>
      </c>
      <c r="AL35" s="1" cm="1">
        <f t="array" ref="AL35">SUMIFS(calls_off_GUY,period_GUY,"&gt;="&amp;AK35,period_GUY,"&lt;"&amp;AK36)</f>
        <v>2164</v>
      </c>
      <c r="AM35" s="100" cm="1">
        <f t="array" ref="AM35">SUMIFS(calls_ans_GUY,period_GUY,"&gt;="&amp;AK35,period_GUY,"&lt;"&amp;AK36)</f>
        <v>2073</v>
      </c>
    </row>
    <row r="36" spans="1:42">
      <c r="A36" s="33">
        <v>44686</v>
      </c>
      <c r="B36" s="305">
        <f>IF(YEAR(Table9[[#This Row],[Date]]) = 2022, WEEKNUM(Table9[[#This Row],[Date]])-13, WEEKNUM(Table9[[#This Row],[Date]])+40)</f>
        <v>6</v>
      </c>
      <c r="C36" s="35" t="s">
        <v>63</v>
      </c>
      <c r="D36" s="35" t="s">
        <v>59</v>
      </c>
      <c r="E36" s="1">
        <v>0</v>
      </c>
      <c r="F36" s="1">
        <v>0</v>
      </c>
      <c r="G36" s="67">
        <v>0</v>
      </c>
      <c r="H36" s="67">
        <v>0</v>
      </c>
      <c r="I36" s="1">
        <v>0</v>
      </c>
      <c r="J36" s="1">
        <v>0</v>
      </c>
      <c r="K36" s="1">
        <v>0</v>
      </c>
      <c r="L36" s="1">
        <v>0</v>
      </c>
      <c r="M36" s="18">
        <v>0</v>
      </c>
      <c r="N36" s="18">
        <v>0</v>
      </c>
      <c r="O36" s="18">
        <v>0</v>
      </c>
      <c r="P36" s="18">
        <v>0</v>
      </c>
      <c r="Q36" s="22">
        <v>0</v>
      </c>
      <c r="R36" s="230">
        <v>0</v>
      </c>
      <c r="S36" s="230">
        <v>0</v>
      </c>
      <c r="T36" s="240">
        <v>0</v>
      </c>
      <c r="U36" s="245" t="str">
        <f t="shared" si="0"/>
        <v>Normal</v>
      </c>
      <c r="V36" s="245" t="str">
        <f t="shared" si="1"/>
        <v>Normal</v>
      </c>
      <c r="W36" s="87">
        <f t="shared" si="2"/>
        <v>0</v>
      </c>
      <c r="X36" s="87">
        <f t="shared" si="3"/>
        <v>0</v>
      </c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K36" s="33">
        <f t="shared" si="5"/>
        <v>44851</v>
      </c>
      <c r="AL36" s="1" cm="1">
        <f t="array" ref="AL36">SUMIFS(calls_off_GUY,period_GUY,"&gt;="&amp;AK36,period_GUY,"&lt;"&amp;AK37)</f>
        <v>2769</v>
      </c>
      <c r="AM36" s="100" cm="1">
        <f t="array" ref="AM36">SUMIFS(calls_ans_GUY,period_GUY,"&gt;="&amp;AK36,period_GUY,"&lt;"&amp;AK37)</f>
        <v>2583</v>
      </c>
    </row>
    <row r="37" spans="1:42">
      <c r="A37" s="33">
        <v>44687</v>
      </c>
      <c r="B37" s="305">
        <f>IF(YEAR(Table9[[#This Row],[Date]]) = 2022, WEEKNUM(Table9[[#This Row],[Date]])-13, WEEKNUM(Table9[[#This Row],[Date]])+40)</f>
        <v>6</v>
      </c>
      <c r="C37" s="35" t="s">
        <v>52</v>
      </c>
      <c r="D37" s="35" t="s">
        <v>59</v>
      </c>
      <c r="E37" s="1">
        <v>339</v>
      </c>
      <c r="F37" s="1">
        <v>330</v>
      </c>
      <c r="G37" s="67">
        <v>4.9535603715170282E-2</v>
      </c>
      <c r="H37" s="67">
        <v>5.7692307692307696E-2</v>
      </c>
      <c r="I37" s="1">
        <v>1016</v>
      </c>
      <c r="J37" s="1">
        <v>983</v>
      </c>
      <c r="K37" s="1">
        <v>7403</v>
      </c>
      <c r="L37" s="1">
        <v>7168</v>
      </c>
      <c r="M37" s="18">
        <v>0.82</v>
      </c>
      <c r="N37" s="18">
        <v>0.03</v>
      </c>
      <c r="O37" s="18">
        <v>0.97</v>
      </c>
      <c r="P37" s="18">
        <v>0.7</v>
      </c>
      <c r="Q37" s="22">
        <v>1</v>
      </c>
      <c r="R37" s="230">
        <v>0</v>
      </c>
      <c r="S37" s="230">
        <v>0</v>
      </c>
      <c r="T37" s="240">
        <v>0</v>
      </c>
      <c r="U37" s="245" t="str">
        <f t="shared" si="0"/>
        <v>Normal</v>
      </c>
      <c r="V37" s="245" t="str">
        <f t="shared" si="1"/>
        <v>Normal</v>
      </c>
      <c r="W37" s="87">
        <f t="shared" si="2"/>
        <v>4.9535603715170282E-2</v>
      </c>
      <c r="X37" s="87">
        <f t="shared" si="3"/>
        <v>5.7692307692307696E-2</v>
      </c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K37" s="33">
        <f t="shared" si="5"/>
        <v>44858</v>
      </c>
      <c r="AL37" s="1" cm="1">
        <f t="array" ref="AL37">SUMIFS(calls_off_GUY,period_GUY,"&gt;="&amp;AK37,period_GUY,"&lt;"&amp;AK38)</f>
        <v>2291</v>
      </c>
      <c r="AM37" s="100" cm="1">
        <f t="array" ref="AM37">SUMIFS(calls_ans_GUY,period_GUY,"&gt;="&amp;AK37,period_GUY,"&lt;"&amp;AK38)</f>
        <v>2184</v>
      </c>
    </row>
    <row r="38" spans="1:42">
      <c r="A38" s="33">
        <v>44688</v>
      </c>
      <c r="B38" s="305">
        <f>IF(YEAR(Table9[[#This Row],[Date]]) = 2022, WEEKNUM(Table9[[#This Row],[Date]])-13, WEEKNUM(Table9[[#This Row],[Date]])+40)</f>
        <v>6</v>
      </c>
      <c r="C38" s="35" t="s">
        <v>53</v>
      </c>
      <c r="D38" s="35" t="s">
        <v>59</v>
      </c>
      <c r="E38" s="1">
        <v>203</v>
      </c>
      <c r="F38" s="1">
        <v>198</v>
      </c>
      <c r="G38" s="67">
        <v>-0.2339622641509434</v>
      </c>
      <c r="H38" s="67">
        <v>-0.22047244094488189</v>
      </c>
      <c r="I38" s="1">
        <v>1219</v>
      </c>
      <c r="J38" s="1">
        <v>1181</v>
      </c>
      <c r="K38" s="1">
        <v>7606</v>
      </c>
      <c r="L38" s="1">
        <v>7366</v>
      </c>
      <c r="M38" s="18">
        <v>0.93</v>
      </c>
      <c r="N38" s="18">
        <v>0.03</v>
      </c>
      <c r="O38" s="18">
        <v>0.97</v>
      </c>
      <c r="P38" s="18">
        <v>0.67</v>
      </c>
      <c r="Q38" s="22">
        <v>1</v>
      </c>
      <c r="R38" s="230">
        <v>0</v>
      </c>
      <c r="S38" s="230">
        <v>0</v>
      </c>
      <c r="T38" s="240">
        <v>0</v>
      </c>
      <c r="U38" s="245" t="str">
        <f t="shared" si="0"/>
        <v>Normal</v>
      </c>
      <c r="V38" s="245" t="str">
        <f t="shared" si="1"/>
        <v>Normal</v>
      </c>
      <c r="W38" s="87">
        <f t="shared" si="2"/>
        <v>-0.2339622641509434</v>
      </c>
      <c r="X38" s="87">
        <f t="shared" si="3"/>
        <v>-0.22047244094488189</v>
      </c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K38" s="33">
        <f t="shared" si="5"/>
        <v>44865</v>
      </c>
      <c r="AL38" s="1" cm="1">
        <f t="array" ref="AL38">SUMIFS(calls_off_GUY,period_GUY,"&gt;="&amp;AK38,period_GUY,"&lt;"&amp;AK39)</f>
        <v>3024</v>
      </c>
      <c r="AM38" s="100" cm="1">
        <f t="array" ref="AM38">SUMIFS(calls_ans_GUY,period_GUY,"&gt;="&amp;AK38,period_GUY,"&lt;"&amp;AK39)</f>
        <v>2808</v>
      </c>
    </row>
    <row r="39" spans="1:42">
      <c r="A39" s="27">
        <v>44689</v>
      </c>
      <c r="B39" s="306">
        <f>IF(YEAR(Table9[[#This Row],[Date]]) = 2022, WEEKNUM(Table9[[#This Row],[Date]])-13, WEEKNUM(Table9[[#This Row],[Date]])+40)</f>
        <v>7</v>
      </c>
      <c r="C39" s="35" t="s">
        <v>47</v>
      </c>
      <c r="D39" s="35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22">
        <v>0</v>
      </c>
      <c r="R39" s="230">
        <v>0</v>
      </c>
      <c r="S39" s="230">
        <v>0</v>
      </c>
      <c r="T39" s="240">
        <v>0</v>
      </c>
      <c r="U39" s="245" t="str">
        <f t="shared" si="0"/>
        <v>Normal</v>
      </c>
      <c r="V39" s="245" t="str">
        <f t="shared" si="1"/>
        <v>Normal</v>
      </c>
      <c r="W39" s="87">
        <f t="shared" si="2"/>
        <v>0</v>
      </c>
      <c r="X39" s="87">
        <f t="shared" si="3"/>
        <v>0</v>
      </c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K39" s="33">
        <f t="shared" si="5"/>
        <v>44872</v>
      </c>
      <c r="AL39" s="1" cm="1">
        <f t="array" ref="AL39">SUMIFS(calls_off_GUY,period_GUY,"&gt;="&amp;AK39,period_GUY,"&lt;"&amp;AK40)</f>
        <v>2765</v>
      </c>
      <c r="AM39" s="100" cm="1">
        <f t="array" ref="AM39">SUMIFS(calls_ans_GUY,period_GUY,"&gt;="&amp;AK39,period_GUY,"&lt;"&amp;AK40)</f>
        <v>2649</v>
      </c>
      <c r="AO39">
        <f>(Table10[[#This Row],[Sum of Calls - Offered]]-AL38)/AL38</f>
        <v>-8.5648148148148154E-2</v>
      </c>
      <c r="AP39">
        <f>(Table10[[#This Row],[Sum of Calls - Answered]]-AM38)/AM38</f>
        <v>-5.6623931623931624E-2</v>
      </c>
    </row>
    <row r="40" spans="1:42">
      <c r="A40" s="33">
        <v>44690</v>
      </c>
      <c r="B40" s="305">
        <f>IF(YEAR(Table9[[#This Row],[Date]]) = 2022, WEEKNUM(Table9[[#This Row],[Date]])-13, WEEKNUM(Table9[[#This Row],[Date]])+40)</f>
        <v>7</v>
      </c>
      <c r="C40" s="35" t="s">
        <v>48</v>
      </c>
      <c r="D40" s="35" t="s">
        <v>59</v>
      </c>
      <c r="E40" s="1">
        <v>292</v>
      </c>
      <c r="F40" s="1">
        <v>283</v>
      </c>
      <c r="G40" s="67">
        <v>0</v>
      </c>
      <c r="H40" s="67">
        <v>0</v>
      </c>
      <c r="I40" s="1">
        <v>1511</v>
      </c>
      <c r="J40" s="1">
        <v>1464</v>
      </c>
      <c r="K40" s="1">
        <v>7898</v>
      </c>
      <c r="L40" s="1">
        <v>7649</v>
      </c>
      <c r="M40" s="18">
        <v>0.89</v>
      </c>
      <c r="N40" s="18">
        <v>0.03</v>
      </c>
      <c r="O40" s="18">
        <v>0.97</v>
      </c>
      <c r="P40" s="18">
        <v>0.65</v>
      </c>
      <c r="Q40" s="22">
        <v>1</v>
      </c>
      <c r="R40" s="230">
        <v>0</v>
      </c>
      <c r="S40" s="230">
        <v>0</v>
      </c>
      <c r="T40" s="240">
        <v>0</v>
      </c>
      <c r="U40" s="245" t="str">
        <f t="shared" si="0"/>
        <v>Normal</v>
      </c>
      <c r="V40" s="245" t="str">
        <f t="shared" si="1"/>
        <v>Normal</v>
      </c>
      <c r="W40" s="87">
        <f t="shared" si="2"/>
        <v>0</v>
      </c>
      <c r="X40" s="87">
        <f t="shared" si="3"/>
        <v>0</v>
      </c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K40" s="33">
        <f t="shared" si="5"/>
        <v>44879</v>
      </c>
      <c r="AL40" s="1" cm="1">
        <f t="array" ref="AL40">SUMIFS(calls_off_GUY,period_GUY,"&gt;="&amp;AK40,period_GUY,"&lt;"&amp;AK41)</f>
        <v>2959</v>
      </c>
      <c r="AM40" s="100" cm="1">
        <f t="array" ref="AM40">SUMIFS(calls_ans_GUY,period_GUY,"&gt;="&amp;AK40,period_GUY,"&lt;"&amp;AK41)</f>
        <v>2848</v>
      </c>
    </row>
    <row r="41" spans="1:42">
      <c r="A41" s="33">
        <v>44691</v>
      </c>
      <c r="B41" s="305">
        <f>IF(YEAR(Table9[[#This Row],[Date]]) = 2022, WEEKNUM(Table9[[#This Row],[Date]])-13, WEEKNUM(Table9[[#This Row],[Date]])+40)</f>
        <v>7</v>
      </c>
      <c r="C41" s="35" t="s">
        <v>49</v>
      </c>
      <c r="D41" s="35" t="s">
        <v>59</v>
      </c>
      <c r="E41" s="1">
        <v>335</v>
      </c>
      <c r="F41" s="1">
        <v>308</v>
      </c>
      <c r="G41" s="67">
        <v>-9.7035040431266845E-2</v>
      </c>
      <c r="H41" s="67">
        <v>-0.13239436619718309</v>
      </c>
      <c r="I41" s="1">
        <v>1846</v>
      </c>
      <c r="J41" s="1">
        <v>1772</v>
      </c>
      <c r="K41" s="1">
        <v>8233</v>
      </c>
      <c r="L41" s="1">
        <v>7957</v>
      </c>
      <c r="M41" s="18">
        <v>0.88</v>
      </c>
      <c r="N41" s="18">
        <v>0.04</v>
      </c>
      <c r="O41" s="18">
        <v>0.96</v>
      </c>
      <c r="P41" s="18">
        <v>0.79</v>
      </c>
      <c r="Q41" s="22">
        <v>1</v>
      </c>
      <c r="R41" s="230">
        <v>0</v>
      </c>
      <c r="S41" s="230">
        <v>0</v>
      </c>
      <c r="T41" s="240">
        <v>0</v>
      </c>
      <c r="U41" s="245" t="str">
        <f t="shared" si="0"/>
        <v>Normal</v>
      </c>
      <c r="V41" s="245" t="str">
        <f t="shared" si="1"/>
        <v>Normal</v>
      </c>
      <c r="W41" s="87">
        <f t="shared" si="2"/>
        <v>-9.7035040431266845E-2</v>
      </c>
      <c r="X41" s="87">
        <f t="shared" si="3"/>
        <v>-0.13239436619718309</v>
      </c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K41" s="33">
        <f t="shared" si="5"/>
        <v>44886</v>
      </c>
      <c r="AL41" s="1" cm="1">
        <f t="array" ref="AL41">SUMIFS(calls_off_GUY,period_GUY,"&gt;="&amp;AK41,period_GUY,"&lt;"&amp;AK42)</f>
        <v>4809</v>
      </c>
      <c r="AM41" s="100" cm="1">
        <f t="array" ref="AM41">SUMIFS(calls_ans_GUY,period_GUY,"&gt;="&amp;AK41,period_GUY,"&lt;"&amp;AK42)</f>
        <v>4022</v>
      </c>
    </row>
    <row r="42" spans="1:42">
      <c r="A42" s="33">
        <v>44692</v>
      </c>
      <c r="B42" s="305">
        <f>IF(YEAR(Table9[[#This Row],[Date]]) = 2022, WEEKNUM(Table9[[#This Row],[Date]])-13, WEEKNUM(Table9[[#This Row],[Date]])+40)</f>
        <v>7</v>
      </c>
      <c r="C42" s="35" t="s">
        <v>50</v>
      </c>
      <c r="D42" s="35" t="s">
        <v>59</v>
      </c>
      <c r="E42" s="1">
        <v>327</v>
      </c>
      <c r="F42" s="1">
        <v>308</v>
      </c>
      <c r="G42" s="67">
        <v>6.8627450980392163E-2</v>
      </c>
      <c r="H42" s="67">
        <v>3.3557046979865772E-2</v>
      </c>
      <c r="I42" s="1">
        <v>2173</v>
      </c>
      <c r="J42" s="1">
        <v>2080</v>
      </c>
      <c r="K42" s="1">
        <v>8560</v>
      </c>
      <c r="L42" s="1">
        <v>8265</v>
      </c>
      <c r="M42" s="18">
        <v>0.82</v>
      </c>
      <c r="N42" s="18">
        <v>0.06</v>
      </c>
      <c r="O42" s="18">
        <v>0.94</v>
      </c>
      <c r="P42" s="18">
        <v>0.76</v>
      </c>
      <c r="Q42" s="22">
        <v>1</v>
      </c>
      <c r="R42" s="230">
        <v>0</v>
      </c>
      <c r="S42" s="230">
        <v>0</v>
      </c>
      <c r="T42" s="240">
        <v>0</v>
      </c>
      <c r="U42" s="245" t="str">
        <f t="shared" si="0"/>
        <v>Normal</v>
      </c>
      <c r="V42" s="245" t="str">
        <f t="shared" si="1"/>
        <v>Normal</v>
      </c>
      <c r="W42" s="87">
        <f t="shared" si="2"/>
        <v>6.8627450980392163E-2</v>
      </c>
      <c r="X42" s="87">
        <f t="shared" si="3"/>
        <v>3.3557046979865772E-2</v>
      </c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K42" s="33">
        <f t="shared" si="5"/>
        <v>44893</v>
      </c>
      <c r="AL42" s="1" cm="1">
        <f t="array" ref="AL42">SUMIFS(calls_off_GUY,period_GUY,"&gt;="&amp;AK42,period_GUY,"&lt;"&amp;AK43)</f>
        <v>7406</v>
      </c>
      <c r="AM42" s="100" cm="1">
        <f t="array" ref="AM42">SUMIFS(calls_ans_GUY,period_GUY,"&gt;="&amp;AK42,period_GUY,"&lt;"&amp;AK43)</f>
        <v>4286</v>
      </c>
    </row>
    <row r="43" spans="1:42">
      <c r="A43" s="33">
        <v>44693</v>
      </c>
      <c r="B43" s="305">
        <f>IF(YEAR(Table9[[#This Row],[Date]]) = 2022, WEEKNUM(Table9[[#This Row],[Date]])-13, WEEKNUM(Table9[[#This Row],[Date]])+40)</f>
        <v>7</v>
      </c>
      <c r="C43" s="35" t="s">
        <v>51</v>
      </c>
      <c r="D43" s="35" t="s">
        <v>59</v>
      </c>
      <c r="E43" s="1">
        <v>308</v>
      </c>
      <c r="F43" s="1">
        <v>286</v>
      </c>
      <c r="G43" s="67">
        <v>0</v>
      </c>
      <c r="H43" s="67">
        <v>0</v>
      </c>
      <c r="I43" s="1">
        <v>2481</v>
      </c>
      <c r="J43" s="1">
        <v>2366</v>
      </c>
      <c r="K43" s="1">
        <v>8868</v>
      </c>
      <c r="L43" s="1">
        <v>8551</v>
      </c>
      <c r="M43" s="18">
        <v>0.81</v>
      </c>
      <c r="N43" s="18">
        <v>7.0000000000000007E-2</v>
      </c>
      <c r="O43" s="18">
        <v>0.93</v>
      </c>
      <c r="P43" s="18">
        <v>0.73</v>
      </c>
      <c r="Q43" s="22">
        <v>0.97</v>
      </c>
      <c r="R43" s="230">
        <v>0</v>
      </c>
      <c r="S43" s="230">
        <v>0</v>
      </c>
      <c r="T43" s="240">
        <v>0</v>
      </c>
      <c r="U43" s="245" t="str">
        <f t="shared" si="0"/>
        <v>Normal</v>
      </c>
      <c r="V43" s="245" t="str">
        <f t="shared" si="1"/>
        <v>Normal</v>
      </c>
      <c r="W43" s="87">
        <f t="shared" si="2"/>
        <v>0</v>
      </c>
      <c r="X43" s="87">
        <f t="shared" si="3"/>
        <v>0</v>
      </c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K43" s="33">
        <f t="shared" si="5"/>
        <v>44900</v>
      </c>
      <c r="AL43" s="1" cm="1">
        <f t="array" ref="AL43">SUMIFS(calls_off_GUY,period_GUY,"&gt;="&amp;AK43,period_GUY,"&lt;"&amp;AK44)</f>
        <v>4752</v>
      </c>
      <c r="AM43" s="100" cm="1">
        <f t="array" ref="AM43">SUMIFS(calls_ans_GUY,period_GUY,"&gt;="&amp;AK43,period_GUY,"&lt;"&amp;AK44)</f>
        <v>3415</v>
      </c>
    </row>
    <row r="44" spans="1:42">
      <c r="A44" s="33">
        <v>44694</v>
      </c>
      <c r="B44" s="305">
        <f>IF(YEAR(Table9[[#This Row],[Date]]) = 2022, WEEKNUM(Table9[[#This Row],[Date]])-13, WEEKNUM(Table9[[#This Row],[Date]])+40)</f>
        <v>7</v>
      </c>
      <c r="C44" s="35" t="s">
        <v>52</v>
      </c>
      <c r="D44" s="35" t="s">
        <v>59</v>
      </c>
      <c r="E44" s="1">
        <v>244</v>
      </c>
      <c r="F44" s="1">
        <v>239</v>
      </c>
      <c r="G44" s="67">
        <v>-0.28023598820058998</v>
      </c>
      <c r="H44" s="67">
        <v>-0.27575757575757576</v>
      </c>
      <c r="I44" s="1">
        <v>2725</v>
      </c>
      <c r="J44" s="1">
        <v>2605</v>
      </c>
      <c r="K44" s="1">
        <v>9112</v>
      </c>
      <c r="L44" s="1">
        <v>8790</v>
      </c>
      <c r="M44" s="18">
        <v>0.82</v>
      </c>
      <c r="N44" s="18">
        <v>0.02</v>
      </c>
      <c r="O44" s="18">
        <v>0.98</v>
      </c>
      <c r="P44" s="18">
        <v>0.69</v>
      </c>
      <c r="Q44" s="22">
        <v>1</v>
      </c>
      <c r="R44" s="230">
        <v>0</v>
      </c>
      <c r="S44" s="230">
        <v>0</v>
      </c>
      <c r="T44" s="240">
        <v>0</v>
      </c>
      <c r="U44" s="245" t="str">
        <f t="shared" si="0"/>
        <v>Normal</v>
      </c>
      <c r="V44" s="245" t="str">
        <f t="shared" si="1"/>
        <v>Normal</v>
      </c>
      <c r="W44" s="87">
        <f t="shared" si="2"/>
        <v>-0.28023598820058998</v>
      </c>
      <c r="X44" s="87">
        <f t="shared" si="3"/>
        <v>-0.27575757575757576</v>
      </c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K44" s="33">
        <f t="shared" si="5"/>
        <v>44907</v>
      </c>
      <c r="AL44" s="1" cm="1">
        <f t="array" ref="AL44">SUMIFS(calls_off_GUY,period_GUY,"&gt;="&amp;AK44,period_GUY,"&lt;"&amp;AK45)</f>
        <v>4720</v>
      </c>
      <c r="AM44" s="100" cm="1">
        <f t="array" ref="AM44">SUMIFS(calls_ans_GUY,period_GUY,"&gt;="&amp;AK44,period_GUY,"&lt;"&amp;AK45)</f>
        <v>3758</v>
      </c>
    </row>
    <row r="45" spans="1:42">
      <c r="A45" s="33">
        <v>44695</v>
      </c>
      <c r="B45" s="305">
        <f>IF(YEAR(Table9[[#This Row],[Date]]) = 2022, WEEKNUM(Table9[[#This Row],[Date]])-13, WEEKNUM(Table9[[#This Row],[Date]])+40)</f>
        <v>7</v>
      </c>
      <c r="C45" s="35" t="s">
        <v>53</v>
      </c>
      <c r="D45" s="35" t="s">
        <v>59</v>
      </c>
      <c r="E45" s="1">
        <v>193</v>
      </c>
      <c r="F45" s="1">
        <v>188</v>
      </c>
      <c r="G45" s="67">
        <v>-4.9261083743842367E-2</v>
      </c>
      <c r="H45" s="67">
        <v>-5.0505050505050504E-2</v>
      </c>
      <c r="I45" s="1">
        <v>2918</v>
      </c>
      <c r="J45" s="1">
        <v>2793</v>
      </c>
      <c r="K45" s="1">
        <v>9305</v>
      </c>
      <c r="L45" s="1">
        <v>8978</v>
      </c>
      <c r="M45" s="18">
        <v>0.89</v>
      </c>
      <c r="N45" s="18">
        <v>0.03</v>
      </c>
      <c r="O45" s="18">
        <v>0.97</v>
      </c>
      <c r="P45" s="18">
        <v>0.69</v>
      </c>
      <c r="Q45" s="22">
        <v>1</v>
      </c>
      <c r="R45" s="230">
        <v>0</v>
      </c>
      <c r="S45" s="230">
        <v>0</v>
      </c>
      <c r="T45" s="240">
        <v>0</v>
      </c>
      <c r="U45" s="245" t="str">
        <f t="shared" si="0"/>
        <v>Normal</v>
      </c>
      <c r="V45" s="245" t="str">
        <f t="shared" si="1"/>
        <v>Normal</v>
      </c>
      <c r="W45" s="87">
        <f t="shared" si="2"/>
        <v>-4.9261083743842367E-2</v>
      </c>
      <c r="X45" s="87">
        <f t="shared" si="3"/>
        <v>-5.0505050505050504E-2</v>
      </c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K45" s="33">
        <f t="shared" si="5"/>
        <v>44914</v>
      </c>
      <c r="AL45" s="1" cm="1">
        <f t="array" ref="AL45">SUMIFS(calls_off_GUY,period_GUY,"&gt;="&amp;AK45,period_GUY,"&lt;"&amp;AK46)</f>
        <v>4457</v>
      </c>
      <c r="AM45" s="100" cm="1">
        <f t="array" ref="AM45">SUMIFS(calls_ans_GUY,period_GUY,"&gt;="&amp;AK45,period_GUY,"&lt;"&amp;AK46)</f>
        <v>3417</v>
      </c>
    </row>
    <row r="46" spans="1:42">
      <c r="A46" s="27">
        <v>44696</v>
      </c>
      <c r="B46" s="306">
        <f>IF(YEAR(Table9[[#This Row],[Date]]) = 2022, WEEKNUM(Table9[[#This Row],[Date]])-13, WEEKNUM(Table9[[#This Row],[Date]])+40)</f>
        <v>8</v>
      </c>
      <c r="C46" s="35" t="s">
        <v>47</v>
      </c>
      <c r="D46" s="35" t="s">
        <v>59</v>
      </c>
      <c r="E46" s="1">
        <v>0</v>
      </c>
      <c r="F46" s="1">
        <v>0</v>
      </c>
      <c r="G46" s="67">
        <v>0</v>
      </c>
      <c r="H46" s="67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22">
        <v>0</v>
      </c>
      <c r="R46" s="230">
        <v>0</v>
      </c>
      <c r="S46" s="230">
        <v>0</v>
      </c>
      <c r="T46" s="240">
        <v>0</v>
      </c>
      <c r="U46" s="245" t="str">
        <f t="shared" si="0"/>
        <v>Normal</v>
      </c>
      <c r="V46" s="245" t="str">
        <f t="shared" si="1"/>
        <v>Normal</v>
      </c>
      <c r="W46" s="87">
        <f t="shared" si="2"/>
        <v>0</v>
      </c>
      <c r="X46" s="87">
        <f t="shared" si="3"/>
        <v>0</v>
      </c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K46" s="33">
        <f t="shared" si="5"/>
        <v>44921</v>
      </c>
      <c r="AL46" s="1" cm="1">
        <f t="array" ref="AL46">SUMIFS(calls_off_GUY,period_GUY,"&gt;="&amp;AK46,period_GUY,"&lt;"&amp;AK47)</f>
        <v>1835</v>
      </c>
      <c r="AM46" s="100" cm="1">
        <f t="array" ref="AM46">SUMIFS(calls_ans_GUY,period_GUY,"&gt;="&amp;AK46,period_GUY,"&lt;"&amp;AK47)</f>
        <v>1462</v>
      </c>
      <c r="AN46" s="16"/>
    </row>
    <row r="47" spans="1:42">
      <c r="A47" s="33">
        <v>44697</v>
      </c>
      <c r="B47" s="305">
        <f>IF(YEAR(Table9[[#This Row],[Date]]) = 2022, WEEKNUM(Table9[[#This Row],[Date]])-13, WEEKNUM(Table9[[#This Row],[Date]])+40)</f>
        <v>8</v>
      </c>
      <c r="C47" s="35" t="s">
        <v>48</v>
      </c>
      <c r="D47" s="35" t="s">
        <v>59</v>
      </c>
      <c r="E47" s="1">
        <v>288</v>
      </c>
      <c r="F47" s="1">
        <v>272</v>
      </c>
      <c r="G47" s="67">
        <v>-1.3698630136986301E-2</v>
      </c>
      <c r="H47" s="67">
        <v>-3.8869257950530034E-2</v>
      </c>
      <c r="I47" s="1">
        <v>3206</v>
      </c>
      <c r="J47" s="1">
        <v>3065</v>
      </c>
      <c r="K47" s="1">
        <v>9593</v>
      </c>
      <c r="L47" s="1">
        <v>9250</v>
      </c>
      <c r="M47" s="18">
        <v>0.77</v>
      </c>
      <c r="N47" s="18">
        <v>0.06</v>
      </c>
      <c r="O47" s="18">
        <v>0.94</v>
      </c>
      <c r="P47" s="18">
        <v>0.69</v>
      </c>
      <c r="Q47" s="22">
        <v>1</v>
      </c>
      <c r="R47" s="230">
        <v>0</v>
      </c>
      <c r="S47" s="230">
        <v>0</v>
      </c>
      <c r="T47" s="240">
        <v>0</v>
      </c>
      <c r="U47" s="245" t="str">
        <f t="shared" si="0"/>
        <v>Normal</v>
      </c>
      <c r="V47" s="245" t="str">
        <f t="shared" si="1"/>
        <v>Normal</v>
      </c>
      <c r="W47" s="87">
        <f t="shared" si="2"/>
        <v>-1.3698630136986301E-2</v>
      </c>
      <c r="X47" s="87">
        <f t="shared" si="3"/>
        <v>-3.8869257950530034E-2</v>
      </c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K47" s="33">
        <f t="shared" si="5"/>
        <v>44928</v>
      </c>
      <c r="AL47" s="1" cm="1">
        <f t="array" ref="AL47">SUMIFS(calls_off_GUY,period_GUY,"&gt;="&amp;AK47,period_GUY,"&lt;"&amp;AK48)</f>
        <v>1880</v>
      </c>
      <c r="AM47" s="100" cm="1">
        <f t="array" ref="AM47">SUMIFS(calls_ans_GUY,period_GUY,"&gt;="&amp;AK47,period_GUY,"&lt;"&amp;AK48)</f>
        <v>1537</v>
      </c>
      <c r="AN47" s="16"/>
    </row>
    <row r="48" spans="1:42">
      <c r="A48" s="33">
        <v>44698</v>
      </c>
      <c r="B48" s="305">
        <f>IF(YEAR(Table9[[#This Row],[Date]]) = 2022, WEEKNUM(Table9[[#This Row],[Date]])-13, WEEKNUM(Table9[[#This Row],[Date]])+40)</f>
        <v>8</v>
      </c>
      <c r="C48" s="35" t="s">
        <v>49</v>
      </c>
      <c r="D48" s="35" t="s">
        <v>59</v>
      </c>
      <c r="E48" s="1">
        <v>291</v>
      </c>
      <c r="F48" s="1">
        <v>283</v>
      </c>
      <c r="G48" s="67">
        <v>-0.13134328358208955</v>
      </c>
      <c r="H48" s="67">
        <v>-8.1168831168831168E-2</v>
      </c>
      <c r="I48" s="1">
        <v>3497</v>
      </c>
      <c r="J48" s="1">
        <v>3348</v>
      </c>
      <c r="K48" s="1">
        <v>9884</v>
      </c>
      <c r="L48" s="1">
        <v>9533</v>
      </c>
      <c r="M48" s="18">
        <v>0.89</v>
      </c>
      <c r="N48" s="18">
        <v>0.03</v>
      </c>
      <c r="O48" s="18">
        <v>0.97</v>
      </c>
      <c r="P48" s="18">
        <v>0.69</v>
      </c>
      <c r="Q48" s="22">
        <v>1</v>
      </c>
      <c r="R48" s="230">
        <v>0</v>
      </c>
      <c r="S48" s="230">
        <v>0</v>
      </c>
      <c r="T48" s="240">
        <v>0</v>
      </c>
      <c r="U48" s="245" t="str">
        <f t="shared" si="0"/>
        <v>Normal</v>
      </c>
      <c r="V48" s="245" t="str">
        <f t="shared" si="1"/>
        <v>Normal</v>
      </c>
      <c r="W48" s="87">
        <f t="shared" si="2"/>
        <v>-0.13134328358208955</v>
      </c>
      <c r="X48" s="87">
        <f t="shared" si="3"/>
        <v>-8.1168831168831168E-2</v>
      </c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K48" s="33">
        <f t="shared" si="5"/>
        <v>44935</v>
      </c>
      <c r="AL48" s="1" cm="1">
        <f t="array" ref="AL48">SUMIFS(calls_off_GUY,period_GUY,"&gt;="&amp;AK48,period_GUY,"&lt;"&amp;AK49)</f>
        <v>2262</v>
      </c>
      <c r="AM48" s="100" cm="1">
        <f t="array" ref="AM48">SUMIFS(calls_ans_GUY,period_GUY,"&gt;="&amp;AK48,period_GUY,"&lt;"&amp;AK49)</f>
        <v>2117</v>
      </c>
    </row>
    <row r="49" spans="1:39">
      <c r="A49" s="33">
        <v>44699</v>
      </c>
      <c r="B49" s="305">
        <f>IF(YEAR(Table9[[#This Row],[Date]]) = 2022, WEEKNUM(Table9[[#This Row],[Date]])-13, WEEKNUM(Table9[[#This Row],[Date]])+40)</f>
        <v>8</v>
      </c>
      <c r="C49" s="35" t="s">
        <v>50</v>
      </c>
      <c r="D49" s="35" t="s">
        <v>59</v>
      </c>
      <c r="E49" s="1">
        <v>357</v>
      </c>
      <c r="F49" s="1">
        <v>331</v>
      </c>
      <c r="G49" s="67">
        <v>9.1743119266055051E-2</v>
      </c>
      <c r="H49" s="67">
        <v>7.4675324675324672E-2</v>
      </c>
      <c r="I49" s="1">
        <v>3854</v>
      </c>
      <c r="J49" s="1">
        <v>3679</v>
      </c>
      <c r="K49" s="1">
        <v>10241</v>
      </c>
      <c r="L49" s="1">
        <v>9864</v>
      </c>
      <c r="M49" s="18">
        <v>0.78</v>
      </c>
      <c r="N49" s="18">
        <v>7.0000000000000007E-2</v>
      </c>
      <c r="O49" s="18">
        <v>0.93</v>
      </c>
      <c r="P49" s="18">
        <v>0.69</v>
      </c>
      <c r="Q49" s="22">
        <v>0.99</v>
      </c>
      <c r="R49" s="230">
        <v>0</v>
      </c>
      <c r="S49" s="230">
        <v>0</v>
      </c>
      <c r="T49" s="240">
        <v>0</v>
      </c>
      <c r="U49" s="245" t="str">
        <f t="shared" si="0"/>
        <v>Normal</v>
      </c>
      <c r="V49" s="245" t="str">
        <f t="shared" si="1"/>
        <v>Normal</v>
      </c>
      <c r="W49" s="87">
        <f t="shared" si="2"/>
        <v>9.1743119266055051E-2</v>
      </c>
      <c r="X49" s="87">
        <f t="shared" si="3"/>
        <v>7.4675324675324672E-2</v>
      </c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K49" s="33">
        <f t="shared" si="5"/>
        <v>44942</v>
      </c>
      <c r="AL49" s="1" cm="1">
        <f t="array" ref="AL49">SUMIFS(calls_off_GUY,period_GUY,"&gt;="&amp;AK49,period_GUY,"&lt;"&amp;AK50)</f>
        <v>1633</v>
      </c>
      <c r="AM49" s="100" cm="1">
        <f t="array" ref="AM49">SUMIFS(calls_ans_GUY,period_GUY,"&gt;="&amp;AK49,period_GUY,"&lt;"&amp;AK50)</f>
        <v>1573</v>
      </c>
    </row>
    <row r="50" spans="1:39">
      <c r="A50" s="33">
        <v>44700</v>
      </c>
      <c r="B50" s="305">
        <f>IF(YEAR(Table9[[#This Row],[Date]]) = 2022, WEEKNUM(Table9[[#This Row],[Date]])-13, WEEKNUM(Table9[[#This Row],[Date]])+40)</f>
        <v>8</v>
      </c>
      <c r="C50" s="35" t="s">
        <v>51</v>
      </c>
      <c r="D50" s="35" t="s">
        <v>59</v>
      </c>
      <c r="E50" s="1">
        <v>290</v>
      </c>
      <c r="F50" s="1">
        <v>284</v>
      </c>
      <c r="G50" s="67">
        <v>-5.844155844155844E-2</v>
      </c>
      <c r="H50" s="67">
        <v>-6.993006993006993E-3</v>
      </c>
      <c r="I50" s="1">
        <v>4144</v>
      </c>
      <c r="J50" s="1">
        <v>3963</v>
      </c>
      <c r="K50" s="1">
        <v>10531</v>
      </c>
      <c r="L50" s="1">
        <v>10148</v>
      </c>
      <c r="M50" s="18">
        <v>0.92</v>
      </c>
      <c r="N50" s="18">
        <v>0.02</v>
      </c>
      <c r="O50" s="18">
        <v>0.98</v>
      </c>
      <c r="P50" s="18">
        <v>0.68</v>
      </c>
      <c r="Q50" s="22">
        <v>1</v>
      </c>
      <c r="R50" s="230">
        <v>0</v>
      </c>
      <c r="S50" s="230">
        <v>0</v>
      </c>
      <c r="T50" s="240">
        <v>0</v>
      </c>
      <c r="U50" s="245" t="str">
        <f t="shared" si="0"/>
        <v>Normal</v>
      </c>
      <c r="V50" s="245" t="str">
        <f t="shared" si="1"/>
        <v>Normal</v>
      </c>
      <c r="W50" s="87">
        <f t="shared" si="2"/>
        <v>-5.844155844155844E-2</v>
      </c>
      <c r="X50" s="87">
        <f t="shared" si="3"/>
        <v>-6.993006993006993E-3</v>
      </c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K50" s="33">
        <f t="shared" si="5"/>
        <v>44949</v>
      </c>
      <c r="AL50" s="1" cm="1">
        <f t="array" ref="AL50">SUMIFS(calls_off_GUY,period_GUY,"&gt;="&amp;AK50,period_GUY,"&lt;"&amp;AK51)</f>
        <v>1398</v>
      </c>
      <c r="AM50" s="100" cm="1">
        <f t="array" ref="AM50">SUMIFS(calls_ans_GUY,period_GUY,"&gt;="&amp;AK50,period_GUY,"&lt;"&amp;AK51)</f>
        <v>1333</v>
      </c>
    </row>
    <row r="51" spans="1:39">
      <c r="A51" s="33">
        <v>44701</v>
      </c>
      <c r="B51" s="305">
        <f>IF(YEAR(Table9[[#This Row],[Date]]) = 2022, WEEKNUM(Table9[[#This Row],[Date]])-13, WEEKNUM(Table9[[#This Row],[Date]])+40)</f>
        <v>8</v>
      </c>
      <c r="C51" s="35" t="s">
        <v>52</v>
      </c>
      <c r="D51" s="35" t="s">
        <v>59</v>
      </c>
      <c r="E51" s="1">
        <v>343</v>
      </c>
      <c r="F51" s="1">
        <v>325</v>
      </c>
      <c r="G51" s="67">
        <v>0.40573770491803279</v>
      </c>
      <c r="H51" s="67">
        <v>0.35983263598326359</v>
      </c>
      <c r="I51" s="1">
        <v>4487</v>
      </c>
      <c r="J51" s="1">
        <v>4288</v>
      </c>
      <c r="K51" s="1">
        <v>10874</v>
      </c>
      <c r="L51" s="1">
        <v>10473</v>
      </c>
      <c r="M51" s="18">
        <v>0.79</v>
      </c>
      <c r="N51" s="18">
        <v>0.05</v>
      </c>
      <c r="O51" s="18">
        <v>0.95</v>
      </c>
      <c r="P51" s="18">
        <v>0.67</v>
      </c>
      <c r="Q51" s="22">
        <v>1</v>
      </c>
      <c r="R51" s="230">
        <v>0</v>
      </c>
      <c r="S51" s="230">
        <v>0</v>
      </c>
      <c r="T51" s="240">
        <v>0</v>
      </c>
      <c r="U51" s="245" t="str">
        <f t="shared" si="0"/>
        <v>Normal</v>
      </c>
      <c r="V51" s="245" t="str">
        <f t="shared" si="1"/>
        <v>Normal</v>
      </c>
      <c r="W51" s="87">
        <f t="shared" si="2"/>
        <v>0.40573770491803279</v>
      </c>
      <c r="X51" s="87">
        <f t="shared" si="3"/>
        <v>0.35983263598326359</v>
      </c>
      <c r="Y51" s="236"/>
      <c r="Z51" s="236"/>
      <c r="AA51" s="236"/>
      <c r="AB51" s="236"/>
      <c r="AC51" s="236"/>
      <c r="AD51" s="236"/>
      <c r="AE51" s="236"/>
      <c r="AF51" s="236"/>
      <c r="AG51" s="236"/>
      <c r="AH51" s="236"/>
      <c r="AI51" s="236"/>
      <c r="AK51" s="33">
        <f t="shared" si="5"/>
        <v>44956</v>
      </c>
      <c r="AL51" s="1" cm="1">
        <f t="array" ref="AL51">SUMIFS(calls_off_GUY,period_GUY,"&gt;="&amp;AK51,period_GUY,"&lt;"&amp;AK52)</f>
        <v>1226</v>
      </c>
      <c r="AM51" s="100" cm="1">
        <f t="array" ref="AM51">SUMIFS(calls_ans_GUY,period_GUY,"&gt;="&amp;AK51,period_GUY,"&lt;"&amp;AK52)</f>
        <v>1197</v>
      </c>
    </row>
    <row r="52" spans="1:39">
      <c r="A52" s="33">
        <v>44702</v>
      </c>
      <c r="B52" s="305">
        <f>IF(YEAR(Table9[[#This Row],[Date]]) = 2022, WEEKNUM(Table9[[#This Row],[Date]])-13, WEEKNUM(Table9[[#This Row],[Date]])+40)</f>
        <v>8</v>
      </c>
      <c r="C52" s="35" t="s">
        <v>53</v>
      </c>
      <c r="D52" s="35" t="s">
        <v>59</v>
      </c>
      <c r="E52" s="1">
        <v>243</v>
      </c>
      <c r="F52" s="1">
        <v>236</v>
      </c>
      <c r="G52" s="67">
        <v>0.25906735751295334</v>
      </c>
      <c r="H52" s="67">
        <v>0.25531914893617019</v>
      </c>
      <c r="I52" s="1">
        <v>4730</v>
      </c>
      <c r="J52" s="1">
        <v>4524</v>
      </c>
      <c r="K52" s="1">
        <v>11117</v>
      </c>
      <c r="L52" s="1">
        <v>10709</v>
      </c>
      <c r="M52" s="18">
        <v>0.88</v>
      </c>
      <c r="N52" s="18">
        <v>0.03</v>
      </c>
      <c r="O52" s="18">
        <v>0.97</v>
      </c>
      <c r="P52" s="18">
        <v>0.65</v>
      </c>
      <c r="Q52" s="22">
        <v>1</v>
      </c>
      <c r="R52" s="230">
        <v>0</v>
      </c>
      <c r="S52" s="230">
        <v>0</v>
      </c>
      <c r="T52" s="240">
        <v>0</v>
      </c>
      <c r="U52" s="245" t="str">
        <f t="shared" si="0"/>
        <v>Normal</v>
      </c>
      <c r="V52" s="245" t="str">
        <f t="shared" si="1"/>
        <v>Normal</v>
      </c>
      <c r="W52" s="87">
        <f t="shared" si="2"/>
        <v>0.25906735751295334</v>
      </c>
      <c r="X52" s="87">
        <f t="shared" si="3"/>
        <v>0.25531914893617019</v>
      </c>
      <c r="Y52" s="236"/>
      <c r="Z52" s="236"/>
      <c r="AA52" s="236"/>
      <c r="AB52" s="236"/>
      <c r="AC52" s="236"/>
      <c r="AD52" s="236"/>
      <c r="AE52" s="236"/>
      <c r="AF52" s="236"/>
      <c r="AG52" s="236"/>
      <c r="AH52" s="236"/>
      <c r="AI52" s="236"/>
      <c r="AK52" s="33">
        <f t="shared" si="5"/>
        <v>44963</v>
      </c>
      <c r="AL52" s="1" cm="1">
        <f t="array" ref="AL52">SUMIFS(calls_off_GUY,period_GUY,"&gt;="&amp;AK52,period_GUY,"&lt;"&amp;AK53)</f>
        <v>1093</v>
      </c>
      <c r="AM52" s="100" cm="1">
        <f t="array" ref="AM52">SUMIFS(calls_ans_GUY,period_GUY,"&gt;="&amp;AK52,period_GUY,"&lt;"&amp;AK53)</f>
        <v>1058</v>
      </c>
    </row>
    <row r="53" spans="1:39">
      <c r="A53" s="27">
        <v>44703</v>
      </c>
      <c r="B53" s="306">
        <f>IF(YEAR(Table9[[#This Row],[Date]]) = 2022, WEEKNUM(Table9[[#This Row],[Date]])-13, WEEKNUM(Table9[[#This Row],[Date]])+40)</f>
        <v>9</v>
      </c>
      <c r="C53" s="35" t="s">
        <v>47</v>
      </c>
      <c r="D53" s="35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22">
        <v>0</v>
      </c>
      <c r="R53" s="230">
        <v>0</v>
      </c>
      <c r="S53" s="230">
        <v>0</v>
      </c>
      <c r="T53" s="240">
        <v>0</v>
      </c>
      <c r="U53" s="245" t="str">
        <f t="shared" si="0"/>
        <v>Normal</v>
      </c>
      <c r="V53" s="245" t="str">
        <f t="shared" si="1"/>
        <v>Normal</v>
      </c>
      <c r="W53" s="87">
        <f t="shared" si="2"/>
        <v>0</v>
      </c>
      <c r="X53" s="87">
        <f t="shared" si="3"/>
        <v>0</v>
      </c>
      <c r="Y53" s="236"/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K53" s="33">
        <f t="shared" si="5"/>
        <v>44970</v>
      </c>
      <c r="AL53" s="1" cm="1">
        <f t="array" ref="AL53">SUMIFS(calls_off_GUY,period_GUY,"&gt;="&amp;AK53,period_GUY,"&lt;"&amp;AK54)</f>
        <v>1031</v>
      </c>
      <c r="AM53" s="100" cm="1">
        <f t="array" ref="AM53">SUMIFS(calls_ans_GUY,period_GUY,"&gt;="&amp;AK53,period_GUY,"&lt;"&amp;AK54)</f>
        <v>988</v>
      </c>
    </row>
    <row r="54" spans="1:39">
      <c r="A54" s="33">
        <v>44704</v>
      </c>
      <c r="B54" s="305">
        <f>IF(YEAR(Table9[[#This Row],[Date]]) = 2022, WEEKNUM(Table9[[#This Row],[Date]])-13, WEEKNUM(Table9[[#This Row],[Date]])+40)</f>
        <v>9</v>
      </c>
      <c r="C54" s="35" t="s">
        <v>48</v>
      </c>
      <c r="D54" s="35" t="s">
        <v>59</v>
      </c>
      <c r="E54" s="1">
        <v>432</v>
      </c>
      <c r="F54" s="1">
        <v>422</v>
      </c>
      <c r="G54" s="67">
        <v>0.5</v>
      </c>
      <c r="H54" s="67">
        <v>0.55147058823529416</v>
      </c>
      <c r="I54" s="1">
        <v>5162</v>
      </c>
      <c r="J54" s="1">
        <v>4946</v>
      </c>
      <c r="K54" s="1">
        <v>11549</v>
      </c>
      <c r="L54" s="1">
        <v>11131</v>
      </c>
      <c r="M54" s="18">
        <v>0.82</v>
      </c>
      <c r="N54" s="18">
        <v>0.02</v>
      </c>
      <c r="O54" s="18">
        <v>0.98</v>
      </c>
      <c r="P54" s="18">
        <v>0.72</v>
      </c>
      <c r="Q54" s="22">
        <v>1</v>
      </c>
      <c r="R54" s="230">
        <v>0</v>
      </c>
      <c r="S54" s="230">
        <v>0</v>
      </c>
      <c r="T54" s="240">
        <v>0</v>
      </c>
      <c r="U54" s="245" t="str">
        <f t="shared" si="0"/>
        <v>Outlier</v>
      </c>
      <c r="V54" s="245" t="str">
        <f t="shared" si="1"/>
        <v>Outlier</v>
      </c>
      <c r="W54" s="87">
        <f t="shared" si="2"/>
        <v>0.5</v>
      </c>
      <c r="X54" s="87">
        <f t="shared" si="3"/>
        <v>0.55147058823529416</v>
      </c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K54" s="33">
        <f t="shared" si="5"/>
        <v>44977</v>
      </c>
      <c r="AL54" s="1" cm="1">
        <f t="array" ref="AL54">SUMIFS(calls_off_GUY,period_GUY,"&gt;="&amp;AK54,period_GUY,"&lt;"&amp;AK55)</f>
        <v>1147</v>
      </c>
      <c r="AM54" s="100" cm="1">
        <f t="array" ref="AM54">SUMIFS(calls_ans_GUY,period_GUY,"&gt;="&amp;AK54,period_GUY,"&lt;"&amp;AK55)</f>
        <v>1066</v>
      </c>
    </row>
    <row r="55" spans="1:39">
      <c r="A55" s="33">
        <v>44705</v>
      </c>
      <c r="B55" s="305">
        <f>IF(YEAR(Table9[[#This Row],[Date]]) = 2022, WEEKNUM(Table9[[#This Row],[Date]])-13, WEEKNUM(Table9[[#This Row],[Date]])+40)</f>
        <v>9</v>
      </c>
      <c r="C55" s="35" t="s">
        <v>49</v>
      </c>
      <c r="D55" s="35" t="s">
        <v>59</v>
      </c>
      <c r="E55" s="1">
        <v>372</v>
      </c>
      <c r="F55" s="1">
        <v>354</v>
      </c>
      <c r="G55" s="67">
        <v>0.27835051546391754</v>
      </c>
      <c r="H55" s="67">
        <v>0.25088339222614842</v>
      </c>
      <c r="I55" s="1">
        <v>5534</v>
      </c>
      <c r="J55" s="1">
        <v>5300</v>
      </c>
      <c r="K55" s="1">
        <v>11921</v>
      </c>
      <c r="L55" s="1">
        <v>11485</v>
      </c>
      <c r="M55" s="18">
        <v>0.86</v>
      </c>
      <c r="N55" s="18">
        <v>0.05</v>
      </c>
      <c r="O55" s="18">
        <v>0.95</v>
      </c>
      <c r="P55" s="18">
        <v>0.7</v>
      </c>
      <c r="Q55" s="22">
        <v>0.99</v>
      </c>
      <c r="R55" s="230">
        <v>0</v>
      </c>
      <c r="S55" s="230">
        <v>0</v>
      </c>
      <c r="T55" s="240">
        <v>0</v>
      </c>
      <c r="U55" s="245" t="str">
        <f t="shared" si="0"/>
        <v>Normal</v>
      </c>
      <c r="V55" s="245" t="str">
        <f t="shared" si="1"/>
        <v>Normal</v>
      </c>
      <c r="W55" s="87">
        <f t="shared" si="2"/>
        <v>0.27835051546391754</v>
      </c>
      <c r="X55" s="87">
        <f t="shared" si="3"/>
        <v>0.25088339222614842</v>
      </c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K55" s="33">
        <f t="shared" si="5"/>
        <v>44984</v>
      </c>
      <c r="AL55" s="1" cm="1">
        <f t="array" ref="AL55">SUMIFS(calls_off_GUY,period_GUY,"&gt;="&amp;AK55,period_GUY,"&lt;"&amp;AK56)</f>
        <v>1346</v>
      </c>
      <c r="AM55" s="100" cm="1">
        <f t="array" ref="AM55">SUMIFS(calls_ans_GUY,period_GUY,"&gt;="&amp;AK55,period_GUY,"&lt;"&amp;AK56)</f>
        <v>1303</v>
      </c>
    </row>
    <row r="56" spans="1:39">
      <c r="A56" s="33">
        <v>44706</v>
      </c>
      <c r="B56" s="305">
        <f>IF(YEAR(Table9[[#This Row],[Date]]) = 2022, WEEKNUM(Table9[[#This Row],[Date]])-13, WEEKNUM(Table9[[#This Row],[Date]])+40)</f>
        <v>9</v>
      </c>
      <c r="C56" s="35" t="s">
        <v>50</v>
      </c>
      <c r="D56" s="35" t="s">
        <v>59</v>
      </c>
      <c r="E56" s="1">
        <v>344</v>
      </c>
      <c r="F56" s="1">
        <v>338</v>
      </c>
      <c r="G56" s="67">
        <v>-3.6414565826330535E-2</v>
      </c>
      <c r="H56" s="67">
        <v>2.1148036253776436E-2</v>
      </c>
      <c r="I56" s="1">
        <v>5878</v>
      </c>
      <c r="J56" s="1">
        <v>5638</v>
      </c>
      <c r="K56" s="1">
        <v>12265</v>
      </c>
      <c r="L56" s="1">
        <v>11823</v>
      </c>
      <c r="M56" s="18">
        <v>0.93</v>
      </c>
      <c r="N56" s="18">
        <v>0.02</v>
      </c>
      <c r="O56" s="18">
        <v>0.98</v>
      </c>
      <c r="P56" s="18">
        <v>0.72</v>
      </c>
      <c r="Q56" s="22">
        <v>1</v>
      </c>
      <c r="R56" s="230">
        <v>0</v>
      </c>
      <c r="S56" s="230">
        <v>0</v>
      </c>
      <c r="T56" s="240">
        <v>0</v>
      </c>
      <c r="U56" s="245" t="str">
        <f t="shared" si="0"/>
        <v>Normal</v>
      </c>
      <c r="V56" s="245" t="str">
        <f t="shared" si="1"/>
        <v>Normal</v>
      </c>
      <c r="W56" s="87">
        <f t="shared" si="2"/>
        <v>-3.6414565826330535E-2</v>
      </c>
      <c r="X56" s="87">
        <f t="shared" si="3"/>
        <v>2.1148036253776436E-2</v>
      </c>
      <c r="Y56" s="236"/>
      <c r="Z56" s="236"/>
      <c r="AA56" s="236"/>
      <c r="AB56" s="236"/>
      <c r="AC56" s="236"/>
      <c r="AD56" s="236"/>
      <c r="AE56" s="236"/>
      <c r="AF56" s="236"/>
      <c r="AG56" s="236"/>
      <c r="AH56" s="236"/>
      <c r="AI56" s="236"/>
      <c r="AK56" s="33">
        <f t="shared" si="5"/>
        <v>44991</v>
      </c>
      <c r="AL56" s="1" cm="1">
        <f t="array" ref="AL56">SUMIFS(calls_off_GUY,period_GUY,"&gt;="&amp;AK56,period_GUY,"&lt;"&amp;AK57)</f>
        <v>1127</v>
      </c>
      <c r="AM56" s="100" cm="1">
        <f t="array" ref="AM56">SUMIFS(calls_ans_GUY,period_GUY,"&gt;="&amp;AK56,period_GUY,"&lt;"&amp;AK57)</f>
        <v>1096</v>
      </c>
    </row>
    <row r="57" spans="1:39">
      <c r="A57" s="82">
        <v>44707</v>
      </c>
      <c r="B57" s="307">
        <f>IF(YEAR(Table9[[#This Row],[Date]]) = 2022, WEEKNUM(Table9[[#This Row],[Date]])-13, WEEKNUM(Table9[[#This Row],[Date]])+40)</f>
        <v>9</v>
      </c>
      <c r="C57" s="83" t="s">
        <v>63</v>
      </c>
      <c r="D57" s="83" t="s">
        <v>59</v>
      </c>
      <c r="E57" s="210">
        <v>0</v>
      </c>
      <c r="F57" s="210">
        <v>0</v>
      </c>
      <c r="G57" s="211">
        <v>0</v>
      </c>
      <c r="H57" s="211">
        <v>0</v>
      </c>
      <c r="I57" s="210">
        <v>0</v>
      </c>
      <c r="J57" s="210">
        <v>0</v>
      </c>
      <c r="K57" s="210">
        <v>0</v>
      </c>
      <c r="L57" s="210">
        <v>0</v>
      </c>
      <c r="M57" s="210">
        <v>0</v>
      </c>
      <c r="N57" s="210">
        <v>0</v>
      </c>
      <c r="O57" s="210">
        <v>0</v>
      </c>
      <c r="P57" s="318">
        <v>0</v>
      </c>
      <c r="Q57" s="212">
        <v>0</v>
      </c>
      <c r="R57" s="230">
        <v>0</v>
      </c>
      <c r="S57" s="230">
        <v>0</v>
      </c>
      <c r="T57" s="240">
        <v>0</v>
      </c>
      <c r="U57" s="245" t="str">
        <f t="shared" si="0"/>
        <v>Normal</v>
      </c>
      <c r="V57" s="245" t="str">
        <f t="shared" si="1"/>
        <v>Normal</v>
      </c>
      <c r="W57" s="87">
        <f t="shared" si="2"/>
        <v>0</v>
      </c>
      <c r="X57" s="87">
        <f t="shared" si="3"/>
        <v>0</v>
      </c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K57" s="33">
        <f t="shared" si="5"/>
        <v>44998</v>
      </c>
      <c r="AL57" s="1" cm="1">
        <f t="array" ref="AL57">SUMIFS(calls_off_GUY,period_GUY,"&gt;="&amp;AK57,period_GUY,"&lt;"&amp;AK58)</f>
        <v>1185</v>
      </c>
      <c r="AM57" s="100" cm="1">
        <f t="array" ref="AM57">SUMIFS(calls_ans_GUY,period_GUY,"&gt;="&amp;AK57,period_GUY,"&lt;"&amp;AK58)</f>
        <v>1135</v>
      </c>
    </row>
    <row r="58" spans="1:39">
      <c r="A58" s="33">
        <v>44708</v>
      </c>
      <c r="B58" s="305">
        <f>IF(YEAR(Table9[[#This Row],[Date]]) = 2022, WEEKNUM(Table9[[#This Row],[Date]])-13, WEEKNUM(Table9[[#This Row],[Date]])+40)</f>
        <v>9</v>
      </c>
      <c r="C58" s="35" t="s">
        <v>52</v>
      </c>
      <c r="D58" s="35" t="s">
        <v>59</v>
      </c>
      <c r="E58" s="1">
        <v>392</v>
      </c>
      <c r="F58" s="1">
        <v>374</v>
      </c>
      <c r="G58" s="67">
        <v>0.14285714285714285</v>
      </c>
      <c r="H58" s="67">
        <v>0.15076923076923077</v>
      </c>
      <c r="I58" s="1">
        <v>6270</v>
      </c>
      <c r="J58" s="1">
        <v>6012</v>
      </c>
      <c r="K58" s="1">
        <v>12657</v>
      </c>
      <c r="L58" s="1">
        <v>12197</v>
      </c>
      <c r="M58" s="18">
        <v>0.74</v>
      </c>
      <c r="N58" s="18">
        <v>0.05</v>
      </c>
      <c r="O58" s="18">
        <v>0.95</v>
      </c>
      <c r="P58" s="18">
        <v>0.77</v>
      </c>
      <c r="Q58" s="22">
        <v>1</v>
      </c>
      <c r="R58" s="230">
        <v>0</v>
      </c>
      <c r="S58" s="230">
        <v>0</v>
      </c>
      <c r="T58" s="240">
        <v>0</v>
      </c>
      <c r="U58" s="245" t="str">
        <f t="shared" si="0"/>
        <v>Normal</v>
      </c>
      <c r="V58" s="245" t="str">
        <f t="shared" si="1"/>
        <v>Normal</v>
      </c>
      <c r="W58" s="87">
        <f t="shared" si="2"/>
        <v>0.14285714285714285</v>
      </c>
      <c r="X58" s="87">
        <f t="shared" si="3"/>
        <v>0.15076923076923077</v>
      </c>
      <c r="Y58" s="236"/>
      <c r="Z58" s="236"/>
      <c r="AA58" s="236"/>
      <c r="AB58" s="236"/>
      <c r="AC58" s="236"/>
      <c r="AD58" s="236"/>
      <c r="AE58" s="236"/>
      <c r="AF58" s="236"/>
      <c r="AG58" s="236"/>
      <c r="AH58" s="236"/>
      <c r="AI58" s="236"/>
      <c r="AK58" s="33">
        <f t="shared" si="5"/>
        <v>45005</v>
      </c>
      <c r="AL58" s="1" cm="1">
        <f t="array" ref="AL58">SUMIFS(calls_off_GUY,period_GUY,"&gt;="&amp;AK58,period_GUY,"&lt;"&amp;AK59)</f>
        <v>1171</v>
      </c>
      <c r="AM58" s="100" cm="1">
        <f t="array" ref="AM58">SUMIFS(calls_ans_GUY,period_GUY,"&gt;="&amp;AK58,period_GUY,"&lt;"&amp;AK59)</f>
        <v>1132</v>
      </c>
    </row>
    <row r="59" spans="1:39">
      <c r="A59" s="33">
        <v>44709</v>
      </c>
      <c r="B59" s="305">
        <f>IF(YEAR(Table9[[#This Row],[Date]]) = 2022, WEEKNUM(Table9[[#This Row],[Date]])-13, WEEKNUM(Table9[[#This Row],[Date]])+40)</f>
        <v>9</v>
      </c>
      <c r="C59" s="35" t="s">
        <v>53</v>
      </c>
      <c r="D59" s="35" t="s">
        <v>59</v>
      </c>
      <c r="E59" s="1">
        <v>242</v>
      </c>
      <c r="F59" s="1">
        <v>236</v>
      </c>
      <c r="G59" s="67">
        <v>-4.11522633744856E-3</v>
      </c>
      <c r="H59" s="67">
        <v>0</v>
      </c>
      <c r="I59" s="1">
        <v>6512</v>
      </c>
      <c r="J59" s="1">
        <v>6248</v>
      </c>
      <c r="K59" s="1">
        <v>12899</v>
      </c>
      <c r="L59" s="1">
        <v>12433</v>
      </c>
      <c r="M59" s="18">
        <v>0.93</v>
      </c>
      <c r="N59" s="18">
        <v>0.02</v>
      </c>
      <c r="O59" s="18">
        <v>0.98</v>
      </c>
      <c r="P59" s="18">
        <v>0.65</v>
      </c>
      <c r="Q59" s="22">
        <v>1</v>
      </c>
      <c r="R59" s="230">
        <v>0</v>
      </c>
      <c r="S59" s="230">
        <v>0</v>
      </c>
      <c r="T59" s="240">
        <v>0</v>
      </c>
      <c r="U59" s="245" t="str">
        <f t="shared" si="0"/>
        <v>Normal</v>
      </c>
      <c r="V59" s="245" t="str">
        <f t="shared" si="1"/>
        <v>Normal</v>
      </c>
      <c r="W59" s="87">
        <f t="shared" si="2"/>
        <v>-4.11522633744856E-3</v>
      </c>
      <c r="X59" s="87">
        <f t="shared" si="3"/>
        <v>0</v>
      </c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  <c r="AK59" s="33">
        <f t="shared" si="5"/>
        <v>45012</v>
      </c>
      <c r="AL59" s="1" cm="1">
        <f t="array" ref="AL59">SUMIFS(calls_off_GUY,period_GUY,"&gt;="&amp;AK59,period_GUY,"&lt;"&amp;AK60)</f>
        <v>1198</v>
      </c>
      <c r="AM59" s="100" cm="1">
        <f t="array" ref="AM59">SUMIFS(calls_ans_GUY,period_GUY,"&gt;="&amp;AK59,period_GUY,"&lt;"&amp;AK60)</f>
        <v>1143</v>
      </c>
    </row>
    <row r="60" spans="1:39">
      <c r="A60" s="27">
        <v>44710</v>
      </c>
      <c r="B60" s="306">
        <f>IF(YEAR(Table9[[#This Row],[Date]]) = 2022, WEEKNUM(Table9[[#This Row],[Date]])-13, WEEKNUM(Table9[[#This Row],[Date]])+40)</f>
        <v>10</v>
      </c>
      <c r="C60" s="35" t="s">
        <v>47</v>
      </c>
      <c r="D60" s="35" t="s">
        <v>59</v>
      </c>
      <c r="E60" s="1">
        <v>0</v>
      </c>
      <c r="F60" s="1">
        <v>0</v>
      </c>
      <c r="G60" s="67">
        <v>0</v>
      </c>
      <c r="H60" s="67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22">
        <v>0</v>
      </c>
      <c r="R60" s="230">
        <v>0</v>
      </c>
      <c r="S60" s="230">
        <v>0</v>
      </c>
      <c r="T60" s="240">
        <v>0</v>
      </c>
      <c r="U60" s="245" t="str">
        <f t="shared" si="0"/>
        <v>Normal</v>
      </c>
      <c r="V60" s="245" t="str">
        <f t="shared" si="1"/>
        <v>Normal</v>
      </c>
      <c r="W60" s="87">
        <f t="shared" si="2"/>
        <v>0</v>
      </c>
      <c r="X60" s="87">
        <f t="shared" si="3"/>
        <v>0</v>
      </c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K60" s="33">
        <v>45017</v>
      </c>
      <c r="AL60" s="38" cm="1">
        <f t="array" ref="AL60">SUMIFS(calls_off_GUY,period_GUY,"&gt;="&amp;AK60,period_GUY,"&lt;"&amp;AK61)</f>
        <v>0</v>
      </c>
      <c r="AM60" s="98" cm="1">
        <f t="array" ref="AM60">SUMIFS(calls_ans_GUY,period_GUY,"&gt;="&amp;AK60,period_GUY,"&lt;"&amp;AK61)</f>
        <v>0</v>
      </c>
    </row>
    <row r="61" spans="1:39">
      <c r="A61" s="33">
        <v>44711</v>
      </c>
      <c r="B61" s="305">
        <f>IF(YEAR(Table9[[#This Row],[Date]]) = 2022, WEEKNUM(Table9[[#This Row],[Date]])-13, WEEKNUM(Table9[[#This Row],[Date]])+40)</f>
        <v>10</v>
      </c>
      <c r="C61" s="35" t="s">
        <v>48</v>
      </c>
      <c r="D61" s="35" t="s">
        <v>59</v>
      </c>
      <c r="E61" s="1">
        <v>380</v>
      </c>
      <c r="F61" s="1">
        <v>362</v>
      </c>
      <c r="G61" s="67">
        <v>-0.12037037037037036</v>
      </c>
      <c r="H61" s="67">
        <v>-0.14218009478672985</v>
      </c>
      <c r="I61" s="1">
        <v>6892</v>
      </c>
      <c r="J61" s="1">
        <v>6610</v>
      </c>
      <c r="K61" s="1">
        <v>13279</v>
      </c>
      <c r="L61" s="1">
        <v>12795</v>
      </c>
      <c r="M61" s="18">
        <v>0.89</v>
      </c>
      <c r="N61" s="18">
        <v>0.03</v>
      </c>
      <c r="O61" s="18">
        <v>0.97</v>
      </c>
      <c r="P61" s="18">
        <v>0.74</v>
      </c>
      <c r="Q61" s="22">
        <v>1</v>
      </c>
      <c r="R61" s="230">
        <v>0</v>
      </c>
      <c r="S61" s="230">
        <v>0</v>
      </c>
      <c r="T61" s="240">
        <v>0</v>
      </c>
      <c r="U61" s="245" t="str">
        <f t="shared" si="0"/>
        <v>Normal</v>
      </c>
      <c r="V61" s="245" t="str">
        <f t="shared" si="1"/>
        <v>Normal</v>
      </c>
      <c r="W61" s="87">
        <f t="shared" si="2"/>
        <v>-0.12037037037037036</v>
      </c>
      <c r="X61" s="87">
        <f t="shared" si="3"/>
        <v>-0.14218009478672985</v>
      </c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</row>
    <row r="62" spans="1:39" s="49" customFormat="1">
      <c r="A62" s="79">
        <v>44712</v>
      </c>
      <c r="B62" s="308">
        <f>IF(YEAR(Table9[[#This Row],[Date]]) = 2022, WEEKNUM(Table9[[#This Row],[Date]])-13, WEEKNUM(Table9[[#This Row],[Date]])+40)</f>
        <v>10</v>
      </c>
      <c r="C62" s="78" t="s">
        <v>49</v>
      </c>
      <c r="D62" s="78" t="s">
        <v>59</v>
      </c>
      <c r="E62" s="68">
        <v>371</v>
      </c>
      <c r="F62" s="68">
        <v>355</v>
      </c>
      <c r="G62" s="84">
        <v>-2.6881720430107529E-3</v>
      </c>
      <c r="H62" s="84">
        <v>2.8248587570621469E-3</v>
      </c>
      <c r="I62" s="68">
        <v>7263</v>
      </c>
      <c r="J62" s="68">
        <v>6965</v>
      </c>
      <c r="K62" s="68">
        <v>13650</v>
      </c>
      <c r="L62" s="68">
        <v>13150</v>
      </c>
      <c r="M62" s="2">
        <v>0.81</v>
      </c>
      <c r="N62" s="2">
        <v>0.04</v>
      </c>
      <c r="O62" s="2">
        <v>0.96</v>
      </c>
      <c r="P62" s="2">
        <v>0.67</v>
      </c>
      <c r="Q62" s="12">
        <v>1</v>
      </c>
      <c r="R62" s="230">
        <v>0</v>
      </c>
      <c r="S62" s="230">
        <v>0</v>
      </c>
      <c r="T62" s="240">
        <v>0</v>
      </c>
      <c r="U62" s="245" t="str">
        <f t="shared" si="0"/>
        <v>Normal</v>
      </c>
      <c r="V62" s="245" t="str">
        <f t="shared" si="1"/>
        <v>Normal</v>
      </c>
      <c r="W62" s="87">
        <f t="shared" si="2"/>
        <v>-2.6881720430107529E-3</v>
      </c>
      <c r="X62" s="87">
        <f t="shared" si="3"/>
        <v>2.8248587570621469E-3</v>
      </c>
      <c r="Y62" s="236"/>
      <c r="Z62" s="236"/>
      <c r="AA62" s="236"/>
      <c r="AB62" s="236"/>
      <c r="AC62" s="236"/>
      <c r="AD62" s="236"/>
      <c r="AE62" s="236"/>
      <c r="AF62" s="236"/>
      <c r="AG62" s="236"/>
      <c r="AH62" s="236"/>
      <c r="AI62" s="236"/>
      <c r="AJ62" s="237"/>
      <c r="AK62"/>
      <c r="AL62"/>
      <c r="AM62"/>
    </row>
    <row r="63" spans="1:39">
      <c r="A63" s="33">
        <v>44713</v>
      </c>
      <c r="B63" s="305">
        <f>IF(YEAR(Table9[[#This Row],[Date]]) = 2022, WEEKNUM(Table9[[#This Row],[Date]])-13, WEEKNUM(Table9[[#This Row],[Date]])+40)</f>
        <v>10</v>
      </c>
      <c r="C63" s="35" t="s">
        <v>50</v>
      </c>
      <c r="D63" s="35" t="s">
        <v>59</v>
      </c>
      <c r="E63" s="1">
        <v>311</v>
      </c>
      <c r="F63" s="1">
        <v>300</v>
      </c>
      <c r="G63" s="67">
        <v>-9.5930232558139539E-2</v>
      </c>
      <c r="H63" s="67">
        <v>-0.11242603550295859</v>
      </c>
      <c r="I63" s="1">
        <v>311</v>
      </c>
      <c r="J63" s="1">
        <v>300</v>
      </c>
      <c r="K63" s="1">
        <v>13961</v>
      </c>
      <c r="L63" s="1">
        <v>13450</v>
      </c>
      <c r="M63" s="18">
        <v>0.81</v>
      </c>
      <c r="N63" s="18">
        <v>0.04</v>
      </c>
      <c r="O63" s="18">
        <v>0.96</v>
      </c>
      <c r="P63" s="18">
        <v>0.67</v>
      </c>
      <c r="Q63" s="22">
        <v>1</v>
      </c>
      <c r="R63" s="230">
        <v>0</v>
      </c>
      <c r="S63" s="230">
        <v>0</v>
      </c>
      <c r="T63" s="240">
        <v>0</v>
      </c>
      <c r="U63" s="245" t="str">
        <f t="shared" si="0"/>
        <v>Normal</v>
      </c>
      <c r="V63" s="245" t="str">
        <f t="shared" si="1"/>
        <v>Normal</v>
      </c>
      <c r="W63" s="87">
        <f t="shared" si="2"/>
        <v>-9.5930232558139539E-2</v>
      </c>
      <c r="X63" s="87">
        <f t="shared" si="3"/>
        <v>-0.11242603550295859</v>
      </c>
      <c r="Y63" s="236"/>
      <c r="Z63" s="236"/>
      <c r="AA63" s="236"/>
      <c r="AB63" s="236"/>
      <c r="AC63" s="236"/>
      <c r="AD63" s="236"/>
      <c r="AE63" s="236"/>
      <c r="AF63" s="236"/>
      <c r="AG63" s="236"/>
      <c r="AH63" s="236"/>
      <c r="AI63" s="236"/>
    </row>
    <row r="64" spans="1:39">
      <c r="A64" s="33">
        <v>44714</v>
      </c>
      <c r="B64" s="305">
        <f>IF(YEAR(Table9[[#This Row],[Date]]) = 2022, WEEKNUM(Table9[[#This Row],[Date]])-13, WEEKNUM(Table9[[#This Row],[Date]])+40)</f>
        <v>10</v>
      </c>
      <c r="C64" s="35" t="s">
        <v>51</v>
      </c>
      <c r="D64" s="35" t="s">
        <v>59</v>
      </c>
      <c r="E64" s="1">
        <v>319</v>
      </c>
      <c r="F64" s="1">
        <v>305</v>
      </c>
      <c r="G64" s="67">
        <v>0</v>
      </c>
      <c r="H64" s="67">
        <v>0</v>
      </c>
      <c r="I64" s="1">
        <v>630</v>
      </c>
      <c r="J64" s="1">
        <v>605</v>
      </c>
      <c r="K64" s="1">
        <v>14280</v>
      </c>
      <c r="L64" s="1">
        <v>13755</v>
      </c>
      <c r="M64" s="18">
        <v>0.88</v>
      </c>
      <c r="N64" s="18">
        <v>0.04</v>
      </c>
      <c r="O64" s="18">
        <v>0.96</v>
      </c>
      <c r="P64" s="18">
        <v>0.71</v>
      </c>
      <c r="Q64" s="22">
        <v>1</v>
      </c>
      <c r="R64" s="230">
        <v>0</v>
      </c>
      <c r="S64" s="230">
        <v>0</v>
      </c>
      <c r="T64" s="240">
        <v>0</v>
      </c>
      <c r="U64" s="245" t="str">
        <f t="shared" si="0"/>
        <v>Normal</v>
      </c>
      <c r="V64" s="245" t="str">
        <f t="shared" si="1"/>
        <v>Normal</v>
      </c>
      <c r="W64" s="87">
        <f t="shared" si="2"/>
        <v>0</v>
      </c>
      <c r="X64" s="87">
        <f t="shared" si="3"/>
        <v>0</v>
      </c>
      <c r="Y64" s="236"/>
      <c r="Z64" s="236"/>
      <c r="AA64" s="236"/>
      <c r="AB64" s="236"/>
      <c r="AC64" s="236"/>
      <c r="AD64" s="236"/>
      <c r="AE64" s="236"/>
      <c r="AF64" s="236"/>
      <c r="AG64" s="236"/>
      <c r="AH64" s="236"/>
      <c r="AI64" s="236"/>
    </row>
    <row r="65" spans="1:35">
      <c r="A65" s="33">
        <v>44715</v>
      </c>
      <c r="B65" s="305">
        <f>IF(YEAR(Table9[[#This Row],[Date]]) = 2022, WEEKNUM(Table9[[#This Row],[Date]])-13, WEEKNUM(Table9[[#This Row],[Date]])+40)</f>
        <v>10</v>
      </c>
      <c r="C65" s="35" t="s">
        <v>52</v>
      </c>
      <c r="D65" s="35" t="s">
        <v>59</v>
      </c>
      <c r="E65" s="1">
        <v>294</v>
      </c>
      <c r="F65" s="1">
        <v>285</v>
      </c>
      <c r="G65" s="67">
        <v>-0.25</v>
      </c>
      <c r="H65" s="67">
        <v>-0.23796791443850268</v>
      </c>
      <c r="I65" s="1">
        <v>924</v>
      </c>
      <c r="J65" s="1">
        <v>890</v>
      </c>
      <c r="K65" s="1">
        <v>14574</v>
      </c>
      <c r="L65" s="1">
        <v>14040</v>
      </c>
      <c r="M65" s="18">
        <v>0.89</v>
      </c>
      <c r="N65" s="18">
        <v>0.03</v>
      </c>
      <c r="O65" s="18">
        <v>0.97</v>
      </c>
      <c r="P65" s="18">
        <v>0.7</v>
      </c>
      <c r="Q65" s="22">
        <v>1</v>
      </c>
      <c r="R65" s="230">
        <v>0</v>
      </c>
      <c r="S65" s="230">
        <v>0</v>
      </c>
      <c r="T65" s="240">
        <v>0</v>
      </c>
      <c r="U65" s="245" t="str">
        <f t="shared" si="0"/>
        <v>Normal</v>
      </c>
      <c r="V65" s="245" t="str">
        <f t="shared" si="1"/>
        <v>Normal</v>
      </c>
      <c r="W65" s="87">
        <f t="shared" si="2"/>
        <v>-0.25</v>
      </c>
      <c r="X65" s="87">
        <f t="shared" si="3"/>
        <v>-0.23796791443850268</v>
      </c>
      <c r="Y65" s="236"/>
      <c r="Z65" s="236"/>
      <c r="AA65" s="236"/>
      <c r="AB65" s="236"/>
      <c r="AC65" s="236"/>
      <c r="AD65" s="236"/>
      <c r="AE65" s="236"/>
      <c r="AF65" s="236"/>
      <c r="AG65" s="236"/>
      <c r="AH65" s="236"/>
      <c r="AI65" s="236"/>
    </row>
    <row r="66" spans="1:35">
      <c r="A66" s="33">
        <v>44716</v>
      </c>
      <c r="B66" s="305">
        <f>IF(YEAR(Table9[[#This Row],[Date]]) = 2022, WEEKNUM(Table9[[#This Row],[Date]])-13, WEEKNUM(Table9[[#This Row],[Date]])+40)</f>
        <v>10</v>
      </c>
      <c r="C66" s="35" t="s">
        <v>53</v>
      </c>
      <c r="D66" s="35" t="s">
        <v>59</v>
      </c>
      <c r="E66" s="1">
        <v>248</v>
      </c>
      <c r="F66" s="1">
        <v>239</v>
      </c>
      <c r="G66" s="67">
        <v>2.4793388429752067E-2</v>
      </c>
      <c r="H66" s="67">
        <v>1.2711864406779662E-2</v>
      </c>
      <c r="I66" s="1">
        <v>1172</v>
      </c>
      <c r="J66" s="1">
        <v>1129</v>
      </c>
      <c r="K66" s="1">
        <v>14822</v>
      </c>
      <c r="L66" s="1">
        <v>14279</v>
      </c>
      <c r="M66" s="18">
        <v>0.89</v>
      </c>
      <c r="N66" s="18">
        <v>0.04</v>
      </c>
      <c r="O66" s="18">
        <v>0.96</v>
      </c>
      <c r="P66" s="18">
        <v>0.66</v>
      </c>
      <c r="Q66" s="22">
        <v>1</v>
      </c>
      <c r="R66" s="230">
        <v>0</v>
      </c>
      <c r="S66" s="230">
        <v>0</v>
      </c>
      <c r="T66" s="240">
        <v>0</v>
      </c>
      <c r="U66" s="245" t="str">
        <f t="shared" si="0"/>
        <v>Normal</v>
      </c>
      <c r="V66" s="245" t="str">
        <f t="shared" si="1"/>
        <v>Normal</v>
      </c>
      <c r="W66" s="87">
        <f t="shared" si="2"/>
        <v>2.4793388429752067E-2</v>
      </c>
      <c r="X66" s="87">
        <f t="shared" si="3"/>
        <v>1.2711864406779662E-2</v>
      </c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</row>
    <row r="67" spans="1:35">
      <c r="A67" s="27">
        <v>44717</v>
      </c>
      <c r="B67" s="306">
        <f>IF(YEAR(Table9[[#This Row],[Date]]) = 2022, WEEKNUM(Table9[[#This Row],[Date]])-13, WEEKNUM(Table9[[#This Row],[Date]])+40)</f>
        <v>11</v>
      </c>
      <c r="C67" s="35" t="s">
        <v>47</v>
      </c>
      <c r="D67" s="35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22">
        <v>0</v>
      </c>
      <c r="R67" s="230">
        <v>0</v>
      </c>
      <c r="S67" s="230">
        <v>0</v>
      </c>
      <c r="T67" s="240">
        <v>0</v>
      </c>
      <c r="U67" s="245" t="str">
        <f t="shared" ref="U67:U130" si="6">IF(OR(G67&lt;$AA$5,G67&gt;$AB$5), "Outlier", "Normal")</f>
        <v>Normal</v>
      </c>
      <c r="V67" s="245" t="str">
        <f t="shared" ref="V67:V130" si="7">IF(OR(H67&lt;$AA$6,H67&gt;$AB$6), "Outlier", "Normal")</f>
        <v>Normal</v>
      </c>
      <c r="W67" s="87">
        <f t="shared" ref="W67:W130" si="8">IF(U67="Normal",$G67,IF($G67&lt;150%, $G67, $AA$9))</f>
        <v>0</v>
      </c>
      <c r="X67" s="87">
        <f t="shared" ref="X67:X130" si="9">IF(V67="Normal",$H67,IF($H67&lt;150%, $H67, $AE$9))</f>
        <v>0</v>
      </c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</row>
    <row r="68" spans="1:35">
      <c r="A68" s="23">
        <v>44718</v>
      </c>
      <c r="B68" s="121">
        <f>IF(YEAR(Table9[[#This Row],[Date]]) = 2022, WEEKNUM(Table9[[#This Row],[Date]])-13, WEEKNUM(Table9[[#This Row],[Date]])+40)</f>
        <v>11</v>
      </c>
      <c r="C68" s="35" t="s">
        <v>48</v>
      </c>
      <c r="D68" s="35" t="s">
        <v>59</v>
      </c>
      <c r="E68" s="1">
        <v>304</v>
      </c>
      <c r="F68" s="1">
        <v>297</v>
      </c>
      <c r="G68" s="67">
        <v>-0.2</v>
      </c>
      <c r="H68" s="67">
        <v>-0.17955801104972377</v>
      </c>
      <c r="I68" s="1">
        <v>1476</v>
      </c>
      <c r="J68" s="1">
        <v>1426</v>
      </c>
      <c r="K68" s="1">
        <v>15070</v>
      </c>
      <c r="L68" s="1">
        <v>14518</v>
      </c>
      <c r="M68" s="18">
        <v>0.92</v>
      </c>
      <c r="N68" s="18">
        <v>0.02</v>
      </c>
      <c r="O68" s="18">
        <v>0.98</v>
      </c>
      <c r="P68" s="18">
        <v>0.74</v>
      </c>
      <c r="Q68" s="22">
        <v>1</v>
      </c>
      <c r="R68" s="230">
        <v>0</v>
      </c>
      <c r="S68" s="230">
        <v>0</v>
      </c>
      <c r="T68" s="240">
        <v>0</v>
      </c>
      <c r="U68" s="245" t="str">
        <f t="shared" si="6"/>
        <v>Normal</v>
      </c>
      <c r="V68" s="245" t="str">
        <f t="shared" si="7"/>
        <v>Normal</v>
      </c>
      <c r="W68" s="87">
        <f t="shared" si="8"/>
        <v>-0.2</v>
      </c>
      <c r="X68" s="87">
        <f t="shared" si="9"/>
        <v>-0.17955801104972377</v>
      </c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</row>
    <row r="69" spans="1:35">
      <c r="A69" s="23">
        <v>44719</v>
      </c>
      <c r="B69" s="121">
        <f>IF(YEAR(Table9[[#This Row],[Date]]) = 2022, WEEKNUM(Table9[[#This Row],[Date]])-13, WEEKNUM(Table9[[#This Row],[Date]])+40)</f>
        <v>11</v>
      </c>
      <c r="C69" s="35" t="s">
        <v>49</v>
      </c>
      <c r="D69" s="35" t="s">
        <v>59</v>
      </c>
      <c r="E69" s="1">
        <v>269</v>
      </c>
      <c r="F69" s="1">
        <v>257</v>
      </c>
      <c r="G69" s="67">
        <v>-0.27493261455525608</v>
      </c>
      <c r="H69" s="67">
        <v>-0.27605633802816903</v>
      </c>
      <c r="I69" s="1">
        <v>1745</v>
      </c>
      <c r="J69" s="1">
        <v>1683</v>
      </c>
      <c r="K69" s="1">
        <v>15374</v>
      </c>
      <c r="L69" s="1">
        <v>14815</v>
      </c>
      <c r="M69" s="18">
        <v>0.89</v>
      </c>
      <c r="N69" s="18">
        <v>0.05</v>
      </c>
      <c r="O69" s="18">
        <v>0.95</v>
      </c>
      <c r="P69" s="18">
        <v>0.65</v>
      </c>
      <c r="Q69" s="22">
        <v>1</v>
      </c>
      <c r="R69" s="230">
        <v>0</v>
      </c>
      <c r="S69" s="230">
        <v>0</v>
      </c>
      <c r="T69" s="240">
        <v>0</v>
      </c>
      <c r="U69" s="245" t="str">
        <f t="shared" si="6"/>
        <v>Normal</v>
      </c>
      <c r="V69" s="245" t="str">
        <f t="shared" si="7"/>
        <v>Normal</v>
      </c>
      <c r="W69" s="87">
        <f t="shared" si="8"/>
        <v>-0.27493261455525608</v>
      </c>
      <c r="X69" s="87">
        <f t="shared" si="9"/>
        <v>-0.27605633802816903</v>
      </c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</row>
    <row r="70" spans="1:35">
      <c r="A70" s="23">
        <v>44720</v>
      </c>
      <c r="B70" s="121">
        <f>IF(YEAR(Table9[[#This Row],[Date]]) = 2022, WEEKNUM(Table9[[#This Row],[Date]])-13, WEEKNUM(Table9[[#This Row],[Date]])+40)</f>
        <v>11</v>
      </c>
      <c r="C70" s="35" t="s">
        <v>50</v>
      </c>
      <c r="D70" s="35" t="s">
        <v>59</v>
      </c>
      <c r="E70" s="1">
        <v>295</v>
      </c>
      <c r="F70" s="1">
        <v>290</v>
      </c>
      <c r="G70" s="67">
        <v>-5.1446945337620578E-2</v>
      </c>
      <c r="H70" s="67">
        <v>-3.3333333333333333E-2</v>
      </c>
      <c r="I70" s="1">
        <v>2040</v>
      </c>
      <c r="J70" s="1">
        <v>1973</v>
      </c>
      <c r="K70" s="1">
        <v>15643</v>
      </c>
      <c r="L70" s="1">
        <v>15072</v>
      </c>
      <c r="M70" s="18">
        <v>0.88</v>
      </c>
      <c r="N70" s="18">
        <v>0.02</v>
      </c>
      <c r="O70" s="18">
        <v>0.98</v>
      </c>
      <c r="P70" s="18">
        <v>0.65</v>
      </c>
      <c r="Q70" s="22">
        <v>1</v>
      </c>
      <c r="R70" s="230">
        <v>0</v>
      </c>
      <c r="S70" s="230">
        <v>0</v>
      </c>
      <c r="T70" s="240">
        <v>0</v>
      </c>
      <c r="U70" s="245" t="str">
        <f t="shared" si="6"/>
        <v>Normal</v>
      </c>
      <c r="V70" s="245" t="str">
        <f t="shared" si="7"/>
        <v>Normal</v>
      </c>
      <c r="W70" s="87">
        <f t="shared" si="8"/>
        <v>-5.1446945337620578E-2</v>
      </c>
      <c r="X70" s="87">
        <f t="shared" si="9"/>
        <v>-3.3333333333333333E-2</v>
      </c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</row>
    <row r="71" spans="1:35">
      <c r="A71" s="23">
        <v>44721</v>
      </c>
      <c r="B71" s="121">
        <f>IF(YEAR(Table9[[#This Row],[Date]]) = 2022, WEEKNUM(Table9[[#This Row],[Date]])-13, WEEKNUM(Table9[[#This Row],[Date]])+40)</f>
        <v>11</v>
      </c>
      <c r="C71" s="35" t="s">
        <v>51</v>
      </c>
      <c r="D71" s="35" t="s">
        <v>59</v>
      </c>
      <c r="E71" s="1">
        <v>204</v>
      </c>
      <c r="F71" s="1">
        <v>201</v>
      </c>
      <c r="G71" s="67">
        <v>-0.36050156739811912</v>
      </c>
      <c r="H71" s="67">
        <v>-0.34098360655737703</v>
      </c>
      <c r="I71" s="1">
        <v>2244</v>
      </c>
      <c r="J71" s="1">
        <v>2174</v>
      </c>
      <c r="K71" s="1">
        <v>15938</v>
      </c>
      <c r="L71" s="1">
        <v>15362</v>
      </c>
      <c r="M71" s="18">
        <v>0.92</v>
      </c>
      <c r="N71" s="18">
        <v>0.01</v>
      </c>
      <c r="O71" s="18">
        <v>0.99</v>
      </c>
      <c r="P71" s="18">
        <v>0.54</v>
      </c>
      <c r="Q71" s="22">
        <v>1</v>
      </c>
      <c r="R71" s="230">
        <v>0</v>
      </c>
      <c r="S71" s="230">
        <v>0</v>
      </c>
      <c r="T71" s="240">
        <v>0</v>
      </c>
      <c r="U71" s="245" t="str">
        <f t="shared" si="6"/>
        <v>Normal</v>
      </c>
      <c r="V71" s="245" t="str">
        <f t="shared" si="7"/>
        <v>Normal</v>
      </c>
      <c r="W71" s="87">
        <f t="shared" si="8"/>
        <v>-0.36050156739811912</v>
      </c>
      <c r="X71" s="87">
        <f t="shared" si="9"/>
        <v>-0.34098360655737703</v>
      </c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</row>
    <row r="72" spans="1:35">
      <c r="A72" s="23">
        <v>44722</v>
      </c>
      <c r="B72" s="121">
        <f>IF(YEAR(Table9[[#This Row],[Date]]) = 2022, WEEKNUM(Table9[[#This Row],[Date]])-13, WEEKNUM(Table9[[#This Row],[Date]])+40)</f>
        <v>11</v>
      </c>
      <c r="C72" s="35" t="s">
        <v>52</v>
      </c>
      <c r="D72" s="35" t="s">
        <v>59</v>
      </c>
      <c r="E72" s="1">
        <v>245</v>
      </c>
      <c r="F72" s="1">
        <v>240</v>
      </c>
      <c r="G72" s="67">
        <v>-0.16666666666666666</v>
      </c>
      <c r="H72" s="67">
        <v>-0.15789473684210525</v>
      </c>
      <c r="I72" s="1">
        <v>2489</v>
      </c>
      <c r="J72" s="1">
        <v>2414</v>
      </c>
      <c r="K72" s="1">
        <v>16142</v>
      </c>
      <c r="L72" s="1">
        <v>15563</v>
      </c>
      <c r="M72" s="18">
        <v>0.92</v>
      </c>
      <c r="N72" s="18">
        <v>0.02</v>
      </c>
      <c r="O72" s="18">
        <v>0.98</v>
      </c>
      <c r="P72" s="18">
        <v>0.67</v>
      </c>
      <c r="Q72" s="22">
        <v>1</v>
      </c>
      <c r="R72" s="230">
        <v>0</v>
      </c>
      <c r="S72" s="230">
        <v>0</v>
      </c>
      <c r="T72" s="240">
        <v>0</v>
      </c>
      <c r="U72" s="245" t="str">
        <f t="shared" si="6"/>
        <v>Normal</v>
      </c>
      <c r="V72" s="245" t="str">
        <f t="shared" si="7"/>
        <v>Normal</v>
      </c>
      <c r="W72" s="87">
        <f t="shared" si="8"/>
        <v>-0.16666666666666666</v>
      </c>
      <c r="X72" s="87">
        <f t="shared" si="9"/>
        <v>-0.15789473684210525</v>
      </c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</row>
    <row r="73" spans="1:35">
      <c r="A73" s="23">
        <v>44723</v>
      </c>
      <c r="B73" s="121">
        <f>IF(YEAR(Table9[[#This Row],[Date]]) = 2022, WEEKNUM(Table9[[#This Row],[Date]])-13, WEEKNUM(Table9[[#This Row],[Date]])+40)</f>
        <v>11</v>
      </c>
      <c r="C73" s="35" t="s">
        <v>53</v>
      </c>
      <c r="D73" s="35" t="s">
        <v>59</v>
      </c>
      <c r="E73" s="1">
        <v>206</v>
      </c>
      <c r="F73" s="1">
        <v>199</v>
      </c>
      <c r="G73" s="67">
        <v>-0.16935483870967741</v>
      </c>
      <c r="H73" s="67">
        <v>-0.16736401673640167</v>
      </c>
      <c r="I73" s="1">
        <v>2695</v>
      </c>
      <c r="J73" s="1">
        <v>2613</v>
      </c>
      <c r="K73" s="1">
        <v>16387</v>
      </c>
      <c r="L73" s="1">
        <v>15803</v>
      </c>
      <c r="M73" s="18">
        <v>0.87</v>
      </c>
      <c r="N73" s="18">
        <v>0.03</v>
      </c>
      <c r="O73" s="18">
        <v>0.97</v>
      </c>
      <c r="P73" s="18">
        <v>0.65</v>
      </c>
      <c r="Q73" s="22">
        <v>1</v>
      </c>
      <c r="R73" s="230">
        <v>0</v>
      </c>
      <c r="S73" s="230">
        <v>0</v>
      </c>
      <c r="T73" s="240">
        <v>0</v>
      </c>
      <c r="U73" s="245" t="str">
        <f t="shared" si="6"/>
        <v>Normal</v>
      </c>
      <c r="V73" s="245" t="str">
        <f t="shared" si="7"/>
        <v>Normal</v>
      </c>
      <c r="W73" s="87">
        <f t="shared" si="8"/>
        <v>-0.16935483870967741</v>
      </c>
      <c r="X73" s="87">
        <f t="shared" si="9"/>
        <v>-0.16736401673640167</v>
      </c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</row>
    <row r="74" spans="1:35">
      <c r="A74" s="27">
        <v>44724</v>
      </c>
      <c r="B74" s="306">
        <f>IF(YEAR(Table9[[#This Row],[Date]]) = 2022, WEEKNUM(Table9[[#This Row],[Date]])-13, WEEKNUM(Table9[[#This Row],[Date]])+40)</f>
        <v>12</v>
      </c>
      <c r="C74" s="35" t="s">
        <v>47</v>
      </c>
      <c r="D74" s="35" t="s">
        <v>59</v>
      </c>
      <c r="E74" s="1">
        <v>0</v>
      </c>
      <c r="F74" s="1">
        <v>0</v>
      </c>
      <c r="G74" s="67">
        <v>0</v>
      </c>
      <c r="H74" s="67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22">
        <v>0</v>
      </c>
      <c r="R74" s="230">
        <v>0</v>
      </c>
      <c r="S74" s="230">
        <v>0</v>
      </c>
      <c r="T74" s="240">
        <v>0</v>
      </c>
      <c r="U74" s="245" t="str">
        <f t="shared" si="6"/>
        <v>Normal</v>
      </c>
      <c r="V74" s="245" t="str">
        <f t="shared" si="7"/>
        <v>Normal</v>
      </c>
      <c r="W74" s="87">
        <f t="shared" si="8"/>
        <v>0</v>
      </c>
      <c r="X74" s="87">
        <f t="shared" si="9"/>
        <v>0</v>
      </c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</row>
    <row r="75" spans="1:35">
      <c r="A75" s="23">
        <v>44725</v>
      </c>
      <c r="B75" s="121">
        <f>IF(YEAR(Table9[[#This Row],[Date]]) = 2022, WEEKNUM(Table9[[#This Row],[Date]])-13, WEEKNUM(Table9[[#This Row],[Date]])+40)</f>
        <v>12</v>
      </c>
      <c r="C75" s="35" t="s">
        <v>48</v>
      </c>
      <c r="D75" s="35" t="s">
        <v>59</v>
      </c>
      <c r="E75" s="1">
        <v>316</v>
      </c>
      <c r="F75" s="1">
        <v>296</v>
      </c>
      <c r="G75" s="67">
        <v>3.9473684210526314E-2</v>
      </c>
      <c r="H75" s="67">
        <v>-3.3670033670033669E-3</v>
      </c>
      <c r="I75" s="1">
        <v>3011</v>
      </c>
      <c r="J75" s="1">
        <v>2909</v>
      </c>
      <c r="K75" s="1">
        <v>16703</v>
      </c>
      <c r="L75" s="1">
        <v>16099</v>
      </c>
      <c r="M75" s="18">
        <v>0.91</v>
      </c>
      <c r="N75" s="18">
        <v>0.06</v>
      </c>
      <c r="O75" s="18">
        <v>0.94</v>
      </c>
      <c r="P75" s="18">
        <v>0.68</v>
      </c>
      <c r="Q75" s="22">
        <v>1</v>
      </c>
      <c r="R75" s="230">
        <v>0</v>
      </c>
      <c r="S75" s="230">
        <v>0</v>
      </c>
      <c r="T75" s="240">
        <v>0</v>
      </c>
      <c r="U75" s="245" t="str">
        <f t="shared" si="6"/>
        <v>Normal</v>
      </c>
      <c r="V75" s="245" t="str">
        <f t="shared" si="7"/>
        <v>Normal</v>
      </c>
      <c r="W75" s="87">
        <f t="shared" si="8"/>
        <v>3.9473684210526314E-2</v>
      </c>
      <c r="X75" s="87">
        <f t="shared" si="9"/>
        <v>-3.3670033670033669E-3</v>
      </c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</row>
    <row r="76" spans="1:35">
      <c r="A76" s="23">
        <v>44726</v>
      </c>
      <c r="B76" s="121">
        <f>IF(YEAR(Table9[[#This Row],[Date]]) = 2022, WEEKNUM(Table9[[#This Row],[Date]])-13, WEEKNUM(Table9[[#This Row],[Date]])+40)</f>
        <v>12</v>
      </c>
      <c r="C76" s="35" t="s">
        <v>49</v>
      </c>
      <c r="D76" s="35" t="s">
        <v>59</v>
      </c>
      <c r="E76" s="1">
        <v>310</v>
      </c>
      <c r="F76" s="1">
        <v>303</v>
      </c>
      <c r="G76" s="67">
        <v>0.15241635687732341</v>
      </c>
      <c r="H76" s="67">
        <v>0.17898832684824903</v>
      </c>
      <c r="I76" s="1">
        <v>3321</v>
      </c>
      <c r="J76" s="1">
        <v>3212</v>
      </c>
      <c r="K76" s="1">
        <v>17013</v>
      </c>
      <c r="L76" s="1">
        <v>16402</v>
      </c>
      <c r="M76" s="18">
        <v>0.89</v>
      </c>
      <c r="N76" s="18">
        <v>0.02</v>
      </c>
      <c r="O76" s="18">
        <v>0.98</v>
      </c>
      <c r="P76" s="18">
        <v>0.67</v>
      </c>
      <c r="Q76" s="22">
        <v>1</v>
      </c>
      <c r="R76" s="230">
        <v>0</v>
      </c>
      <c r="S76" s="230">
        <v>0</v>
      </c>
      <c r="T76" s="240">
        <v>0</v>
      </c>
      <c r="U76" s="245" t="str">
        <f t="shared" si="6"/>
        <v>Normal</v>
      </c>
      <c r="V76" s="245" t="str">
        <f t="shared" si="7"/>
        <v>Normal</v>
      </c>
      <c r="W76" s="87">
        <f t="shared" si="8"/>
        <v>0.15241635687732341</v>
      </c>
      <c r="X76" s="87">
        <f t="shared" si="9"/>
        <v>0.17898832684824903</v>
      </c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</row>
    <row r="77" spans="1:35">
      <c r="A77" s="23">
        <v>44727</v>
      </c>
      <c r="B77" s="121">
        <f>IF(YEAR(Table9[[#This Row],[Date]]) = 2022, WEEKNUM(Table9[[#This Row],[Date]])-13, WEEKNUM(Table9[[#This Row],[Date]])+40)</f>
        <v>12</v>
      </c>
      <c r="C77" s="35" t="s">
        <v>50</v>
      </c>
      <c r="D77" s="35" t="s">
        <v>59</v>
      </c>
      <c r="E77" s="1">
        <v>256</v>
      </c>
      <c r="F77" s="1">
        <v>246</v>
      </c>
      <c r="G77" s="67">
        <v>-0.13220338983050847</v>
      </c>
      <c r="H77" s="67">
        <v>-0.15172413793103448</v>
      </c>
      <c r="I77" s="1">
        <v>3577</v>
      </c>
      <c r="J77" s="1">
        <v>3458</v>
      </c>
      <c r="K77" s="1">
        <v>17269</v>
      </c>
      <c r="L77" s="1">
        <v>16648</v>
      </c>
      <c r="M77" s="18">
        <v>0.91</v>
      </c>
      <c r="N77" s="18">
        <v>0.04</v>
      </c>
      <c r="O77" s="18">
        <v>0.96</v>
      </c>
      <c r="P77" s="18">
        <v>0.66</v>
      </c>
      <c r="Q77" s="22">
        <v>1</v>
      </c>
      <c r="R77" s="230">
        <v>0</v>
      </c>
      <c r="S77" s="230">
        <v>0</v>
      </c>
      <c r="T77" s="240">
        <v>0</v>
      </c>
      <c r="U77" s="245" t="str">
        <f t="shared" si="6"/>
        <v>Normal</v>
      </c>
      <c r="V77" s="245" t="str">
        <f t="shared" si="7"/>
        <v>Normal</v>
      </c>
      <c r="W77" s="87">
        <f t="shared" si="8"/>
        <v>-0.13220338983050847</v>
      </c>
      <c r="X77" s="87">
        <f t="shared" si="9"/>
        <v>-0.15172413793103448</v>
      </c>
      <c r="Y77" s="236"/>
      <c r="Z77" s="236"/>
      <c r="AA77" s="236"/>
      <c r="AB77" s="236"/>
      <c r="AC77" s="236"/>
      <c r="AD77" s="236"/>
      <c r="AE77" s="236"/>
      <c r="AF77" s="236"/>
      <c r="AG77" s="236"/>
      <c r="AH77" s="236"/>
      <c r="AI77" s="236"/>
    </row>
    <row r="78" spans="1:35">
      <c r="A78" s="23">
        <v>44728</v>
      </c>
      <c r="B78" s="121">
        <f>IF(YEAR(Table9[[#This Row],[Date]]) = 2022, WEEKNUM(Table9[[#This Row],[Date]])-13, WEEKNUM(Table9[[#This Row],[Date]])+40)</f>
        <v>12</v>
      </c>
      <c r="C78" s="35" t="s">
        <v>51</v>
      </c>
      <c r="D78" s="35" t="s">
        <v>59</v>
      </c>
      <c r="E78" s="1">
        <v>315</v>
      </c>
      <c r="F78" s="1">
        <v>297</v>
      </c>
      <c r="G78" s="67">
        <v>0.54411764705882348</v>
      </c>
      <c r="H78" s="67">
        <v>0.47761194029850745</v>
      </c>
      <c r="I78" s="1">
        <v>3892</v>
      </c>
      <c r="J78" s="1">
        <v>3755</v>
      </c>
      <c r="K78" s="1">
        <v>17584</v>
      </c>
      <c r="L78" s="1">
        <v>16945</v>
      </c>
      <c r="M78" s="18">
        <v>0.87</v>
      </c>
      <c r="N78" s="18">
        <v>0.06</v>
      </c>
      <c r="O78" s="18">
        <v>0.94</v>
      </c>
      <c r="P78" s="18">
        <v>0.66</v>
      </c>
      <c r="Q78" s="22">
        <v>1</v>
      </c>
      <c r="R78" s="230">
        <v>0</v>
      </c>
      <c r="S78" s="230">
        <v>0</v>
      </c>
      <c r="T78" s="240">
        <v>0</v>
      </c>
      <c r="U78" s="245" t="str">
        <f t="shared" si="6"/>
        <v>Outlier</v>
      </c>
      <c r="V78" s="245" t="str">
        <f t="shared" si="7"/>
        <v>Outlier</v>
      </c>
      <c r="W78" s="87">
        <f t="shared" si="8"/>
        <v>0.54411764705882348</v>
      </c>
      <c r="X78" s="87">
        <f t="shared" si="9"/>
        <v>0.47761194029850745</v>
      </c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</row>
    <row r="79" spans="1:35">
      <c r="A79" s="23">
        <v>44729</v>
      </c>
      <c r="B79" s="121">
        <f>IF(YEAR(Table9[[#This Row],[Date]]) = 2022, WEEKNUM(Table9[[#This Row],[Date]])-13, WEEKNUM(Table9[[#This Row],[Date]])+40)</f>
        <v>12</v>
      </c>
      <c r="C79" s="35" t="s">
        <v>52</v>
      </c>
      <c r="D79" s="35" t="s">
        <v>59</v>
      </c>
      <c r="E79" s="1">
        <v>286</v>
      </c>
      <c r="F79" s="1">
        <v>281</v>
      </c>
      <c r="G79" s="67">
        <v>0.16734693877551021</v>
      </c>
      <c r="H79" s="67">
        <v>0.17083333333333334</v>
      </c>
      <c r="I79" s="1">
        <v>4178</v>
      </c>
      <c r="J79" s="1">
        <v>4036</v>
      </c>
      <c r="K79" s="1">
        <v>17870</v>
      </c>
      <c r="L79" s="1">
        <v>17226</v>
      </c>
      <c r="M79" s="18">
        <v>0.94</v>
      </c>
      <c r="N79" s="18">
        <v>0.02</v>
      </c>
      <c r="O79" s="18">
        <v>0.98</v>
      </c>
      <c r="P79" s="18">
        <v>0.66</v>
      </c>
      <c r="Q79" s="22">
        <v>1</v>
      </c>
      <c r="R79" s="230">
        <v>0</v>
      </c>
      <c r="S79" s="230">
        <v>0</v>
      </c>
      <c r="T79" s="240">
        <v>0</v>
      </c>
      <c r="U79" s="245" t="str">
        <f t="shared" si="6"/>
        <v>Normal</v>
      </c>
      <c r="V79" s="245" t="str">
        <f t="shared" si="7"/>
        <v>Normal</v>
      </c>
      <c r="W79" s="87">
        <f t="shared" si="8"/>
        <v>0.16734693877551021</v>
      </c>
      <c r="X79" s="87">
        <f t="shared" si="9"/>
        <v>0.17083333333333334</v>
      </c>
      <c r="Y79" s="236"/>
      <c r="Z79" s="236"/>
      <c r="AA79" s="236"/>
      <c r="AB79" s="236"/>
      <c r="AC79" s="236"/>
      <c r="AD79" s="236"/>
      <c r="AE79" s="236"/>
      <c r="AF79" s="236"/>
      <c r="AG79" s="236"/>
      <c r="AH79" s="236"/>
      <c r="AI79" s="236"/>
    </row>
    <row r="80" spans="1:35">
      <c r="A80" s="23">
        <v>44730</v>
      </c>
      <c r="B80" s="121">
        <f>IF(YEAR(Table9[[#This Row],[Date]]) = 2022, WEEKNUM(Table9[[#This Row],[Date]])-13, WEEKNUM(Table9[[#This Row],[Date]])+40)</f>
        <v>12</v>
      </c>
      <c r="C80" s="35" t="s">
        <v>53</v>
      </c>
      <c r="D80" s="35" t="s">
        <v>59</v>
      </c>
      <c r="E80" s="1">
        <v>227</v>
      </c>
      <c r="F80" s="1">
        <v>224</v>
      </c>
      <c r="G80" s="67">
        <v>0.10194174757281553</v>
      </c>
      <c r="H80" s="67">
        <v>0.12562814070351758</v>
      </c>
      <c r="I80" s="1">
        <v>4405</v>
      </c>
      <c r="J80" s="1">
        <v>4260</v>
      </c>
      <c r="K80" s="1">
        <v>18097</v>
      </c>
      <c r="L80" s="1">
        <v>17450</v>
      </c>
      <c r="M80" s="18">
        <v>0.88</v>
      </c>
      <c r="N80" s="18">
        <v>0.01</v>
      </c>
      <c r="O80" s="18">
        <v>0.99</v>
      </c>
      <c r="P80" s="18">
        <v>0.65</v>
      </c>
      <c r="Q80" s="22">
        <v>1</v>
      </c>
      <c r="R80" s="230">
        <v>0</v>
      </c>
      <c r="S80" s="230">
        <v>0</v>
      </c>
      <c r="T80" s="240">
        <v>0</v>
      </c>
      <c r="U80" s="245" t="str">
        <f t="shared" si="6"/>
        <v>Normal</v>
      </c>
      <c r="V80" s="245" t="str">
        <f t="shared" si="7"/>
        <v>Normal</v>
      </c>
      <c r="W80" s="87">
        <f t="shared" si="8"/>
        <v>0.10194174757281553</v>
      </c>
      <c r="X80" s="87">
        <f t="shared" si="9"/>
        <v>0.12562814070351758</v>
      </c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</row>
    <row r="81" spans="1:35">
      <c r="A81" s="27">
        <v>44731</v>
      </c>
      <c r="B81" s="306">
        <f>IF(YEAR(Table9[[#This Row],[Date]]) = 2022, WEEKNUM(Table9[[#This Row],[Date]])-13, WEEKNUM(Table9[[#This Row],[Date]])+40)</f>
        <v>13</v>
      </c>
      <c r="C81" s="35" t="s">
        <v>47</v>
      </c>
      <c r="D81" s="35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22">
        <v>0</v>
      </c>
      <c r="R81" s="230">
        <v>0</v>
      </c>
      <c r="S81" s="230">
        <v>0</v>
      </c>
      <c r="T81" s="240">
        <v>0</v>
      </c>
      <c r="U81" s="245" t="str">
        <f t="shared" si="6"/>
        <v>Normal</v>
      </c>
      <c r="V81" s="245" t="str">
        <f t="shared" si="7"/>
        <v>Normal</v>
      </c>
      <c r="W81" s="87">
        <f t="shared" si="8"/>
        <v>0</v>
      </c>
      <c r="X81" s="87">
        <f t="shared" si="9"/>
        <v>0</v>
      </c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</row>
    <row r="82" spans="1:35">
      <c r="A82" s="23">
        <v>44732</v>
      </c>
      <c r="B82" s="121">
        <f>IF(YEAR(Table9[[#This Row],[Date]]) = 2022, WEEKNUM(Table9[[#This Row],[Date]])-13, WEEKNUM(Table9[[#This Row],[Date]])+40)</f>
        <v>13</v>
      </c>
      <c r="C82" s="35" t="s">
        <v>48</v>
      </c>
      <c r="D82" s="35" t="s">
        <v>59</v>
      </c>
      <c r="E82" s="1">
        <v>359</v>
      </c>
      <c r="F82" s="1">
        <v>358</v>
      </c>
      <c r="G82" s="67">
        <v>0.13607594936708861</v>
      </c>
      <c r="H82" s="67">
        <v>0.20945945945945946</v>
      </c>
      <c r="I82" s="1">
        <v>4764</v>
      </c>
      <c r="J82" s="1">
        <v>4618</v>
      </c>
      <c r="K82" s="1">
        <v>18456</v>
      </c>
      <c r="L82" s="1">
        <v>17808</v>
      </c>
      <c r="M82" s="18">
        <v>0.91</v>
      </c>
      <c r="N82" s="18">
        <v>0</v>
      </c>
      <c r="O82" s="18">
        <v>1</v>
      </c>
      <c r="P82" s="18">
        <v>0.69</v>
      </c>
      <c r="Q82" s="22">
        <v>1</v>
      </c>
      <c r="R82" s="230">
        <v>0</v>
      </c>
      <c r="S82" s="230">
        <v>0</v>
      </c>
      <c r="T82" s="240">
        <v>0</v>
      </c>
      <c r="U82" s="245" t="str">
        <f t="shared" si="6"/>
        <v>Normal</v>
      </c>
      <c r="V82" s="245" t="str">
        <f t="shared" si="7"/>
        <v>Normal</v>
      </c>
      <c r="W82" s="87">
        <f t="shared" si="8"/>
        <v>0.13607594936708861</v>
      </c>
      <c r="X82" s="87">
        <f t="shared" si="9"/>
        <v>0.20945945945945946</v>
      </c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</row>
    <row r="83" spans="1:35">
      <c r="A83" s="23">
        <v>44733</v>
      </c>
      <c r="B83" s="121">
        <f>IF(YEAR(Table9[[#This Row],[Date]]) = 2022, WEEKNUM(Table9[[#This Row],[Date]])-13, WEEKNUM(Table9[[#This Row],[Date]])+40)</f>
        <v>13</v>
      </c>
      <c r="C83" s="35" t="s">
        <v>49</v>
      </c>
      <c r="D83" s="35" t="s">
        <v>59</v>
      </c>
      <c r="E83" s="1">
        <v>308</v>
      </c>
      <c r="F83" s="1">
        <v>301</v>
      </c>
      <c r="G83" s="67">
        <v>-6.4516129032258064E-3</v>
      </c>
      <c r="H83" s="67">
        <v>-6.6006600660066007E-3</v>
      </c>
      <c r="I83" s="1">
        <v>5072</v>
      </c>
      <c r="J83" s="1">
        <v>4919</v>
      </c>
      <c r="K83" s="1">
        <v>18764</v>
      </c>
      <c r="L83" s="1">
        <v>18109</v>
      </c>
      <c r="M83" s="18">
        <v>0.92</v>
      </c>
      <c r="N83" s="18">
        <v>0.02</v>
      </c>
      <c r="O83" s="18">
        <v>0.98</v>
      </c>
      <c r="P83" s="18">
        <v>0.66</v>
      </c>
      <c r="Q83" s="22">
        <v>1</v>
      </c>
      <c r="R83" s="230">
        <v>0</v>
      </c>
      <c r="S83" s="230">
        <v>0</v>
      </c>
      <c r="T83" s="240">
        <v>0</v>
      </c>
      <c r="U83" s="245" t="str">
        <f t="shared" si="6"/>
        <v>Normal</v>
      </c>
      <c r="V83" s="245" t="str">
        <f t="shared" si="7"/>
        <v>Normal</v>
      </c>
      <c r="W83" s="87">
        <f t="shared" si="8"/>
        <v>-6.4516129032258064E-3</v>
      </c>
      <c r="X83" s="87">
        <f t="shared" si="9"/>
        <v>-6.6006600660066007E-3</v>
      </c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</row>
    <row r="84" spans="1:35">
      <c r="A84" s="23">
        <v>44734</v>
      </c>
      <c r="B84" s="121">
        <f>IF(YEAR(Table9[[#This Row],[Date]]) = 2022, WEEKNUM(Table9[[#This Row],[Date]])-13, WEEKNUM(Table9[[#This Row],[Date]])+40)</f>
        <v>13</v>
      </c>
      <c r="C84" s="35" t="s">
        <v>50</v>
      </c>
      <c r="D84" s="35" t="s">
        <v>59</v>
      </c>
      <c r="E84" s="1">
        <v>455</v>
      </c>
      <c r="F84" s="1">
        <v>445</v>
      </c>
      <c r="G84" s="67">
        <v>0.77734375</v>
      </c>
      <c r="H84" s="67">
        <v>0.80894308943089432</v>
      </c>
      <c r="I84" s="1">
        <v>5527</v>
      </c>
      <c r="J84" s="1">
        <v>5364</v>
      </c>
      <c r="K84" s="1">
        <v>19219</v>
      </c>
      <c r="L84" s="1">
        <v>18554</v>
      </c>
      <c r="M84" s="18">
        <v>0.86</v>
      </c>
      <c r="N84" s="18">
        <v>0.02</v>
      </c>
      <c r="O84" s="18">
        <v>0.98</v>
      </c>
      <c r="P84" s="18">
        <v>0.71</v>
      </c>
      <c r="Q84" s="22">
        <v>1</v>
      </c>
      <c r="R84" s="230">
        <v>0</v>
      </c>
      <c r="S84" s="230">
        <v>0</v>
      </c>
      <c r="T84" s="240">
        <v>0</v>
      </c>
      <c r="U84" s="245" t="str">
        <f t="shared" si="6"/>
        <v>Outlier</v>
      </c>
      <c r="V84" s="245" t="str">
        <f t="shared" si="7"/>
        <v>Outlier</v>
      </c>
      <c r="W84" s="87">
        <f t="shared" si="8"/>
        <v>0.77734375</v>
      </c>
      <c r="X84" s="87">
        <f t="shared" si="9"/>
        <v>0.80894308943089432</v>
      </c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</row>
    <row r="85" spans="1:35">
      <c r="A85" s="23">
        <v>44735</v>
      </c>
      <c r="B85" s="121">
        <f>IF(YEAR(Table9[[#This Row],[Date]]) = 2022, WEEKNUM(Table9[[#This Row],[Date]])-13, WEEKNUM(Table9[[#This Row],[Date]])+40)</f>
        <v>13</v>
      </c>
      <c r="C85" s="35" t="s">
        <v>51</v>
      </c>
      <c r="D85" s="35" t="s">
        <v>59</v>
      </c>
      <c r="E85" s="1">
        <v>355</v>
      </c>
      <c r="F85" s="1">
        <v>343</v>
      </c>
      <c r="G85" s="67">
        <v>0.12698412698412698</v>
      </c>
      <c r="H85" s="67">
        <v>0.15488215488215487</v>
      </c>
      <c r="I85" s="1">
        <v>5882</v>
      </c>
      <c r="J85" s="1">
        <v>5707</v>
      </c>
      <c r="K85" s="1">
        <v>19574</v>
      </c>
      <c r="L85" s="1">
        <v>18897</v>
      </c>
      <c r="M85" s="18">
        <v>0.9</v>
      </c>
      <c r="N85" s="18">
        <v>0.03</v>
      </c>
      <c r="O85" s="18">
        <v>0.97</v>
      </c>
      <c r="P85" s="18">
        <v>0.65</v>
      </c>
      <c r="Q85" s="22">
        <v>1</v>
      </c>
      <c r="R85" s="230">
        <v>0</v>
      </c>
      <c r="S85" s="230">
        <v>0</v>
      </c>
      <c r="T85" s="240">
        <v>0</v>
      </c>
      <c r="U85" s="245" t="str">
        <f t="shared" si="6"/>
        <v>Normal</v>
      </c>
      <c r="V85" s="245" t="str">
        <f t="shared" si="7"/>
        <v>Normal</v>
      </c>
      <c r="W85" s="87">
        <f t="shared" si="8"/>
        <v>0.12698412698412698</v>
      </c>
      <c r="X85" s="87">
        <f t="shared" si="9"/>
        <v>0.15488215488215487</v>
      </c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</row>
    <row r="86" spans="1:35">
      <c r="A86" s="23">
        <v>44736</v>
      </c>
      <c r="B86" s="121">
        <f>IF(YEAR(Table9[[#This Row],[Date]]) = 2022, WEEKNUM(Table9[[#This Row],[Date]])-13, WEEKNUM(Table9[[#This Row],[Date]])+40)</f>
        <v>13</v>
      </c>
      <c r="C86" s="35" t="s">
        <v>52</v>
      </c>
      <c r="D86" s="35" t="s">
        <v>59</v>
      </c>
      <c r="E86" s="1">
        <v>312</v>
      </c>
      <c r="F86" s="1">
        <v>306</v>
      </c>
      <c r="G86" s="67">
        <v>9.0909090909090912E-2</v>
      </c>
      <c r="H86" s="67">
        <v>8.8967971530249115E-2</v>
      </c>
      <c r="I86" s="1">
        <v>6194</v>
      </c>
      <c r="J86" s="1">
        <v>6013</v>
      </c>
      <c r="K86" s="1">
        <v>19886</v>
      </c>
      <c r="L86" s="1">
        <v>19203</v>
      </c>
      <c r="M86" s="18">
        <v>0.89</v>
      </c>
      <c r="N86" s="18">
        <v>0.02</v>
      </c>
      <c r="O86" s="18">
        <v>0.98</v>
      </c>
      <c r="P86" s="18">
        <v>0.72</v>
      </c>
      <c r="Q86" s="22">
        <v>1</v>
      </c>
      <c r="R86" s="230">
        <v>0</v>
      </c>
      <c r="S86" s="230">
        <v>0</v>
      </c>
      <c r="T86" s="240">
        <v>0</v>
      </c>
      <c r="U86" s="245" t="str">
        <f t="shared" si="6"/>
        <v>Normal</v>
      </c>
      <c r="V86" s="245" t="str">
        <f t="shared" si="7"/>
        <v>Normal</v>
      </c>
      <c r="W86" s="87">
        <f t="shared" si="8"/>
        <v>9.0909090909090912E-2</v>
      </c>
      <c r="X86" s="87">
        <f t="shared" si="9"/>
        <v>8.8967971530249115E-2</v>
      </c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</row>
    <row r="87" spans="1:35">
      <c r="A87" s="23">
        <v>44737</v>
      </c>
      <c r="B87" s="121">
        <f>IF(YEAR(Table9[[#This Row],[Date]]) = 2022, WEEKNUM(Table9[[#This Row],[Date]])-13, WEEKNUM(Table9[[#This Row],[Date]])+40)</f>
        <v>13</v>
      </c>
      <c r="C87" s="35" t="s">
        <v>53</v>
      </c>
      <c r="D87" s="35" t="s">
        <v>59</v>
      </c>
      <c r="E87" s="1">
        <v>201</v>
      </c>
      <c r="F87" s="1">
        <v>194</v>
      </c>
      <c r="G87" s="67">
        <v>-0.11453744493392071</v>
      </c>
      <c r="H87" s="67">
        <v>-0.13392857142857142</v>
      </c>
      <c r="I87" s="1">
        <v>6395</v>
      </c>
      <c r="J87" s="1">
        <v>6207</v>
      </c>
      <c r="K87" s="1">
        <v>20087</v>
      </c>
      <c r="L87" s="1">
        <v>19397</v>
      </c>
      <c r="M87" s="18">
        <v>0.89</v>
      </c>
      <c r="N87" s="18">
        <v>0.03</v>
      </c>
      <c r="O87" s="18">
        <v>0.97</v>
      </c>
      <c r="P87" s="18">
        <v>0.66</v>
      </c>
      <c r="Q87" s="22">
        <v>1</v>
      </c>
      <c r="R87" s="230">
        <v>0</v>
      </c>
      <c r="S87" s="230">
        <v>0</v>
      </c>
      <c r="T87" s="240">
        <v>0</v>
      </c>
      <c r="U87" s="245" t="str">
        <f t="shared" si="6"/>
        <v>Normal</v>
      </c>
      <c r="V87" s="245" t="str">
        <f t="shared" si="7"/>
        <v>Normal</v>
      </c>
      <c r="W87" s="87">
        <f t="shared" si="8"/>
        <v>-0.11453744493392071</v>
      </c>
      <c r="X87" s="87">
        <f t="shared" si="9"/>
        <v>-0.13392857142857142</v>
      </c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</row>
    <row r="88" spans="1:35">
      <c r="A88" s="23">
        <v>44738</v>
      </c>
      <c r="B88" s="121">
        <f>IF(YEAR(Table9[[#This Row],[Date]]) = 2022, WEEKNUM(Table9[[#This Row],[Date]])-13, WEEKNUM(Table9[[#This Row],[Date]])+40)</f>
        <v>14</v>
      </c>
      <c r="C88" s="35" t="s">
        <v>47</v>
      </c>
      <c r="D88" s="35" t="s">
        <v>59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22">
        <v>0</v>
      </c>
      <c r="R88" s="230">
        <v>0</v>
      </c>
      <c r="S88" s="230">
        <v>0</v>
      </c>
      <c r="T88" s="240">
        <v>0</v>
      </c>
      <c r="U88" s="245" t="str">
        <f t="shared" si="6"/>
        <v>Normal</v>
      </c>
      <c r="V88" s="245" t="str">
        <f t="shared" si="7"/>
        <v>Normal</v>
      </c>
      <c r="W88" s="87">
        <f t="shared" si="8"/>
        <v>0</v>
      </c>
      <c r="X88" s="87">
        <f t="shared" si="9"/>
        <v>0</v>
      </c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</row>
    <row r="89" spans="1:35">
      <c r="A89" s="23">
        <v>44739</v>
      </c>
      <c r="B89" s="121">
        <f>IF(YEAR(Table9[[#This Row],[Date]]) = 2022, WEEKNUM(Table9[[#This Row],[Date]])-13, WEEKNUM(Table9[[#This Row],[Date]])+40)</f>
        <v>14</v>
      </c>
      <c r="C89" s="35" t="s">
        <v>48</v>
      </c>
      <c r="D89" s="35" t="s">
        <v>59</v>
      </c>
      <c r="E89" s="1">
        <v>380</v>
      </c>
      <c r="F89" s="1">
        <v>370</v>
      </c>
      <c r="G89" s="67">
        <v>5.8495821727019497E-2</v>
      </c>
      <c r="H89" s="67">
        <v>3.3519553072625698E-2</v>
      </c>
      <c r="I89" s="1">
        <v>6775</v>
      </c>
      <c r="J89" s="1">
        <v>6577</v>
      </c>
      <c r="K89" s="1">
        <v>20467</v>
      </c>
      <c r="L89" s="1">
        <v>19767</v>
      </c>
      <c r="M89" s="18">
        <v>0.91</v>
      </c>
      <c r="N89" s="18">
        <v>0.03</v>
      </c>
      <c r="O89" s="18">
        <v>0.97</v>
      </c>
      <c r="P89" s="18">
        <v>0.72</v>
      </c>
      <c r="Q89" s="22">
        <v>1</v>
      </c>
      <c r="R89" s="230">
        <v>0</v>
      </c>
      <c r="S89" s="230">
        <v>0</v>
      </c>
      <c r="T89" s="240">
        <v>0</v>
      </c>
      <c r="U89" s="245" t="str">
        <f t="shared" si="6"/>
        <v>Normal</v>
      </c>
      <c r="V89" s="245" t="str">
        <f t="shared" si="7"/>
        <v>Normal</v>
      </c>
      <c r="W89" s="87">
        <f t="shared" si="8"/>
        <v>5.8495821727019497E-2</v>
      </c>
      <c r="X89" s="87">
        <f t="shared" si="9"/>
        <v>3.3519553072625698E-2</v>
      </c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</row>
    <row r="90" spans="1:35">
      <c r="A90" s="23">
        <v>44740</v>
      </c>
      <c r="B90" s="121">
        <f>IF(YEAR(Table9[[#This Row],[Date]]) = 2022, WEEKNUM(Table9[[#This Row],[Date]])-13, WEEKNUM(Table9[[#This Row],[Date]])+40)</f>
        <v>14</v>
      </c>
      <c r="C90" s="35" t="s">
        <v>49</v>
      </c>
      <c r="D90" s="35" t="s">
        <v>59</v>
      </c>
      <c r="E90" s="1">
        <v>338</v>
      </c>
      <c r="F90" s="1">
        <v>322</v>
      </c>
      <c r="G90" s="67">
        <v>9.7402597402597407E-2</v>
      </c>
      <c r="H90" s="67">
        <v>6.9767441860465115E-2</v>
      </c>
      <c r="I90" s="1">
        <f>I89+Table9[[#This Row],[Calls Off]]</f>
        <v>7113</v>
      </c>
      <c r="J90" s="1">
        <f>J89+Table9[[#This Row],[Calls Ans]]</f>
        <v>6899</v>
      </c>
      <c r="K90" s="1">
        <v>20847</v>
      </c>
      <c r="L90" s="1">
        <v>20089</v>
      </c>
      <c r="M90" s="18">
        <v>0.87</v>
      </c>
      <c r="N90" s="18">
        <v>0.05</v>
      </c>
      <c r="O90" s="18">
        <v>0.95</v>
      </c>
      <c r="P90" s="18">
        <v>0.78</v>
      </c>
      <c r="Q90" s="22">
        <v>1</v>
      </c>
      <c r="R90" s="230">
        <v>0</v>
      </c>
      <c r="S90" s="230">
        <v>0</v>
      </c>
      <c r="T90" s="240">
        <v>0</v>
      </c>
      <c r="U90" s="245" t="str">
        <f t="shared" si="6"/>
        <v>Normal</v>
      </c>
      <c r="V90" s="245" t="str">
        <f t="shared" si="7"/>
        <v>Normal</v>
      </c>
      <c r="W90" s="87">
        <f t="shared" si="8"/>
        <v>9.7402597402597407E-2</v>
      </c>
      <c r="X90" s="87">
        <f t="shared" si="9"/>
        <v>6.9767441860465115E-2</v>
      </c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</row>
    <row r="91" spans="1:35">
      <c r="A91" s="23">
        <v>44741</v>
      </c>
      <c r="B91" s="121">
        <f>IF(YEAR(Table9[[#This Row],[Date]]) = 2022, WEEKNUM(Table9[[#This Row],[Date]])-13, WEEKNUM(Table9[[#This Row],[Date]])+40)</f>
        <v>14</v>
      </c>
      <c r="C91" s="35" t="s">
        <v>50</v>
      </c>
      <c r="D91" s="35" t="s">
        <v>59</v>
      </c>
      <c r="E91" s="1">
        <v>307</v>
      </c>
      <c r="F91" s="1">
        <v>297</v>
      </c>
      <c r="G91" s="67">
        <v>-0.32527472527472528</v>
      </c>
      <c r="H91" s="67">
        <v>-0.33258426966292137</v>
      </c>
      <c r="I91" s="1">
        <f>I90+Table9[[#This Row],[Calls Off]]</f>
        <v>7420</v>
      </c>
      <c r="J91" s="1">
        <f>J90+Table9[[#This Row],[Calls Ans]]</f>
        <v>7196</v>
      </c>
      <c r="K91" s="1">
        <v>20774</v>
      </c>
      <c r="L91" s="1">
        <v>20064</v>
      </c>
      <c r="M91" s="18">
        <v>0.88</v>
      </c>
      <c r="N91" s="18">
        <v>0.03</v>
      </c>
      <c r="O91" s="18">
        <v>0.97</v>
      </c>
      <c r="P91" s="18">
        <v>0.7</v>
      </c>
      <c r="Q91" s="22">
        <v>0.99</v>
      </c>
      <c r="R91" s="230">
        <v>0</v>
      </c>
      <c r="S91" s="230">
        <v>0</v>
      </c>
      <c r="T91" s="240">
        <v>0</v>
      </c>
      <c r="U91" s="245" t="str">
        <f t="shared" si="6"/>
        <v>Normal</v>
      </c>
      <c r="V91" s="245" t="str">
        <f t="shared" si="7"/>
        <v>Normal</v>
      </c>
      <c r="W91" s="87">
        <f t="shared" si="8"/>
        <v>-0.32527472527472528</v>
      </c>
      <c r="X91" s="87">
        <f t="shared" si="9"/>
        <v>-0.33258426966292137</v>
      </c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</row>
    <row r="92" spans="1:35">
      <c r="A92" s="23">
        <v>44742</v>
      </c>
      <c r="B92" s="121">
        <f>IF(YEAR(Table9[[#This Row],[Date]]) = 2022, WEEKNUM(Table9[[#This Row],[Date]])-13, WEEKNUM(Table9[[#This Row],[Date]])+40)</f>
        <v>14</v>
      </c>
      <c r="C92" s="35" t="s">
        <v>51</v>
      </c>
      <c r="D92" s="35" t="s">
        <v>59</v>
      </c>
      <c r="E92" s="1">
        <v>311</v>
      </c>
      <c r="F92" s="1">
        <v>303</v>
      </c>
      <c r="G92" s="67">
        <v>-0.12394366197183099</v>
      </c>
      <c r="H92" s="67">
        <v>-0.11661807580174927</v>
      </c>
      <c r="I92" s="1">
        <f>I91+Table9[[#This Row],[Calls Off]]</f>
        <v>7731</v>
      </c>
      <c r="J92" s="1">
        <f>J91+Table9[[#This Row],[Calls Ans]]</f>
        <v>7499</v>
      </c>
      <c r="K92" s="1">
        <v>21158</v>
      </c>
      <c r="L92" s="1">
        <v>20392</v>
      </c>
      <c r="M92" s="18">
        <v>0.9</v>
      </c>
      <c r="N92" s="18">
        <v>0.03</v>
      </c>
      <c r="O92" s="18">
        <v>0.97</v>
      </c>
      <c r="P92" s="18">
        <v>0.69</v>
      </c>
      <c r="Q92" s="22">
        <v>1</v>
      </c>
      <c r="R92" s="230">
        <v>0</v>
      </c>
      <c r="S92" s="230">
        <v>0</v>
      </c>
      <c r="T92" s="240">
        <v>0</v>
      </c>
      <c r="U92" s="245" t="str">
        <f t="shared" si="6"/>
        <v>Normal</v>
      </c>
      <c r="V92" s="245" t="str">
        <f t="shared" si="7"/>
        <v>Normal</v>
      </c>
      <c r="W92" s="87">
        <f t="shared" si="8"/>
        <v>-0.12394366197183099</v>
      </c>
      <c r="X92" s="87">
        <f t="shared" si="9"/>
        <v>-0.11661807580174927</v>
      </c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</row>
    <row r="93" spans="1:35">
      <c r="A93" s="23">
        <v>44743</v>
      </c>
      <c r="B93" s="121">
        <f>IF(YEAR(Table9[[#This Row],[Date]]) = 2022, WEEKNUM(Table9[[#This Row],[Date]])-13, WEEKNUM(Table9[[#This Row],[Date]])+40)</f>
        <v>14</v>
      </c>
      <c r="C93" s="35" t="s">
        <v>52</v>
      </c>
      <c r="D93" s="35" t="s">
        <v>59</v>
      </c>
      <c r="E93" s="1">
        <v>312</v>
      </c>
      <c r="F93" s="1">
        <v>305</v>
      </c>
      <c r="G93" s="67">
        <v>0</v>
      </c>
      <c r="H93" s="67">
        <v>-3.2679738562091504E-3</v>
      </c>
      <c r="I93" s="1">
        <f>Table9[[#This Row],[Calls Off]]</f>
        <v>312</v>
      </c>
      <c r="J93" s="1">
        <f>Table9[[#This Row],[Calls Ans]]</f>
        <v>305</v>
      </c>
      <c r="K93" s="1">
        <v>21086</v>
      </c>
      <c r="L93" s="1">
        <v>20369</v>
      </c>
      <c r="M93" s="18">
        <v>0.88</v>
      </c>
      <c r="N93" s="18">
        <v>0.02</v>
      </c>
      <c r="O93" s="18">
        <v>0.98</v>
      </c>
      <c r="P93" s="18">
        <v>0.66</v>
      </c>
      <c r="Q93" s="22">
        <v>1</v>
      </c>
      <c r="R93" s="230">
        <v>0</v>
      </c>
      <c r="S93" s="230">
        <v>0</v>
      </c>
      <c r="T93" s="240">
        <v>0</v>
      </c>
      <c r="U93" s="245" t="str">
        <f t="shared" si="6"/>
        <v>Normal</v>
      </c>
      <c r="V93" s="245" t="str">
        <f t="shared" si="7"/>
        <v>Normal</v>
      </c>
      <c r="W93" s="87">
        <f t="shared" si="8"/>
        <v>0</v>
      </c>
      <c r="X93" s="87">
        <f t="shared" si="9"/>
        <v>-3.2679738562091504E-3</v>
      </c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</row>
    <row r="94" spans="1:35">
      <c r="A94" s="23">
        <v>44744</v>
      </c>
      <c r="B94" s="121">
        <f>IF(YEAR(Table9[[#This Row],[Date]]) = 2022, WEEKNUM(Table9[[#This Row],[Date]])-13, WEEKNUM(Table9[[#This Row],[Date]])+40)</f>
        <v>14</v>
      </c>
      <c r="C94" s="35" t="s">
        <v>53</v>
      </c>
      <c r="D94" s="35" t="s">
        <v>59</v>
      </c>
      <c r="E94" s="1">
        <v>233</v>
      </c>
      <c r="F94" s="1">
        <v>228</v>
      </c>
      <c r="G94" s="67">
        <v>0.15920398009950248</v>
      </c>
      <c r="H94" s="67">
        <v>0.17525773195876287</v>
      </c>
      <c r="I94" s="1">
        <f>I93+Table9[[#This Row],[Calls Off]]</f>
        <v>545</v>
      </c>
      <c r="J94" s="1">
        <f>J93+Table9[[#This Row],[Calls Ans]]</f>
        <v>533</v>
      </c>
      <c r="K94" s="1">
        <v>21391</v>
      </c>
      <c r="L94" s="1">
        <v>20620</v>
      </c>
      <c r="M94" s="18">
        <v>0.88</v>
      </c>
      <c r="N94" s="18">
        <v>0.02</v>
      </c>
      <c r="O94" s="18">
        <v>0.98</v>
      </c>
      <c r="P94" s="18">
        <v>0.72</v>
      </c>
      <c r="Q94" s="22">
        <v>1</v>
      </c>
      <c r="R94" s="230">
        <v>0</v>
      </c>
      <c r="S94" s="230">
        <v>0</v>
      </c>
      <c r="T94" s="240">
        <v>0</v>
      </c>
      <c r="U94" s="245" t="str">
        <f t="shared" si="6"/>
        <v>Normal</v>
      </c>
      <c r="V94" s="245" t="str">
        <f t="shared" si="7"/>
        <v>Normal</v>
      </c>
      <c r="W94" s="87">
        <f t="shared" si="8"/>
        <v>0.15920398009950248</v>
      </c>
      <c r="X94" s="87">
        <f t="shared" si="9"/>
        <v>0.17525773195876287</v>
      </c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</row>
    <row r="95" spans="1:35">
      <c r="A95" s="23">
        <v>44745</v>
      </c>
      <c r="B95" s="121">
        <f>IF(YEAR(Table9[[#This Row],[Date]]) = 2022, WEEKNUM(Table9[[#This Row],[Date]])-13, WEEKNUM(Table9[[#This Row],[Date]])+40)</f>
        <v>15</v>
      </c>
      <c r="C95" s="35" t="s">
        <v>47</v>
      </c>
      <c r="D95" s="35" t="s">
        <v>59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22">
        <v>0</v>
      </c>
      <c r="R95" s="230">
        <v>0</v>
      </c>
      <c r="S95" s="230">
        <v>0</v>
      </c>
      <c r="T95" s="240">
        <v>0</v>
      </c>
      <c r="U95" s="245" t="str">
        <f t="shared" si="6"/>
        <v>Normal</v>
      </c>
      <c r="V95" s="245" t="str">
        <f t="shared" si="7"/>
        <v>Normal</v>
      </c>
      <c r="W95" s="87">
        <f t="shared" si="8"/>
        <v>0</v>
      </c>
      <c r="X95" s="87">
        <f t="shared" si="9"/>
        <v>0</v>
      </c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</row>
    <row r="96" spans="1:35">
      <c r="A96" s="23">
        <v>44746</v>
      </c>
      <c r="B96" s="121">
        <f>IF(YEAR(Table9[[#This Row],[Date]]) = 2022, WEEKNUM(Table9[[#This Row],[Date]])-13, WEEKNUM(Table9[[#This Row],[Date]])+40)</f>
        <v>15</v>
      </c>
      <c r="C96" s="35" t="s">
        <v>63</v>
      </c>
      <c r="D96" s="35" t="s">
        <v>59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8">
        <v>0</v>
      </c>
      <c r="N96" s="18">
        <v>0</v>
      </c>
      <c r="O96" s="18">
        <v>0</v>
      </c>
      <c r="P96" s="18">
        <v>0</v>
      </c>
      <c r="Q96" s="22">
        <v>0</v>
      </c>
      <c r="R96" s="230">
        <v>0</v>
      </c>
      <c r="S96" s="230">
        <v>0</v>
      </c>
      <c r="T96" s="240">
        <v>0</v>
      </c>
      <c r="U96" s="245" t="str">
        <f t="shared" si="6"/>
        <v>Normal</v>
      </c>
      <c r="V96" s="245" t="str">
        <f t="shared" si="7"/>
        <v>Normal</v>
      </c>
      <c r="W96" s="87">
        <f t="shared" si="8"/>
        <v>0</v>
      </c>
      <c r="X96" s="87">
        <f t="shared" si="9"/>
        <v>0</v>
      </c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</row>
    <row r="97" spans="1:39">
      <c r="A97" s="23">
        <v>44747</v>
      </c>
      <c r="B97" s="121">
        <f>IF(YEAR(Table9[[#This Row],[Date]]) = 2022, WEEKNUM(Table9[[#This Row],[Date]])-13, WEEKNUM(Table9[[#This Row],[Date]])+40)</f>
        <v>15</v>
      </c>
      <c r="C97" s="35" t="s">
        <v>49</v>
      </c>
      <c r="D97" s="35" t="s">
        <v>59</v>
      </c>
      <c r="E97" s="1">
        <v>425</v>
      </c>
      <c r="F97" s="1">
        <v>408</v>
      </c>
      <c r="G97" s="67">
        <v>0.25739644970414199</v>
      </c>
      <c r="H97" s="67">
        <v>0.26708074534161491</v>
      </c>
      <c r="I97" s="1">
        <f>I94+Table9[[#This Row],[Calls Off]]</f>
        <v>970</v>
      </c>
      <c r="J97" s="1">
        <f>J94+Table9[[#This Row],[Calls Ans]]</f>
        <v>941</v>
      </c>
      <c r="K97" s="1">
        <v>21816</v>
      </c>
      <c r="L97" s="1">
        <v>21028</v>
      </c>
      <c r="M97" s="18">
        <v>0.89</v>
      </c>
      <c r="N97" s="18">
        <v>0.04</v>
      </c>
      <c r="O97" s="18">
        <v>0.96</v>
      </c>
      <c r="P97" s="18">
        <v>0.89</v>
      </c>
      <c r="Q97" s="22">
        <v>1</v>
      </c>
      <c r="R97" s="230">
        <v>0</v>
      </c>
      <c r="S97" s="230">
        <v>0</v>
      </c>
      <c r="T97" s="240">
        <v>0</v>
      </c>
      <c r="U97" s="245" t="str">
        <f t="shared" si="6"/>
        <v>Normal</v>
      </c>
      <c r="V97" s="245" t="str">
        <f t="shared" si="7"/>
        <v>Normal</v>
      </c>
      <c r="W97" s="87">
        <f t="shared" si="8"/>
        <v>0.25739644970414199</v>
      </c>
      <c r="X97" s="87">
        <f t="shared" si="9"/>
        <v>0.26708074534161491</v>
      </c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K97" s="49"/>
      <c r="AL97" s="49"/>
      <c r="AM97" s="49"/>
    </row>
    <row r="98" spans="1:39">
      <c r="A98" s="23">
        <v>44748</v>
      </c>
      <c r="B98" s="121">
        <f>IF(YEAR(Table9[[#This Row],[Date]]) = 2022, WEEKNUM(Table9[[#This Row],[Date]])-13, WEEKNUM(Table9[[#This Row],[Date]])+40)</f>
        <v>15</v>
      </c>
      <c r="C98" s="35" t="s">
        <v>50</v>
      </c>
      <c r="D98" s="35" t="s">
        <v>59</v>
      </c>
      <c r="E98" s="1">
        <v>381</v>
      </c>
      <c r="F98" s="1">
        <v>370</v>
      </c>
      <c r="G98" s="67">
        <v>0.24104234527687296</v>
      </c>
      <c r="H98" s="67">
        <v>0.24579124579124578</v>
      </c>
      <c r="I98" s="1">
        <f>I97+Table9[[#This Row],[Calls Off]]</f>
        <v>1351</v>
      </c>
      <c r="J98" s="1">
        <f>J97+Table9[[#This Row],[Calls Ans]]</f>
        <v>1311</v>
      </c>
      <c r="K98" s="1">
        <v>22197</v>
      </c>
      <c r="L98" s="1">
        <v>21398</v>
      </c>
      <c r="M98" s="18">
        <v>0.9</v>
      </c>
      <c r="N98" s="18">
        <v>0.03</v>
      </c>
      <c r="O98" s="18">
        <v>0.97</v>
      </c>
      <c r="P98" s="18">
        <v>0.9</v>
      </c>
      <c r="Q98" s="22">
        <v>1</v>
      </c>
      <c r="R98" s="230">
        <v>0</v>
      </c>
      <c r="S98" s="230">
        <v>0</v>
      </c>
      <c r="T98" s="240">
        <v>0</v>
      </c>
      <c r="U98" s="245" t="str">
        <f t="shared" si="6"/>
        <v>Normal</v>
      </c>
      <c r="V98" s="245" t="str">
        <f t="shared" si="7"/>
        <v>Normal</v>
      </c>
      <c r="W98" s="87">
        <f t="shared" si="8"/>
        <v>0.24104234527687296</v>
      </c>
      <c r="X98" s="87">
        <f t="shared" si="9"/>
        <v>0.24579124579124578</v>
      </c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</row>
    <row r="99" spans="1:39">
      <c r="A99" s="23">
        <v>44749</v>
      </c>
      <c r="B99" s="121">
        <f>IF(YEAR(Table9[[#This Row],[Date]]) = 2022, WEEKNUM(Table9[[#This Row],[Date]])-13, WEEKNUM(Table9[[#This Row],[Date]])+40)</f>
        <v>15</v>
      </c>
      <c r="C99" s="35" t="s">
        <v>51</v>
      </c>
      <c r="D99" s="35" t="s">
        <v>59</v>
      </c>
      <c r="E99" s="1">
        <v>226</v>
      </c>
      <c r="F99" s="1">
        <v>221</v>
      </c>
      <c r="G99" s="67">
        <v>-0.27331189710610931</v>
      </c>
      <c r="H99" s="67">
        <v>-0.27062706270627063</v>
      </c>
      <c r="I99" s="1">
        <f>I98+Table9[[#This Row],[Calls Off]]</f>
        <v>1577</v>
      </c>
      <c r="J99" s="1">
        <f>J98+Table9[[#This Row],[Calls Ans]]</f>
        <v>1532</v>
      </c>
      <c r="K99" s="1">
        <v>22423</v>
      </c>
      <c r="L99" s="1">
        <v>21619</v>
      </c>
      <c r="M99" s="18">
        <v>0.92</v>
      </c>
      <c r="N99" s="18">
        <v>0.02</v>
      </c>
      <c r="O99" s="18">
        <v>0.98</v>
      </c>
      <c r="P99" s="18">
        <v>0.92</v>
      </c>
      <c r="Q99" s="22">
        <v>1</v>
      </c>
      <c r="R99" s="230">
        <v>0</v>
      </c>
      <c r="S99" s="230">
        <v>0</v>
      </c>
      <c r="T99" s="240">
        <v>0</v>
      </c>
      <c r="U99" s="245" t="str">
        <f t="shared" si="6"/>
        <v>Normal</v>
      </c>
      <c r="V99" s="245" t="str">
        <f t="shared" si="7"/>
        <v>Normal</v>
      </c>
      <c r="W99" s="87">
        <f t="shared" si="8"/>
        <v>-0.27331189710610931</v>
      </c>
      <c r="X99" s="87">
        <f t="shared" si="9"/>
        <v>-0.27062706270627063</v>
      </c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</row>
    <row r="100" spans="1:39">
      <c r="A100" s="23">
        <v>44750</v>
      </c>
      <c r="B100" s="121">
        <f>IF(YEAR(Table9[[#This Row],[Date]]) = 2022, WEEKNUM(Table9[[#This Row],[Date]])-13, WEEKNUM(Table9[[#This Row],[Date]])+40)</f>
        <v>15</v>
      </c>
      <c r="C100" s="35" t="s">
        <v>52</v>
      </c>
      <c r="D100" s="35" t="s">
        <v>59</v>
      </c>
      <c r="E100" s="1">
        <v>275</v>
      </c>
      <c r="F100" s="1">
        <v>271</v>
      </c>
      <c r="G100" s="67">
        <v>-0.11858974358974358</v>
      </c>
      <c r="H100" s="67">
        <v>-0.11147540983606558</v>
      </c>
      <c r="I100" s="1">
        <f>I99+Table9[[#This Row],[Calls Off]]</f>
        <v>1852</v>
      </c>
      <c r="J100" s="1">
        <f>J99+Table9[[#This Row],[Calls Ans]]</f>
        <v>1803</v>
      </c>
      <c r="K100" s="1">
        <v>22698</v>
      </c>
      <c r="L100" s="1">
        <v>21890</v>
      </c>
      <c r="M100" s="18">
        <v>0.92</v>
      </c>
      <c r="N100" s="18">
        <v>0.02</v>
      </c>
      <c r="O100" s="18">
        <v>0.98</v>
      </c>
      <c r="P100" s="18">
        <v>0.92</v>
      </c>
      <c r="Q100" s="22">
        <v>1</v>
      </c>
      <c r="R100" s="230">
        <v>0</v>
      </c>
      <c r="S100" s="230">
        <v>0</v>
      </c>
      <c r="T100" s="240">
        <v>0</v>
      </c>
      <c r="U100" s="245" t="str">
        <f t="shared" si="6"/>
        <v>Normal</v>
      </c>
      <c r="V100" s="245" t="str">
        <f t="shared" si="7"/>
        <v>Normal</v>
      </c>
      <c r="W100" s="87">
        <f t="shared" si="8"/>
        <v>-0.11858974358974358</v>
      </c>
      <c r="X100" s="87">
        <f t="shared" si="9"/>
        <v>-0.11147540983606558</v>
      </c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</row>
    <row r="101" spans="1:39">
      <c r="A101" s="23">
        <v>44751</v>
      </c>
      <c r="B101" s="121">
        <f>IF(YEAR(Table9[[#This Row],[Date]]) = 2022, WEEKNUM(Table9[[#This Row],[Date]])-13, WEEKNUM(Table9[[#This Row],[Date]])+40)</f>
        <v>15</v>
      </c>
      <c r="C101" s="35" t="s">
        <v>63</v>
      </c>
      <c r="D101" s="35" t="s">
        <v>59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8">
        <v>0</v>
      </c>
      <c r="N101" s="18">
        <v>0</v>
      </c>
      <c r="O101" s="18">
        <v>0</v>
      </c>
      <c r="P101" s="18">
        <v>0</v>
      </c>
      <c r="Q101" s="22">
        <v>0</v>
      </c>
      <c r="R101" s="230">
        <v>0</v>
      </c>
      <c r="S101" s="230">
        <v>0</v>
      </c>
      <c r="T101" s="240">
        <v>0</v>
      </c>
      <c r="U101" s="245" t="str">
        <f t="shared" si="6"/>
        <v>Normal</v>
      </c>
      <c r="V101" s="245" t="str">
        <f t="shared" si="7"/>
        <v>Normal</v>
      </c>
      <c r="W101" s="87">
        <f t="shared" si="8"/>
        <v>0</v>
      </c>
      <c r="X101" s="87">
        <f t="shared" si="9"/>
        <v>0</v>
      </c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</row>
    <row r="102" spans="1:39">
      <c r="A102" s="23">
        <v>44752</v>
      </c>
      <c r="B102" s="121">
        <f>IF(YEAR(Table9[[#This Row],[Date]]) = 2022, WEEKNUM(Table9[[#This Row],[Date]])-13, WEEKNUM(Table9[[#This Row],[Date]])+40)</f>
        <v>16</v>
      </c>
      <c r="C102" s="35" t="s">
        <v>47</v>
      </c>
      <c r="D102" s="35" t="s">
        <v>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8">
        <v>0</v>
      </c>
      <c r="N102" s="18">
        <v>0</v>
      </c>
      <c r="O102" s="18">
        <v>0</v>
      </c>
      <c r="P102" s="18">
        <v>0</v>
      </c>
      <c r="Q102" s="22">
        <v>0</v>
      </c>
      <c r="R102" s="230">
        <v>0</v>
      </c>
      <c r="S102" s="230">
        <v>0</v>
      </c>
      <c r="T102" s="240">
        <v>0</v>
      </c>
      <c r="U102" s="245" t="str">
        <f t="shared" si="6"/>
        <v>Normal</v>
      </c>
      <c r="V102" s="245" t="str">
        <f t="shared" si="7"/>
        <v>Normal</v>
      </c>
      <c r="W102" s="87">
        <f t="shared" si="8"/>
        <v>0</v>
      </c>
      <c r="X102" s="87">
        <f t="shared" si="9"/>
        <v>0</v>
      </c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</row>
    <row r="103" spans="1:39">
      <c r="A103" s="23">
        <v>44753</v>
      </c>
      <c r="B103" s="121">
        <f>IF(YEAR(Table9[[#This Row],[Date]]) = 2022, WEEKNUM(Table9[[#This Row],[Date]])-13, WEEKNUM(Table9[[#This Row],[Date]])+40)</f>
        <v>16</v>
      </c>
      <c r="C103" s="35" t="s">
        <v>48</v>
      </c>
      <c r="D103" s="35" t="s">
        <v>59</v>
      </c>
      <c r="E103" s="1">
        <v>387</v>
      </c>
      <c r="F103" s="1">
        <v>379</v>
      </c>
      <c r="G103" s="67">
        <v>0</v>
      </c>
      <c r="H103" s="67">
        <v>0</v>
      </c>
      <c r="I103" s="1">
        <f>I100+Table9[[#This Row],[Calls Off]]</f>
        <v>2239</v>
      </c>
      <c r="J103" s="1">
        <f>J100+Table9[[#This Row],[Calls Ans]]</f>
        <v>2182</v>
      </c>
      <c r="K103" s="1">
        <v>23085</v>
      </c>
      <c r="L103" s="1">
        <v>22269</v>
      </c>
      <c r="M103" s="18">
        <v>0.91</v>
      </c>
      <c r="N103" s="18">
        <v>0.02</v>
      </c>
      <c r="O103" s="18">
        <v>0.98</v>
      </c>
      <c r="P103" s="18">
        <v>0.73</v>
      </c>
      <c r="Q103" s="22">
        <v>1</v>
      </c>
      <c r="R103" s="230">
        <v>0</v>
      </c>
      <c r="S103" s="230">
        <v>0</v>
      </c>
      <c r="T103" s="240">
        <v>0</v>
      </c>
      <c r="U103" s="245" t="str">
        <f t="shared" si="6"/>
        <v>Normal</v>
      </c>
      <c r="V103" s="245" t="str">
        <f t="shared" si="7"/>
        <v>Normal</v>
      </c>
      <c r="W103" s="87">
        <f t="shared" si="8"/>
        <v>0</v>
      </c>
      <c r="X103" s="87">
        <f t="shared" si="9"/>
        <v>0</v>
      </c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</row>
    <row r="104" spans="1:39">
      <c r="A104" s="23">
        <v>44754</v>
      </c>
      <c r="B104" s="121">
        <f>IF(YEAR(Table9[[#This Row],[Date]]) = 2022, WEEKNUM(Table9[[#This Row],[Date]])-13, WEEKNUM(Table9[[#This Row],[Date]])+40)</f>
        <v>16</v>
      </c>
      <c r="C104" s="35" t="s">
        <v>49</v>
      </c>
      <c r="D104" s="35" t="s">
        <v>59</v>
      </c>
      <c r="E104" s="1">
        <v>326</v>
      </c>
      <c r="F104" s="1">
        <v>320</v>
      </c>
      <c r="G104" s="67">
        <v>-0.23294117647058823</v>
      </c>
      <c r="H104" s="67">
        <v>-0.21568627450980393</v>
      </c>
      <c r="I104" s="1">
        <f>I103+Table9[[#This Row],[Calls Off]]</f>
        <v>2565</v>
      </c>
      <c r="J104" s="1">
        <f>J103+Table9[[#This Row],[Calls Ans]]</f>
        <v>2502</v>
      </c>
      <c r="K104" s="1">
        <v>23411</v>
      </c>
      <c r="L104" s="1">
        <v>22589</v>
      </c>
      <c r="M104" s="18">
        <v>0.9</v>
      </c>
      <c r="N104" s="18">
        <v>0.02</v>
      </c>
      <c r="O104" s="18">
        <v>0.98</v>
      </c>
      <c r="P104" s="18">
        <v>0.66</v>
      </c>
      <c r="Q104" s="22">
        <v>1</v>
      </c>
      <c r="R104" s="230">
        <v>0</v>
      </c>
      <c r="S104" s="230">
        <v>0</v>
      </c>
      <c r="T104" s="240">
        <v>0</v>
      </c>
      <c r="U104" s="245" t="str">
        <f t="shared" si="6"/>
        <v>Normal</v>
      </c>
      <c r="V104" s="245" t="str">
        <f t="shared" si="7"/>
        <v>Normal</v>
      </c>
      <c r="W104" s="87">
        <f t="shared" si="8"/>
        <v>-0.23294117647058823</v>
      </c>
      <c r="X104" s="87">
        <f t="shared" si="9"/>
        <v>-0.21568627450980393</v>
      </c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</row>
    <row r="105" spans="1:39">
      <c r="A105" s="23">
        <v>44755</v>
      </c>
      <c r="B105" s="121">
        <f>IF(YEAR(Table9[[#This Row],[Date]]) = 2022, WEEKNUM(Table9[[#This Row],[Date]])-13, WEEKNUM(Table9[[#This Row],[Date]])+40)</f>
        <v>16</v>
      </c>
      <c r="C105" s="35" t="s">
        <v>50</v>
      </c>
      <c r="D105" s="35" t="s">
        <v>59</v>
      </c>
      <c r="E105" s="1">
        <v>355</v>
      </c>
      <c r="F105" s="1">
        <v>350</v>
      </c>
      <c r="G105" s="67">
        <v>-6.8241469816272965E-2</v>
      </c>
      <c r="H105" s="67">
        <v>-5.4054054054054057E-2</v>
      </c>
      <c r="I105" s="1">
        <f>I104+Table9[[#This Row],[Calls Off]]</f>
        <v>2920</v>
      </c>
      <c r="J105" s="1">
        <f>J104+Table9[[#This Row],[Calls Ans]]</f>
        <v>2852</v>
      </c>
      <c r="K105" s="1">
        <v>23766</v>
      </c>
      <c r="L105" s="1">
        <v>22939</v>
      </c>
      <c r="M105" s="18">
        <v>0.9</v>
      </c>
      <c r="N105" s="18">
        <v>0.02</v>
      </c>
      <c r="O105" s="18">
        <v>0.98</v>
      </c>
      <c r="P105" s="18">
        <v>0.68</v>
      </c>
      <c r="Q105" s="22">
        <v>1</v>
      </c>
      <c r="R105" s="230">
        <v>0</v>
      </c>
      <c r="S105" s="230">
        <v>0</v>
      </c>
      <c r="T105" s="240">
        <v>0</v>
      </c>
      <c r="U105" s="245" t="str">
        <f t="shared" si="6"/>
        <v>Normal</v>
      </c>
      <c r="V105" s="245" t="str">
        <f t="shared" si="7"/>
        <v>Normal</v>
      </c>
      <c r="W105" s="87">
        <f t="shared" si="8"/>
        <v>-6.8241469816272965E-2</v>
      </c>
      <c r="X105" s="87">
        <f t="shared" si="9"/>
        <v>-5.4054054054054057E-2</v>
      </c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</row>
    <row r="106" spans="1:39">
      <c r="A106" s="23">
        <v>44756</v>
      </c>
      <c r="B106" s="121">
        <f>IF(YEAR(Table9[[#This Row],[Date]]) = 2022, WEEKNUM(Table9[[#This Row],[Date]])-13, WEEKNUM(Table9[[#This Row],[Date]])+40)</f>
        <v>16</v>
      </c>
      <c r="C106" s="35" t="s">
        <v>51</v>
      </c>
      <c r="D106" s="35" t="s">
        <v>59</v>
      </c>
      <c r="E106" s="1">
        <v>324</v>
      </c>
      <c r="F106" s="1">
        <v>310</v>
      </c>
      <c r="G106" s="67">
        <v>0.4336283185840708</v>
      </c>
      <c r="H106" s="67">
        <v>0.40271493212669685</v>
      </c>
      <c r="I106" s="1">
        <f>I105+Table9[[#This Row],[Calls Off]]</f>
        <v>3244</v>
      </c>
      <c r="J106" s="1">
        <f>J105+Table9[[#This Row],[Calls Ans]]</f>
        <v>3162</v>
      </c>
      <c r="K106" s="1">
        <v>24090</v>
      </c>
      <c r="L106" s="1">
        <v>23249</v>
      </c>
      <c r="M106" s="18">
        <v>0.81</v>
      </c>
      <c r="N106" s="18">
        <v>0.04</v>
      </c>
      <c r="O106" s="18">
        <v>0.96</v>
      </c>
      <c r="P106" s="18">
        <v>0.74</v>
      </c>
      <c r="Q106" s="22">
        <v>1</v>
      </c>
      <c r="R106" s="230">
        <v>0</v>
      </c>
      <c r="S106" s="230">
        <v>0</v>
      </c>
      <c r="T106" s="240">
        <v>0</v>
      </c>
      <c r="U106" s="245" t="str">
        <f t="shared" si="6"/>
        <v>Outlier</v>
      </c>
      <c r="V106" s="245" t="str">
        <f t="shared" si="7"/>
        <v>Normal</v>
      </c>
      <c r="W106" s="87">
        <f t="shared" si="8"/>
        <v>0.4336283185840708</v>
      </c>
      <c r="X106" s="87">
        <f t="shared" si="9"/>
        <v>0.40271493212669685</v>
      </c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</row>
    <row r="107" spans="1:39">
      <c r="A107" s="23">
        <v>44757</v>
      </c>
      <c r="B107" s="121">
        <f>IF(YEAR(Table9[[#This Row],[Date]]) = 2022, WEEKNUM(Table9[[#This Row],[Date]])-13, WEEKNUM(Table9[[#This Row],[Date]])+40)</f>
        <v>16</v>
      </c>
      <c r="C107" s="35" t="s">
        <v>52</v>
      </c>
      <c r="D107" s="35" t="s">
        <v>59</v>
      </c>
      <c r="E107" s="1">
        <v>296</v>
      </c>
      <c r="F107" s="1">
        <v>292</v>
      </c>
      <c r="G107" s="67">
        <v>7.636363636363637E-2</v>
      </c>
      <c r="H107" s="67">
        <v>7.7490774907749083E-2</v>
      </c>
      <c r="I107" s="1">
        <f>I106+Table9[[#This Row],[Calls Off]]</f>
        <v>3540</v>
      </c>
      <c r="J107" s="1">
        <f>J106+Table9[[#This Row],[Calls Ans]]</f>
        <v>3454</v>
      </c>
      <c r="K107" s="1">
        <v>24386</v>
      </c>
      <c r="L107" s="1">
        <v>23541</v>
      </c>
      <c r="M107" s="18">
        <v>0.84</v>
      </c>
      <c r="N107" s="18">
        <v>0.01</v>
      </c>
      <c r="O107" s="18">
        <v>0.99</v>
      </c>
      <c r="P107" s="18">
        <v>0.71</v>
      </c>
      <c r="Q107" s="22">
        <v>1</v>
      </c>
      <c r="R107" s="230">
        <v>0</v>
      </c>
      <c r="S107" s="230">
        <v>0</v>
      </c>
      <c r="T107" s="240">
        <v>0</v>
      </c>
      <c r="U107" s="245" t="str">
        <f t="shared" si="6"/>
        <v>Normal</v>
      </c>
      <c r="V107" s="245" t="str">
        <f t="shared" si="7"/>
        <v>Normal</v>
      </c>
      <c r="W107" s="87">
        <f t="shared" si="8"/>
        <v>7.636363636363637E-2</v>
      </c>
      <c r="X107" s="87">
        <f t="shared" si="9"/>
        <v>7.7490774907749083E-2</v>
      </c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</row>
    <row r="108" spans="1:39">
      <c r="A108" s="23">
        <v>44758</v>
      </c>
      <c r="B108" s="121">
        <f>IF(YEAR(Table9[[#This Row],[Date]]) = 2022, WEEKNUM(Table9[[#This Row],[Date]])-13, WEEKNUM(Table9[[#This Row],[Date]])+40)</f>
        <v>16</v>
      </c>
      <c r="C108" s="35" t="s">
        <v>53</v>
      </c>
      <c r="D108" s="35" t="s">
        <v>59</v>
      </c>
      <c r="E108" s="1">
        <v>221</v>
      </c>
      <c r="F108" s="1">
        <v>218</v>
      </c>
      <c r="G108" s="67">
        <v>0</v>
      </c>
      <c r="H108" s="67">
        <v>0</v>
      </c>
      <c r="I108" s="1">
        <f>I107+Table9[[#This Row],[Calls Off]]</f>
        <v>3761</v>
      </c>
      <c r="J108" s="1">
        <f>J107+Table9[[#This Row],[Calls Ans]]</f>
        <v>3672</v>
      </c>
      <c r="K108" s="1">
        <v>24607</v>
      </c>
      <c r="L108" s="1">
        <v>23759</v>
      </c>
      <c r="M108" s="18">
        <v>0.94</v>
      </c>
      <c r="N108" s="18">
        <v>0.01</v>
      </c>
      <c r="O108" s="18">
        <v>0.99</v>
      </c>
      <c r="P108" s="18">
        <v>0.65</v>
      </c>
      <c r="Q108" s="22">
        <v>1</v>
      </c>
      <c r="R108" s="230">
        <v>0</v>
      </c>
      <c r="S108" s="230">
        <v>0</v>
      </c>
      <c r="T108" s="240">
        <v>0</v>
      </c>
      <c r="U108" s="245" t="str">
        <f t="shared" si="6"/>
        <v>Normal</v>
      </c>
      <c r="V108" s="245" t="str">
        <f t="shared" si="7"/>
        <v>Normal</v>
      </c>
      <c r="W108" s="87">
        <f t="shared" si="8"/>
        <v>0</v>
      </c>
      <c r="X108" s="87">
        <f t="shared" si="9"/>
        <v>0</v>
      </c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</row>
    <row r="109" spans="1:39">
      <c r="A109" s="23">
        <v>44759</v>
      </c>
      <c r="B109" s="121">
        <f>IF(YEAR(Table9[[#This Row],[Date]]) = 2022, WEEKNUM(Table9[[#This Row],[Date]])-13, WEEKNUM(Table9[[#This Row],[Date]])+40)</f>
        <v>17</v>
      </c>
      <c r="C109" s="35" t="s">
        <v>47</v>
      </c>
      <c r="D109" s="35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8">
        <v>0</v>
      </c>
      <c r="N109" s="18">
        <v>0</v>
      </c>
      <c r="O109" s="18">
        <v>0</v>
      </c>
      <c r="P109" s="18">
        <v>0</v>
      </c>
      <c r="Q109" s="22">
        <v>0</v>
      </c>
      <c r="R109" s="230">
        <v>0</v>
      </c>
      <c r="S109" s="230">
        <v>0</v>
      </c>
      <c r="T109" s="240">
        <v>0</v>
      </c>
      <c r="U109" s="245" t="str">
        <f t="shared" si="6"/>
        <v>Normal</v>
      </c>
      <c r="V109" s="245" t="str">
        <f t="shared" si="7"/>
        <v>Normal</v>
      </c>
      <c r="W109" s="87">
        <f t="shared" si="8"/>
        <v>0</v>
      </c>
      <c r="X109" s="87">
        <f t="shared" si="9"/>
        <v>0</v>
      </c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</row>
    <row r="110" spans="1:39">
      <c r="A110" s="23">
        <v>44760</v>
      </c>
      <c r="B110" s="121">
        <f>IF(YEAR(Table9[[#This Row],[Date]]) = 2022, WEEKNUM(Table9[[#This Row],[Date]])-13, WEEKNUM(Table9[[#This Row],[Date]])+40)</f>
        <v>17</v>
      </c>
      <c r="C110" s="35" t="s">
        <v>48</v>
      </c>
      <c r="D110" s="35" t="s">
        <v>59</v>
      </c>
      <c r="E110" s="1">
        <v>429</v>
      </c>
      <c r="F110" s="1">
        <v>417</v>
      </c>
      <c r="G110" s="67">
        <v>0.10852713178294573</v>
      </c>
      <c r="H110" s="67">
        <v>0.10026385224274406</v>
      </c>
      <c r="I110" s="1">
        <f>I108+Table9[[#This Row],[Calls Off]]</f>
        <v>4190</v>
      </c>
      <c r="J110" s="1">
        <f>J108+Table9[[#This Row],[Calls Ans]]</f>
        <v>4089</v>
      </c>
      <c r="K110" s="1">
        <v>25036</v>
      </c>
      <c r="L110" s="1">
        <v>24176</v>
      </c>
      <c r="M110" s="18">
        <v>0.90439999999999998</v>
      </c>
      <c r="N110" s="18">
        <v>0.03</v>
      </c>
      <c r="O110" s="18">
        <v>0.97</v>
      </c>
      <c r="P110" s="18">
        <v>0.77</v>
      </c>
      <c r="Q110" s="22">
        <v>1</v>
      </c>
      <c r="R110" s="230">
        <v>0</v>
      </c>
      <c r="S110" s="230">
        <v>0</v>
      </c>
      <c r="T110" s="240">
        <v>0</v>
      </c>
      <c r="U110" s="245" t="str">
        <f t="shared" si="6"/>
        <v>Normal</v>
      </c>
      <c r="V110" s="245" t="str">
        <f t="shared" si="7"/>
        <v>Normal</v>
      </c>
      <c r="W110" s="87">
        <f t="shared" si="8"/>
        <v>0.10852713178294573</v>
      </c>
      <c r="X110" s="87">
        <f t="shared" si="9"/>
        <v>0.10026385224274406</v>
      </c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K110" t="s">
        <v>61</v>
      </c>
      <c r="AL110" s="16">
        <v>44986</v>
      </c>
    </row>
    <row r="111" spans="1:39">
      <c r="A111" s="23">
        <v>44761</v>
      </c>
      <c r="B111" s="121">
        <f>IF(YEAR(Table9[[#This Row],[Date]]) = 2022, WEEKNUM(Table9[[#This Row],[Date]])-13, WEEKNUM(Table9[[#This Row],[Date]])+40)</f>
        <v>17</v>
      </c>
      <c r="C111" s="35" t="s">
        <v>49</v>
      </c>
      <c r="D111" s="35" t="s">
        <v>59</v>
      </c>
      <c r="E111" s="1">
        <v>373</v>
      </c>
      <c r="F111" s="1">
        <v>362</v>
      </c>
      <c r="G111" s="67">
        <v>0.14417177914110429</v>
      </c>
      <c r="H111" s="67">
        <v>0.13125000000000001</v>
      </c>
      <c r="I111" s="1">
        <f>I110+Table9[[#This Row],[Calls Off]]</f>
        <v>4563</v>
      </c>
      <c r="J111" s="1">
        <f>J110+Table9[[#This Row],[Calls Ans]]</f>
        <v>4451</v>
      </c>
      <c r="K111" s="1">
        <v>25409</v>
      </c>
      <c r="L111" s="1">
        <v>24538</v>
      </c>
      <c r="M111" s="18">
        <v>0.81</v>
      </c>
      <c r="N111" s="18">
        <v>0.03</v>
      </c>
      <c r="O111" s="18">
        <v>0.97</v>
      </c>
      <c r="P111" s="18">
        <v>0.85</v>
      </c>
      <c r="Q111" s="22">
        <v>1</v>
      </c>
      <c r="R111" s="230">
        <v>0</v>
      </c>
      <c r="S111" s="230">
        <v>0</v>
      </c>
      <c r="T111" s="240">
        <v>0</v>
      </c>
      <c r="U111" s="245" t="str">
        <f t="shared" si="6"/>
        <v>Normal</v>
      </c>
      <c r="V111" s="245" t="str">
        <f t="shared" si="7"/>
        <v>Normal</v>
      </c>
      <c r="W111" s="87">
        <f t="shared" si="8"/>
        <v>0.14417177914110429</v>
      </c>
      <c r="X111" s="87">
        <f t="shared" si="9"/>
        <v>0.13125000000000001</v>
      </c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K111" t="s">
        <v>62</v>
      </c>
      <c r="AL111" s="16">
        <v>45016</v>
      </c>
    </row>
    <row r="112" spans="1:39">
      <c r="A112" s="23">
        <v>44762</v>
      </c>
      <c r="B112" s="121">
        <f>IF(YEAR(Table9[[#This Row],[Date]]) = 2022, WEEKNUM(Table9[[#This Row],[Date]])-13, WEEKNUM(Table9[[#This Row],[Date]])+40)</f>
        <v>17</v>
      </c>
      <c r="C112" s="35" t="s">
        <v>50</v>
      </c>
      <c r="D112" s="35" t="s">
        <v>59</v>
      </c>
      <c r="E112" s="1">
        <v>343</v>
      </c>
      <c r="F112" s="1">
        <v>317</v>
      </c>
      <c r="G112" s="67">
        <v>-3.3802816901408447E-2</v>
      </c>
      <c r="H112" s="67">
        <v>-9.4285714285714292E-2</v>
      </c>
      <c r="I112" s="1">
        <f>I111+Table9[[#This Row],[Calls Off]]</f>
        <v>4906</v>
      </c>
      <c r="J112" s="1">
        <f>J111+Table9[[#This Row],[Calls Ans]]</f>
        <v>4768</v>
      </c>
      <c r="K112" s="1">
        <v>25752</v>
      </c>
      <c r="L112" s="1">
        <v>24855</v>
      </c>
      <c r="M112" s="18">
        <v>0.73</v>
      </c>
      <c r="N112" s="18">
        <v>0.08</v>
      </c>
      <c r="O112" s="18">
        <v>0.92</v>
      </c>
      <c r="P112" s="18">
        <v>0.78</v>
      </c>
      <c r="Q112" s="22">
        <v>1</v>
      </c>
      <c r="R112" s="230">
        <v>0</v>
      </c>
      <c r="S112" s="230">
        <v>0</v>
      </c>
      <c r="T112" s="240">
        <v>0</v>
      </c>
      <c r="U112" s="245" t="str">
        <f t="shared" si="6"/>
        <v>Normal</v>
      </c>
      <c r="V112" s="245" t="str">
        <f t="shared" si="7"/>
        <v>Normal</v>
      </c>
      <c r="W112" s="87">
        <f t="shared" si="8"/>
        <v>-3.3802816901408447E-2</v>
      </c>
      <c r="X112" s="87">
        <f t="shared" si="9"/>
        <v>-9.4285714285714292E-2</v>
      </c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</row>
    <row r="113" spans="1:35">
      <c r="A113" s="23">
        <v>44763</v>
      </c>
      <c r="B113" s="121">
        <f>IF(YEAR(Table9[[#This Row],[Date]]) = 2022, WEEKNUM(Table9[[#This Row],[Date]])-13, WEEKNUM(Table9[[#This Row],[Date]])+40)</f>
        <v>17</v>
      </c>
      <c r="C113" s="35" t="s">
        <v>51</v>
      </c>
      <c r="D113" s="35" t="s">
        <v>59</v>
      </c>
      <c r="E113" s="1">
        <v>352</v>
      </c>
      <c r="F113" s="1">
        <v>345</v>
      </c>
      <c r="G113" s="67">
        <v>8.6419753086419748E-2</v>
      </c>
      <c r="H113" s="67">
        <v>0.11290322580645161</v>
      </c>
      <c r="I113" s="1">
        <f>I112+Table9[[#This Row],[Calls Off]]</f>
        <v>5258</v>
      </c>
      <c r="J113" s="1">
        <f>J112+Table9[[#This Row],[Calls Ans]]</f>
        <v>5113</v>
      </c>
      <c r="K113" s="1">
        <v>26104</v>
      </c>
      <c r="L113" s="1">
        <v>25200</v>
      </c>
      <c r="M113" s="18">
        <v>0.89</v>
      </c>
      <c r="N113" s="18">
        <v>0.02</v>
      </c>
      <c r="O113" s="18">
        <v>0.98</v>
      </c>
      <c r="P113" s="18">
        <v>0.76</v>
      </c>
      <c r="Q113" s="22">
        <v>1</v>
      </c>
      <c r="R113" s="230">
        <v>0</v>
      </c>
      <c r="S113" s="230">
        <v>0</v>
      </c>
      <c r="T113" s="240">
        <v>0</v>
      </c>
      <c r="U113" s="245" t="str">
        <f t="shared" si="6"/>
        <v>Normal</v>
      </c>
      <c r="V113" s="245" t="str">
        <f t="shared" si="7"/>
        <v>Normal</v>
      </c>
      <c r="W113" s="87">
        <f t="shared" si="8"/>
        <v>8.6419753086419748E-2</v>
      </c>
      <c r="X113" s="87">
        <f t="shared" si="9"/>
        <v>0.11290322580645161</v>
      </c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</row>
    <row r="114" spans="1:35">
      <c r="A114" s="23">
        <v>44764</v>
      </c>
      <c r="B114" s="121">
        <f>IF(YEAR(Table9[[#This Row],[Date]]) = 2022, WEEKNUM(Table9[[#This Row],[Date]])-13, WEEKNUM(Table9[[#This Row],[Date]])+40)</f>
        <v>17</v>
      </c>
      <c r="C114" s="35" t="s">
        <v>52</v>
      </c>
      <c r="D114" s="35" t="s">
        <v>59</v>
      </c>
      <c r="E114" s="1">
        <v>360</v>
      </c>
      <c r="F114" s="1">
        <v>348</v>
      </c>
      <c r="G114" s="67">
        <v>0.21621621621621623</v>
      </c>
      <c r="H114" s="67">
        <v>0.19178082191780821</v>
      </c>
      <c r="I114" s="1">
        <f>I113+Table9[[#This Row],[Calls Off]]</f>
        <v>5618</v>
      </c>
      <c r="J114" s="1">
        <f>J113+Table9[[#This Row],[Calls Ans]]</f>
        <v>5461</v>
      </c>
      <c r="K114" s="1">
        <v>26464</v>
      </c>
      <c r="L114" s="1">
        <v>25548</v>
      </c>
      <c r="M114" s="18">
        <v>0.86</v>
      </c>
      <c r="N114" s="18">
        <v>0.03</v>
      </c>
      <c r="O114" s="18">
        <v>0.97</v>
      </c>
      <c r="P114" s="18">
        <v>0.79</v>
      </c>
      <c r="Q114" s="22">
        <v>1</v>
      </c>
      <c r="R114" s="230">
        <v>0</v>
      </c>
      <c r="S114" s="230">
        <v>0</v>
      </c>
      <c r="T114" s="240">
        <v>0</v>
      </c>
      <c r="U114" s="245" t="str">
        <f t="shared" si="6"/>
        <v>Normal</v>
      </c>
      <c r="V114" s="245" t="str">
        <f t="shared" si="7"/>
        <v>Normal</v>
      </c>
      <c r="W114" s="87">
        <f t="shared" si="8"/>
        <v>0.21621621621621623</v>
      </c>
      <c r="X114" s="87">
        <f t="shared" si="9"/>
        <v>0.19178082191780821</v>
      </c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</row>
    <row r="115" spans="1:35">
      <c r="A115" s="23">
        <v>44765</v>
      </c>
      <c r="B115" s="121">
        <f>IF(YEAR(Table9[[#This Row],[Date]]) = 2022, WEEKNUM(Table9[[#This Row],[Date]])-13, WEEKNUM(Table9[[#This Row],[Date]])+40)</f>
        <v>17</v>
      </c>
      <c r="C115" s="35" t="s">
        <v>53</v>
      </c>
      <c r="D115" s="35" t="s">
        <v>59</v>
      </c>
      <c r="E115" s="1">
        <v>183</v>
      </c>
      <c r="F115" s="1">
        <v>181</v>
      </c>
      <c r="G115" s="67">
        <v>-0.17194570135746606</v>
      </c>
      <c r="H115" s="67">
        <v>-0.16972477064220184</v>
      </c>
      <c r="I115" s="1">
        <f>I114+Table9[[#This Row],[Calls Off]]</f>
        <v>5801</v>
      </c>
      <c r="J115" s="1">
        <f>J114+Table9[[#This Row],[Calls Ans]]</f>
        <v>5642</v>
      </c>
      <c r="K115" s="1">
        <v>26647</v>
      </c>
      <c r="L115" s="1">
        <v>25729</v>
      </c>
      <c r="M115" s="18">
        <v>0.88</v>
      </c>
      <c r="N115" s="18">
        <v>0.01</v>
      </c>
      <c r="O115" s="18">
        <v>0.99</v>
      </c>
      <c r="P115" s="18">
        <v>0.56999999999999995</v>
      </c>
      <c r="Q115" s="22">
        <v>1</v>
      </c>
      <c r="R115" s="230">
        <v>0</v>
      </c>
      <c r="S115" s="230">
        <v>0</v>
      </c>
      <c r="T115" s="240">
        <v>0</v>
      </c>
      <c r="U115" s="245" t="str">
        <f t="shared" si="6"/>
        <v>Normal</v>
      </c>
      <c r="V115" s="245" t="str">
        <f t="shared" si="7"/>
        <v>Normal</v>
      </c>
      <c r="W115" s="87">
        <f t="shared" si="8"/>
        <v>-0.17194570135746606</v>
      </c>
      <c r="X115" s="87">
        <f t="shared" si="9"/>
        <v>-0.16972477064220184</v>
      </c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</row>
    <row r="116" spans="1:35">
      <c r="A116" s="23">
        <v>44766</v>
      </c>
      <c r="B116" s="121">
        <f>IF(YEAR(Table9[[#This Row],[Date]]) = 2022, WEEKNUM(Table9[[#This Row],[Date]])-13, WEEKNUM(Table9[[#This Row],[Date]])+40)</f>
        <v>18</v>
      </c>
      <c r="C116" s="35" t="s">
        <v>47</v>
      </c>
      <c r="D116" s="35" t="s">
        <v>59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22">
        <v>0</v>
      </c>
      <c r="R116" s="230">
        <v>0</v>
      </c>
      <c r="S116" s="230">
        <v>0</v>
      </c>
      <c r="T116" s="240">
        <v>0</v>
      </c>
      <c r="U116" s="245" t="str">
        <f t="shared" si="6"/>
        <v>Normal</v>
      </c>
      <c r="V116" s="245" t="str">
        <f t="shared" si="7"/>
        <v>Normal</v>
      </c>
      <c r="W116" s="87">
        <f t="shared" si="8"/>
        <v>0</v>
      </c>
      <c r="X116" s="87">
        <f t="shared" si="9"/>
        <v>0</v>
      </c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</row>
    <row r="117" spans="1:35">
      <c r="A117" s="23">
        <v>44767</v>
      </c>
      <c r="B117" s="121">
        <f>IF(YEAR(Table9[[#This Row],[Date]]) = 2022, WEEKNUM(Table9[[#This Row],[Date]])-13, WEEKNUM(Table9[[#This Row],[Date]])+40)</f>
        <v>18</v>
      </c>
      <c r="C117" s="35" t="s">
        <v>48</v>
      </c>
      <c r="D117" s="35" t="s">
        <v>59</v>
      </c>
      <c r="E117" s="1">
        <v>374</v>
      </c>
      <c r="F117" s="1">
        <v>365</v>
      </c>
      <c r="G117" s="67">
        <v>-0.12820512820512819</v>
      </c>
      <c r="H117" s="67">
        <v>-0.12470023980815348</v>
      </c>
      <c r="I117" s="1">
        <f>I115+Table9[[#This Row],[Calls Off]]</f>
        <v>6175</v>
      </c>
      <c r="J117" s="1">
        <f>J115+Table9[[#This Row],[Calls Ans]]</f>
        <v>6007</v>
      </c>
      <c r="K117" s="1">
        <v>27021</v>
      </c>
      <c r="L117" s="1">
        <v>26094</v>
      </c>
      <c r="M117" s="18">
        <v>0.9</v>
      </c>
      <c r="N117" s="18">
        <v>0.02</v>
      </c>
      <c r="O117" s="18">
        <v>0.98</v>
      </c>
      <c r="P117" s="18">
        <v>0.69</v>
      </c>
      <c r="Q117" s="22">
        <v>1</v>
      </c>
      <c r="R117" s="230">
        <v>0</v>
      </c>
      <c r="S117" s="230">
        <v>0</v>
      </c>
      <c r="T117" s="240">
        <v>0</v>
      </c>
      <c r="U117" s="245" t="str">
        <f t="shared" si="6"/>
        <v>Normal</v>
      </c>
      <c r="V117" s="245" t="str">
        <f t="shared" si="7"/>
        <v>Normal</v>
      </c>
      <c r="W117" s="87">
        <f t="shared" si="8"/>
        <v>-0.12820512820512819</v>
      </c>
      <c r="X117" s="87">
        <f t="shared" si="9"/>
        <v>-0.12470023980815348</v>
      </c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</row>
    <row r="118" spans="1:35">
      <c r="A118" s="23">
        <v>44768</v>
      </c>
      <c r="B118" s="121">
        <f>IF(YEAR(Table9[[#This Row],[Date]]) = 2022, WEEKNUM(Table9[[#This Row],[Date]])-13, WEEKNUM(Table9[[#This Row],[Date]])+40)</f>
        <v>18</v>
      </c>
      <c r="C118" s="35" t="s">
        <v>49</v>
      </c>
      <c r="D118" s="35" t="s">
        <v>59</v>
      </c>
      <c r="E118" s="1">
        <v>373</v>
      </c>
      <c r="F118" s="1">
        <v>369</v>
      </c>
      <c r="G118" s="67">
        <v>0</v>
      </c>
      <c r="H118" s="67">
        <v>1.9337016574585635E-2</v>
      </c>
      <c r="I118" s="1">
        <f>I117+Table9[[#This Row],[Calls Off]]</f>
        <v>6548</v>
      </c>
      <c r="J118" s="1">
        <f>J117+Table9[[#This Row],[Calls Ans]]</f>
        <v>6376</v>
      </c>
      <c r="K118" s="1">
        <v>27394</v>
      </c>
      <c r="L118" s="1">
        <v>26463</v>
      </c>
      <c r="M118" s="18">
        <v>0.9</v>
      </c>
      <c r="N118" s="18">
        <v>0.01</v>
      </c>
      <c r="O118" s="18">
        <v>0.99</v>
      </c>
      <c r="P118" s="18">
        <v>0.65</v>
      </c>
      <c r="Q118" s="22">
        <v>1</v>
      </c>
      <c r="R118" s="230">
        <v>0</v>
      </c>
      <c r="S118" s="230">
        <v>0</v>
      </c>
      <c r="T118" s="240">
        <v>0</v>
      </c>
      <c r="U118" s="245" t="str">
        <f t="shared" si="6"/>
        <v>Normal</v>
      </c>
      <c r="V118" s="245" t="str">
        <f t="shared" si="7"/>
        <v>Normal</v>
      </c>
      <c r="W118" s="87">
        <f t="shared" si="8"/>
        <v>0</v>
      </c>
      <c r="X118" s="87">
        <f t="shared" si="9"/>
        <v>1.9337016574585635E-2</v>
      </c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</row>
    <row r="119" spans="1:35">
      <c r="A119" s="23">
        <v>44769</v>
      </c>
      <c r="B119" s="121">
        <f>IF(YEAR(Table9[[#This Row],[Date]]) = 2022, WEEKNUM(Table9[[#This Row],[Date]])-13, WEEKNUM(Table9[[#This Row],[Date]])+40)</f>
        <v>18</v>
      </c>
      <c r="C119" s="35" t="s">
        <v>50</v>
      </c>
      <c r="D119" s="35" t="s">
        <v>59</v>
      </c>
      <c r="E119" s="1">
        <v>326</v>
      </c>
      <c r="F119" s="1">
        <v>317</v>
      </c>
      <c r="G119" s="67">
        <v>-4.9562682215743441E-2</v>
      </c>
      <c r="H119" s="67">
        <v>0</v>
      </c>
      <c r="I119" s="1">
        <f>I118+Table9[[#This Row],[Calls Off]]</f>
        <v>6874</v>
      </c>
      <c r="J119" s="1">
        <f>J118+Table9[[#This Row],[Calls Ans]]</f>
        <v>6693</v>
      </c>
      <c r="K119" s="1">
        <v>27720</v>
      </c>
      <c r="L119" s="1">
        <v>26780</v>
      </c>
      <c r="M119" s="18">
        <v>0.86</v>
      </c>
      <c r="N119" s="18">
        <v>0.03</v>
      </c>
      <c r="O119" s="18">
        <v>0.97</v>
      </c>
      <c r="P119" s="18">
        <v>0.72</v>
      </c>
      <c r="Q119" s="22">
        <v>1</v>
      </c>
      <c r="R119" s="230">
        <v>0</v>
      </c>
      <c r="S119" s="230">
        <v>0</v>
      </c>
      <c r="T119" s="240">
        <v>0</v>
      </c>
      <c r="U119" s="245" t="str">
        <f t="shared" si="6"/>
        <v>Normal</v>
      </c>
      <c r="V119" s="245" t="str">
        <f t="shared" si="7"/>
        <v>Normal</v>
      </c>
      <c r="W119" s="87">
        <f t="shared" si="8"/>
        <v>-4.9562682215743441E-2</v>
      </c>
      <c r="X119" s="87">
        <f t="shared" si="9"/>
        <v>0</v>
      </c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</row>
    <row r="120" spans="1:35">
      <c r="A120" s="23">
        <v>44770</v>
      </c>
      <c r="B120" s="121">
        <f>IF(YEAR(Table9[[#This Row],[Date]]) = 2022, WEEKNUM(Table9[[#This Row],[Date]])-13, WEEKNUM(Table9[[#This Row],[Date]])+40)</f>
        <v>18</v>
      </c>
      <c r="C120" s="35" t="s">
        <v>51</v>
      </c>
      <c r="D120" s="35" t="s">
        <v>59</v>
      </c>
      <c r="E120" s="1">
        <v>419</v>
      </c>
      <c r="F120" s="1">
        <v>399</v>
      </c>
      <c r="G120" s="67">
        <v>0.19034090909090909</v>
      </c>
      <c r="H120" s="67">
        <v>0.15652173913043479</v>
      </c>
      <c r="I120" s="1">
        <f>I119+Table9[[#This Row],[Calls Off]]</f>
        <v>7293</v>
      </c>
      <c r="J120" s="1">
        <f>J119+Table9[[#This Row],[Calls Ans]]</f>
        <v>7092</v>
      </c>
      <c r="K120" s="1">
        <v>28139</v>
      </c>
      <c r="L120" s="1">
        <v>27179</v>
      </c>
      <c r="M120" s="18">
        <v>0.88</v>
      </c>
      <c r="N120" s="18">
        <v>0.05</v>
      </c>
      <c r="O120" s="18">
        <v>0.95</v>
      </c>
      <c r="P120" s="18">
        <v>0.8</v>
      </c>
      <c r="Q120" s="22">
        <v>1</v>
      </c>
      <c r="R120" s="230">
        <v>0</v>
      </c>
      <c r="S120" s="230">
        <v>0</v>
      </c>
      <c r="T120" s="240">
        <v>0</v>
      </c>
      <c r="U120" s="245" t="str">
        <f t="shared" si="6"/>
        <v>Normal</v>
      </c>
      <c r="V120" s="245" t="str">
        <f t="shared" si="7"/>
        <v>Normal</v>
      </c>
      <c r="W120" s="87">
        <f t="shared" si="8"/>
        <v>0.19034090909090909</v>
      </c>
      <c r="X120" s="87">
        <f t="shared" si="9"/>
        <v>0.15652173913043479</v>
      </c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</row>
    <row r="121" spans="1:35">
      <c r="A121" s="23">
        <v>44771</v>
      </c>
      <c r="B121" s="121">
        <f>IF(YEAR(Table9[[#This Row],[Date]]) = 2022, WEEKNUM(Table9[[#This Row],[Date]])-13, WEEKNUM(Table9[[#This Row],[Date]])+40)</f>
        <v>18</v>
      </c>
      <c r="C121" s="35" t="s">
        <v>52</v>
      </c>
      <c r="D121" s="35" t="s">
        <v>59</v>
      </c>
      <c r="E121" s="1">
        <v>285</v>
      </c>
      <c r="F121" s="1">
        <v>277</v>
      </c>
      <c r="G121" s="67">
        <v>-0.20833333333333334</v>
      </c>
      <c r="H121" s="67">
        <v>-0.20402298850574713</v>
      </c>
      <c r="I121" s="1">
        <f>I120+Table9[[#This Row],[Calls Off]]</f>
        <v>7578</v>
      </c>
      <c r="J121" s="1">
        <f>J120+Table9[[#This Row],[Calls Ans]]</f>
        <v>7369</v>
      </c>
      <c r="K121" s="1">
        <v>28424</v>
      </c>
      <c r="L121" s="1">
        <v>27456</v>
      </c>
      <c r="M121" s="18">
        <v>0.9</v>
      </c>
      <c r="N121" s="18">
        <v>0.03</v>
      </c>
      <c r="O121" s="18">
        <v>0.97</v>
      </c>
      <c r="P121" s="18">
        <v>0.71</v>
      </c>
      <c r="Q121" s="22">
        <v>1</v>
      </c>
      <c r="R121" s="230">
        <v>0</v>
      </c>
      <c r="S121" s="230">
        <v>0</v>
      </c>
      <c r="T121" s="240">
        <v>0</v>
      </c>
      <c r="U121" s="245" t="str">
        <f t="shared" si="6"/>
        <v>Normal</v>
      </c>
      <c r="V121" s="245" t="str">
        <f t="shared" si="7"/>
        <v>Normal</v>
      </c>
      <c r="W121" s="87">
        <f t="shared" si="8"/>
        <v>-0.20833333333333334</v>
      </c>
      <c r="X121" s="87">
        <f t="shared" si="9"/>
        <v>-0.20402298850574713</v>
      </c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</row>
    <row r="122" spans="1:35">
      <c r="A122" s="23">
        <v>44772</v>
      </c>
      <c r="B122" s="121">
        <f>IF(YEAR(Table9[[#This Row],[Date]]) = 2022, WEEKNUM(Table9[[#This Row],[Date]])-13, WEEKNUM(Table9[[#This Row],[Date]])+40)</f>
        <v>18</v>
      </c>
      <c r="C122" s="35" t="s">
        <v>53</v>
      </c>
      <c r="D122" s="35" t="s">
        <v>59</v>
      </c>
      <c r="E122" s="1">
        <v>272</v>
      </c>
      <c r="F122" s="1">
        <v>262</v>
      </c>
      <c r="G122" s="67">
        <v>0.48633879781420764</v>
      </c>
      <c r="H122" s="67">
        <v>0.44751381215469616</v>
      </c>
      <c r="I122" s="1">
        <f>I121+Table9[[#This Row],[Calls Off]]</f>
        <v>7850</v>
      </c>
      <c r="J122" s="1">
        <f>J121+Table9[[#This Row],[Calls Ans]]</f>
        <v>7631</v>
      </c>
      <c r="K122" s="1">
        <v>28696</v>
      </c>
      <c r="L122" s="1">
        <v>27718</v>
      </c>
      <c r="M122" s="18">
        <v>0.9</v>
      </c>
      <c r="N122" s="18">
        <v>0.04</v>
      </c>
      <c r="O122" s="18">
        <v>0.96</v>
      </c>
      <c r="P122" s="18">
        <v>0.73</v>
      </c>
      <c r="Q122" s="22">
        <v>1</v>
      </c>
      <c r="R122" s="230">
        <v>0</v>
      </c>
      <c r="S122" s="230">
        <v>0</v>
      </c>
      <c r="T122" s="240">
        <v>0</v>
      </c>
      <c r="U122" s="245" t="str">
        <f t="shared" si="6"/>
        <v>Outlier</v>
      </c>
      <c r="V122" s="245" t="str">
        <f t="shared" si="7"/>
        <v>Outlier</v>
      </c>
      <c r="W122" s="87">
        <f t="shared" si="8"/>
        <v>0.48633879781420764</v>
      </c>
      <c r="X122" s="87">
        <f t="shared" si="9"/>
        <v>0.44751381215469616</v>
      </c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</row>
    <row r="123" spans="1:35">
      <c r="A123" s="23">
        <v>44773</v>
      </c>
      <c r="B123" s="121">
        <f>IF(YEAR(Table9[[#This Row],[Date]]) = 2022, WEEKNUM(Table9[[#This Row],[Date]])-13, WEEKNUM(Table9[[#This Row],[Date]])+40)</f>
        <v>19</v>
      </c>
      <c r="C123" s="35" t="s">
        <v>47</v>
      </c>
      <c r="D123" s="35" t="s">
        <v>59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22">
        <v>0</v>
      </c>
      <c r="R123" s="230">
        <v>0</v>
      </c>
      <c r="S123" s="230">
        <v>0</v>
      </c>
      <c r="T123" s="240">
        <v>0</v>
      </c>
      <c r="U123" s="245" t="str">
        <f t="shared" si="6"/>
        <v>Normal</v>
      </c>
      <c r="V123" s="245" t="str">
        <f t="shared" si="7"/>
        <v>Normal</v>
      </c>
      <c r="W123" s="87">
        <f t="shared" si="8"/>
        <v>0</v>
      </c>
      <c r="X123" s="87">
        <f t="shared" si="9"/>
        <v>0</v>
      </c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</row>
    <row r="124" spans="1:35">
      <c r="A124" s="104">
        <v>44774</v>
      </c>
      <c r="B124" s="304">
        <f>IF(YEAR(Table9[[#This Row],[Date]]) = 2022, WEEKNUM(Table9[[#This Row],[Date]])-13, WEEKNUM(Table9[[#This Row],[Date]])+40)</f>
        <v>19</v>
      </c>
      <c r="C124" s="51" t="s">
        <v>63</v>
      </c>
      <c r="D124" s="51" t="s">
        <v>59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105">
        <v>0</v>
      </c>
      <c r="R124" s="230">
        <v>0</v>
      </c>
      <c r="S124" s="230">
        <v>0</v>
      </c>
      <c r="T124" s="240">
        <v>0</v>
      </c>
      <c r="U124" s="245" t="str">
        <f t="shared" si="6"/>
        <v>Normal</v>
      </c>
      <c r="V124" s="245" t="str">
        <f t="shared" si="7"/>
        <v>Normal</v>
      </c>
      <c r="W124" s="87">
        <f t="shared" si="8"/>
        <v>0</v>
      </c>
      <c r="X124" s="87">
        <f t="shared" si="9"/>
        <v>0</v>
      </c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</row>
    <row r="125" spans="1:35">
      <c r="A125" s="23">
        <v>44775</v>
      </c>
      <c r="B125" s="121">
        <f>IF(YEAR(Table9[[#This Row],[Date]]) = 2022, WEEKNUM(Table9[[#This Row],[Date]])-13, WEEKNUM(Table9[[#This Row],[Date]])+40)</f>
        <v>19</v>
      </c>
      <c r="C125" s="35" t="s">
        <v>49</v>
      </c>
      <c r="D125" s="35" t="s">
        <v>59</v>
      </c>
      <c r="E125" s="1">
        <v>343</v>
      </c>
      <c r="F125" s="1">
        <v>328</v>
      </c>
      <c r="G125" s="67">
        <v>-8.0428954423592491E-2</v>
      </c>
      <c r="H125" s="67">
        <v>-0.1111111111111111</v>
      </c>
      <c r="I125" s="1">
        <v>343</v>
      </c>
      <c r="J125" s="1">
        <v>328</v>
      </c>
      <c r="K125" s="1">
        <v>29039</v>
      </c>
      <c r="L125" s="1">
        <v>28046</v>
      </c>
      <c r="M125" s="18">
        <v>0.89</v>
      </c>
      <c r="N125" s="18">
        <v>0.04</v>
      </c>
      <c r="O125" s="18">
        <v>0.96</v>
      </c>
      <c r="P125" s="18">
        <v>0.74</v>
      </c>
      <c r="Q125" s="22">
        <v>1</v>
      </c>
      <c r="R125" s="230">
        <v>0</v>
      </c>
      <c r="S125" s="230">
        <v>0</v>
      </c>
      <c r="T125" s="240">
        <v>0</v>
      </c>
      <c r="U125" s="245" t="str">
        <f t="shared" si="6"/>
        <v>Normal</v>
      </c>
      <c r="V125" s="245" t="str">
        <f t="shared" si="7"/>
        <v>Normal</v>
      </c>
      <c r="W125" s="87">
        <f t="shared" si="8"/>
        <v>-8.0428954423592491E-2</v>
      </c>
      <c r="X125" s="87">
        <f t="shared" si="9"/>
        <v>-0.1111111111111111</v>
      </c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</row>
    <row r="126" spans="1:35">
      <c r="A126" s="23">
        <v>44776</v>
      </c>
      <c r="B126" s="121">
        <f>IF(YEAR(Table9[[#This Row],[Date]]) = 2022, WEEKNUM(Table9[[#This Row],[Date]])-13, WEEKNUM(Table9[[#This Row],[Date]])+40)</f>
        <v>19</v>
      </c>
      <c r="C126" s="35" t="s">
        <v>50</v>
      </c>
      <c r="D126" s="35" t="s">
        <v>59</v>
      </c>
      <c r="E126" s="1">
        <v>319</v>
      </c>
      <c r="F126" s="1">
        <v>311</v>
      </c>
      <c r="G126" s="67">
        <v>-2.1472392638036811E-2</v>
      </c>
      <c r="H126" s="67">
        <v>-1.8927444794952682E-2</v>
      </c>
      <c r="I126" s="1">
        <v>662</v>
      </c>
      <c r="J126" s="1">
        <v>639</v>
      </c>
      <c r="K126" s="1">
        <v>29358</v>
      </c>
      <c r="L126" s="1">
        <v>28357</v>
      </c>
      <c r="M126" s="18">
        <v>0.89</v>
      </c>
      <c r="N126" s="18">
        <v>0.03</v>
      </c>
      <c r="O126" s="18">
        <v>0.97</v>
      </c>
      <c r="P126" s="18">
        <v>0.71</v>
      </c>
      <c r="Q126" s="22">
        <v>1</v>
      </c>
      <c r="R126" s="230">
        <v>0</v>
      </c>
      <c r="S126" s="230">
        <v>0</v>
      </c>
      <c r="T126" s="240">
        <v>0</v>
      </c>
      <c r="U126" s="245" t="str">
        <f t="shared" si="6"/>
        <v>Normal</v>
      </c>
      <c r="V126" s="245" t="str">
        <f t="shared" si="7"/>
        <v>Normal</v>
      </c>
      <c r="W126" s="87">
        <f t="shared" si="8"/>
        <v>-2.1472392638036811E-2</v>
      </c>
      <c r="X126" s="87">
        <f t="shared" si="9"/>
        <v>-1.8927444794952682E-2</v>
      </c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</row>
    <row r="127" spans="1:35">
      <c r="A127" s="23">
        <v>44777</v>
      </c>
      <c r="B127" s="121">
        <f>IF(YEAR(Table9[[#This Row],[Date]]) = 2022, WEEKNUM(Table9[[#This Row],[Date]])-13, WEEKNUM(Table9[[#This Row],[Date]])+40)</f>
        <v>19</v>
      </c>
      <c r="C127" s="35" t="s">
        <v>51</v>
      </c>
      <c r="D127" s="35" t="s">
        <v>59</v>
      </c>
      <c r="E127" s="1">
        <v>354</v>
      </c>
      <c r="F127" s="1">
        <v>344</v>
      </c>
      <c r="G127" s="67">
        <v>-0.15513126491646778</v>
      </c>
      <c r="H127" s="67">
        <v>-0.13784461152882205</v>
      </c>
      <c r="I127" s="1">
        <v>1016</v>
      </c>
      <c r="J127" s="1">
        <v>983</v>
      </c>
      <c r="K127" s="1">
        <v>29712</v>
      </c>
      <c r="L127" s="1">
        <v>28701</v>
      </c>
      <c r="M127" s="18">
        <v>0.88</v>
      </c>
      <c r="N127" s="18">
        <v>0.03</v>
      </c>
      <c r="O127" s="18">
        <v>0.97</v>
      </c>
      <c r="P127" s="18">
        <v>0.66</v>
      </c>
      <c r="Q127" s="22">
        <v>1</v>
      </c>
      <c r="R127" s="230">
        <v>0</v>
      </c>
      <c r="S127" s="230">
        <v>0</v>
      </c>
      <c r="T127" s="240">
        <v>0</v>
      </c>
      <c r="U127" s="245" t="str">
        <f t="shared" si="6"/>
        <v>Normal</v>
      </c>
      <c r="V127" s="245" t="str">
        <f t="shared" si="7"/>
        <v>Normal</v>
      </c>
      <c r="W127" s="87">
        <f t="shared" si="8"/>
        <v>-0.15513126491646778</v>
      </c>
      <c r="X127" s="87">
        <f t="shared" si="9"/>
        <v>-0.13784461152882205</v>
      </c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</row>
    <row r="128" spans="1:35">
      <c r="A128" s="23">
        <v>44778</v>
      </c>
      <c r="B128" s="121">
        <f>IF(YEAR(Table9[[#This Row],[Date]]) = 2022, WEEKNUM(Table9[[#This Row],[Date]])-13, WEEKNUM(Table9[[#This Row],[Date]])+40)</f>
        <v>19</v>
      </c>
      <c r="C128" s="35" t="s">
        <v>52</v>
      </c>
      <c r="D128" s="35" t="s">
        <v>59</v>
      </c>
      <c r="E128" s="1">
        <v>348</v>
      </c>
      <c r="F128" s="1">
        <v>331</v>
      </c>
      <c r="G128" s="67">
        <v>0.22105263157894736</v>
      </c>
      <c r="H128" s="67">
        <v>0.19494584837545126</v>
      </c>
      <c r="I128" s="1">
        <v>1364</v>
      </c>
      <c r="J128" s="1">
        <v>1314</v>
      </c>
      <c r="K128" s="1">
        <v>30060</v>
      </c>
      <c r="L128" s="1">
        <v>29032</v>
      </c>
      <c r="M128" s="18">
        <v>0.9</v>
      </c>
      <c r="N128" s="18">
        <v>0.05</v>
      </c>
      <c r="O128" s="18">
        <v>0.95</v>
      </c>
      <c r="P128" s="18">
        <v>0.79</v>
      </c>
      <c r="Q128" s="22">
        <v>1</v>
      </c>
      <c r="R128" s="230">
        <v>0</v>
      </c>
      <c r="S128" s="230">
        <v>0</v>
      </c>
      <c r="T128" s="240">
        <v>0</v>
      </c>
      <c r="U128" s="245" t="str">
        <f t="shared" si="6"/>
        <v>Normal</v>
      </c>
      <c r="V128" s="245" t="str">
        <f t="shared" si="7"/>
        <v>Normal</v>
      </c>
      <c r="W128" s="87">
        <f t="shared" si="8"/>
        <v>0.22105263157894736</v>
      </c>
      <c r="X128" s="87">
        <f t="shared" si="9"/>
        <v>0.19494584837545126</v>
      </c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</row>
    <row r="129" spans="1:39">
      <c r="A129" s="23">
        <v>44779</v>
      </c>
      <c r="B129" s="121">
        <f>IF(YEAR(Table9[[#This Row],[Date]]) = 2022, WEEKNUM(Table9[[#This Row],[Date]])-13, WEEKNUM(Table9[[#This Row],[Date]])+40)</f>
        <v>19</v>
      </c>
      <c r="C129" s="35" t="s">
        <v>53</v>
      </c>
      <c r="D129" s="35" t="s">
        <v>59</v>
      </c>
      <c r="E129" s="1">
        <v>260</v>
      </c>
      <c r="F129" s="1">
        <v>255</v>
      </c>
      <c r="G129" s="67">
        <v>-4.4117647058823532E-2</v>
      </c>
      <c r="H129" s="67">
        <v>-2.6717557251908396E-2</v>
      </c>
      <c r="I129" s="1">
        <v>1624</v>
      </c>
      <c r="J129" s="1">
        <v>1569</v>
      </c>
      <c r="K129" s="1">
        <v>30320</v>
      </c>
      <c r="L129" s="1">
        <v>29287</v>
      </c>
      <c r="M129" s="18">
        <v>0.91</v>
      </c>
      <c r="N129" s="18">
        <v>0.02</v>
      </c>
      <c r="O129" s="18">
        <v>0.98</v>
      </c>
      <c r="P129" s="18">
        <v>0.67</v>
      </c>
      <c r="Q129" s="22">
        <v>1</v>
      </c>
      <c r="R129" s="230">
        <v>0</v>
      </c>
      <c r="S129" s="230">
        <v>0</v>
      </c>
      <c r="T129" s="240">
        <v>0</v>
      </c>
      <c r="U129" s="245" t="str">
        <f t="shared" si="6"/>
        <v>Normal</v>
      </c>
      <c r="V129" s="245" t="str">
        <f t="shared" si="7"/>
        <v>Normal</v>
      </c>
      <c r="W129" s="87">
        <f t="shared" si="8"/>
        <v>-4.4117647058823532E-2</v>
      </c>
      <c r="X129" s="87">
        <f t="shared" si="9"/>
        <v>-2.6717557251908396E-2</v>
      </c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</row>
    <row r="130" spans="1:39">
      <c r="A130" s="23">
        <v>44780</v>
      </c>
      <c r="B130" s="121">
        <f>IF(YEAR(Table9[[#This Row],[Date]]) = 2022, WEEKNUM(Table9[[#This Row],[Date]])-13, WEEKNUM(Table9[[#This Row],[Date]])+40)</f>
        <v>20</v>
      </c>
      <c r="C130" s="35" t="s">
        <v>47</v>
      </c>
      <c r="D130" s="35" t="s">
        <v>59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22">
        <v>0</v>
      </c>
      <c r="R130" s="230">
        <v>0</v>
      </c>
      <c r="S130" s="230">
        <v>0</v>
      </c>
      <c r="T130" s="240">
        <v>0</v>
      </c>
      <c r="U130" s="245" t="str">
        <f t="shared" si="6"/>
        <v>Normal</v>
      </c>
      <c r="V130" s="245" t="str">
        <f t="shared" si="7"/>
        <v>Normal</v>
      </c>
      <c r="W130" s="87">
        <f t="shared" si="8"/>
        <v>0</v>
      </c>
      <c r="X130" s="87">
        <f t="shared" si="9"/>
        <v>0</v>
      </c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</row>
    <row r="131" spans="1:39">
      <c r="A131" s="23">
        <v>44781</v>
      </c>
      <c r="B131" s="121">
        <f>IF(YEAR(Table9[[#This Row],[Date]]) = 2022, WEEKNUM(Table9[[#This Row],[Date]])-13, WEEKNUM(Table9[[#This Row],[Date]])+40)</f>
        <v>20</v>
      </c>
      <c r="C131" s="35" t="s">
        <v>48</v>
      </c>
      <c r="D131" s="35" t="s">
        <v>59</v>
      </c>
      <c r="E131" s="1">
        <v>417</v>
      </c>
      <c r="F131" s="1">
        <v>398</v>
      </c>
      <c r="G131" s="67">
        <v>0</v>
      </c>
      <c r="H131" s="67">
        <v>0</v>
      </c>
      <c r="I131" s="1">
        <v>2041</v>
      </c>
      <c r="J131" s="1">
        <v>1967</v>
      </c>
      <c r="K131" s="1">
        <v>30737</v>
      </c>
      <c r="L131" s="1">
        <v>29685</v>
      </c>
      <c r="M131" s="18">
        <v>0.87</v>
      </c>
      <c r="N131" s="18">
        <v>0.05</v>
      </c>
      <c r="O131" s="18">
        <v>0.95</v>
      </c>
      <c r="P131" s="18">
        <v>0.83</v>
      </c>
      <c r="Q131" s="22">
        <v>1</v>
      </c>
      <c r="R131" s="230">
        <v>0</v>
      </c>
      <c r="S131" s="230">
        <v>0</v>
      </c>
      <c r="T131" s="240">
        <v>0</v>
      </c>
      <c r="U131" s="245" t="str">
        <f t="shared" ref="U131:U194" si="10">IF(OR(G131&lt;$AA$5,G131&gt;$AB$5), "Outlier", "Normal")</f>
        <v>Normal</v>
      </c>
      <c r="V131" s="245" t="str">
        <f t="shared" ref="V131:V194" si="11">IF(OR(H131&lt;$AA$6,H131&gt;$AB$6), "Outlier", "Normal")</f>
        <v>Normal</v>
      </c>
      <c r="W131" s="87">
        <f t="shared" ref="W131:W194" si="12">IF(U131="Normal",$G131,IF($G131&lt;150%, $G131, $AA$9))</f>
        <v>0</v>
      </c>
      <c r="X131" s="87">
        <f t="shared" ref="X131:X194" si="13">IF(V131="Normal",$H131,IF($H131&lt;150%, $H131, $AE$9))</f>
        <v>0</v>
      </c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</row>
    <row r="132" spans="1:39">
      <c r="A132" s="23">
        <v>44782</v>
      </c>
      <c r="B132" s="121">
        <f>IF(YEAR(Table9[[#This Row],[Date]]) = 2022, WEEKNUM(Table9[[#This Row],[Date]])-13, WEEKNUM(Table9[[#This Row],[Date]])+40)</f>
        <v>20</v>
      </c>
      <c r="C132" s="35" t="s">
        <v>49</v>
      </c>
      <c r="D132" s="35" t="s">
        <v>59</v>
      </c>
      <c r="E132" s="1">
        <v>334</v>
      </c>
      <c r="F132" s="1">
        <v>312</v>
      </c>
      <c r="G132" s="67">
        <v>-2.6239067055393587E-2</v>
      </c>
      <c r="H132" s="67">
        <v>-4.878048780487805E-2</v>
      </c>
      <c r="I132" s="1">
        <v>2375</v>
      </c>
      <c r="J132" s="1">
        <v>2279</v>
      </c>
      <c r="K132" s="1">
        <v>31071</v>
      </c>
      <c r="L132" s="1">
        <v>29997</v>
      </c>
      <c r="M132" s="18">
        <v>0.84</v>
      </c>
      <c r="N132" s="18">
        <v>7.0000000000000007E-2</v>
      </c>
      <c r="O132" s="18">
        <v>0.93</v>
      </c>
      <c r="P132" s="18">
        <v>0.71</v>
      </c>
      <c r="Q132" s="22">
        <v>1</v>
      </c>
      <c r="R132" s="230">
        <v>0</v>
      </c>
      <c r="S132" s="230">
        <v>0</v>
      </c>
      <c r="T132" s="240">
        <v>0</v>
      </c>
      <c r="U132" s="245" t="str">
        <f t="shared" si="10"/>
        <v>Normal</v>
      </c>
      <c r="V132" s="245" t="str">
        <f t="shared" si="11"/>
        <v>Normal</v>
      </c>
      <c r="W132" s="87">
        <f t="shared" si="12"/>
        <v>-2.6239067055393587E-2</v>
      </c>
      <c r="X132" s="87">
        <f t="shared" si="13"/>
        <v>-4.878048780487805E-2</v>
      </c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</row>
    <row r="133" spans="1:39">
      <c r="A133" s="23">
        <v>44783</v>
      </c>
      <c r="B133" s="121">
        <f>IF(YEAR(Table9[[#This Row],[Date]]) = 2022, WEEKNUM(Table9[[#This Row],[Date]])-13, WEEKNUM(Table9[[#This Row],[Date]])+40)</f>
        <v>20</v>
      </c>
      <c r="C133" s="35" t="s">
        <v>50</v>
      </c>
      <c r="D133" s="35" t="s">
        <v>59</v>
      </c>
      <c r="E133" s="1">
        <v>458</v>
      </c>
      <c r="F133" s="1">
        <v>444</v>
      </c>
      <c r="G133" s="67">
        <v>0.43573667711598746</v>
      </c>
      <c r="H133" s="67">
        <v>0.42765273311897106</v>
      </c>
      <c r="I133" s="1">
        <v>2833</v>
      </c>
      <c r="J133" s="1">
        <v>2723</v>
      </c>
      <c r="K133" s="1">
        <v>31529</v>
      </c>
      <c r="L133" s="1">
        <v>30441</v>
      </c>
      <c r="M133" s="18">
        <v>0.88</v>
      </c>
      <c r="N133" s="18">
        <v>0.03</v>
      </c>
      <c r="O133" s="18">
        <v>0.97</v>
      </c>
      <c r="P133" s="18">
        <v>0.8</v>
      </c>
      <c r="Q133" s="22">
        <v>1</v>
      </c>
      <c r="R133" s="230">
        <v>0</v>
      </c>
      <c r="S133" s="230">
        <v>0</v>
      </c>
      <c r="T133" s="240">
        <v>0</v>
      </c>
      <c r="U133" s="245" t="str">
        <f t="shared" si="10"/>
        <v>Outlier</v>
      </c>
      <c r="V133" s="245" t="str">
        <f t="shared" si="11"/>
        <v>Normal</v>
      </c>
      <c r="W133" s="87">
        <f t="shared" si="12"/>
        <v>0.43573667711598746</v>
      </c>
      <c r="X133" s="87">
        <f t="shared" si="13"/>
        <v>0.42765273311897106</v>
      </c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L133" s="330" t="s">
        <v>95</v>
      </c>
      <c r="AM133" s="330"/>
    </row>
    <row r="134" spans="1:39">
      <c r="A134" s="23">
        <v>44784</v>
      </c>
      <c r="B134" s="121">
        <f>IF(YEAR(Table9[[#This Row],[Date]]) = 2022, WEEKNUM(Table9[[#This Row],[Date]])-13, WEEKNUM(Table9[[#This Row],[Date]])+40)</f>
        <v>20</v>
      </c>
      <c r="C134" s="35" t="s">
        <v>51</v>
      </c>
      <c r="D134" s="35" t="s">
        <v>59</v>
      </c>
      <c r="E134" s="1">
        <v>332</v>
      </c>
      <c r="F134" s="1">
        <v>319</v>
      </c>
      <c r="G134" s="67">
        <v>-6.2146892655367235E-2</v>
      </c>
      <c r="H134" s="67">
        <v>-7.2674418604651167E-2</v>
      </c>
      <c r="I134" s="1">
        <v>3165</v>
      </c>
      <c r="J134" s="1">
        <v>3042</v>
      </c>
      <c r="K134" s="1">
        <v>31861</v>
      </c>
      <c r="L134" s="1">
        <v>30760</v>
      </c>
      <c r="M134" s="18">
        <v>0.78</v>
      </c>
      <c r="N134" s="18">
        <v>0.04</v>
      </c>
      <c r="O134" s="18">
        <v>0.96</v>
      </c>
      <c r="P134" s="18">
        <v>0.77</v>
      </c>
      <c r="Q134" s="22">
        <v>1</v>
      </c>
      <c r="R134" s="230">
        <v>0</v>
      </c>
      <c r="S134" s="230">
        <v>0</v>
      </c>
      <c r="T134" s="240">
        <v>0</v>
      </c>
      <c r="U134" s="245" t="str">
        <f t="shared" si="10"/>
        <v>Normal</v>
      </c>
      <c r="V134" s="245" t="str">
        <f t="shared" si="11"/>
        <v>Normal</v>
      </c>
      <c r="W134" s="87">
        <f t="shared" si="12"/>
        <v>-6.2146892655367235E-2</v>
      </c>
      <c r="X134" s="87">
        <f t="shared" si="13"/>
        <v>-7.2674418604651167E-2</v>
      </c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L134" t="s">
        <v>96</v>
      </c>
      <c r="AM134" t="s">
        <v>97</v>
      </c>
    </row>
    <row r="135" spans="1:39">
      <c r="A135" s="23">
        <v>44785</v>
      </c>
      <c r="B135" s="121">
        <f>IF(YEAR(Table9[[#This Row],[Date]]) = 2022, WEEKNUM(Table9[[#This Row],[Date]])-13, WEEKNUM(Table9[[#This Row],[Date]])+40)</f>
        <v>20</v>
      </c>
      <c r="C135" s="35" t="s">
        <v>52</v>
      </c>
      <c r="D135" s="35" t="s">
        <v>59</v>
      </c>
      <c r="E135" s="1">
        <v>297</v>
      </c>
      <c r="F135" s="1">
        <v>282</v>
      </c>
      <c r="G135" s="67">
        <v>-0.14655172413793102</v>
      </c>
      <c r="H135" s="67">
        <v>-0.14803625377643503</v>
      </c>
      <c r="I135" s="1">
        <v>3462</v>
      </c>
      <c r="J135" s="1">
        <v>3324</v>
      </c>
      <c r="K135" s="1">
        <v>32158</v>
      </c>
      <c r="L135" s="1">
        <v>31042</v>
      </c>
      <c r="M135" s="18">
        <v>0.78</v>
      </c>
      <c r="N135" s="18">
        <v>0.05</v>
      </c>
      <c r="O135" s="18">
        <v>0.95</v>
      </c>
      <c r="P135" s="18">
        <v>0.65</v>
      </c>
      <c r="Q135" s="22">
        <v>1</v>
      </c>
      <c r="R135" s="230">
        <v>0</v>
      </c>
      <c r="S135" s="230">
        <v>0</v>
      </c>
      <c r="T135" s="240">
        <v>0</v>
      </c>
      <c r="U135" s="245" t="str">
        <f t="shared" si="10"/>
        <v>Normal</v>
      </c>
      <c r="V135" s="245" t="str">
        <f t="shared" si="11"/>
        <v>Normal</v>
      </c>
      <c r="W135" s="87">
        <f t="shared" si="12"/>
        <v>-0.14655172413793102</v>
      </c>
      <c r="X135" s="87">
        <f t="shared" si="13"/>
        <v>-0.14803625377643503</v>
      </c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L135" t="s">
        <v>98</v>
      </c>
      <c r="AM135" s="163">
        <v>0</v>
      </c>
    </row>
    <row r="136" spans="1:39">
      <c r="A136" s="23">
        <v>44786</v>
      </c>
      <c r="B136" s="121">
        <f>IF(YEAR(Table9[[#This Row],[Date]]) = 2022, WEEKNUM(Table9[[#This Row],[Date]])-13, WEEKNUM(Table9[[#This Row],[Date]])+40)</f>
        <v>20</v>
      </c>
      <c r="C136" s="35" t="s">
        <v>53</v>
      </c>
      <c r="D136" s="35" t="s">
        <v>59</v>
      </c>
      <c r="E136" s="1">
        <v>332</v>
      </c>
      <c r="F136" s="1">
        <v>319</v>
      </c>
      <c r="G136" s="67">
        <v>0.27692307692307694</v>
      </c>
      <c r="H136" s="67">
        <v>0.25098039215686274</v>
      </c>
      <c r="I136" s="1">
        <v>3794</v>
      </c>
      <c r="J136" s="1">
        <v>3643</v>
      </c>
      <c r="K136" s="1">
        <v>32490</v>
      </c>
      <c r="L136" s="1">
        <v>31361</v>
      </c>
      <c r="M136" s="18">
        <v>0.9</v>
      </c>
      <c r="N136" s="18">
        <v>0.04</v>
      </c>
      <c r="O136" s="18">
        <v>0.96</v>
      </c>
      <c r="P136" s="18">
        <v>0.79</v>
      </c>
      <c r="Q136" s="22">
        <v>1</v>
      </c>
      <c r="R136" s="230">
        <v>0</v>
      </c>
      <c r="S136" s="230">
        <v>0</v>
      </c>
      <c r="T136" s="240">
        <v>0</v>
      </c>
      <c r="U136" s="245" t="str">
        <f t="shared" si="10"/>
        <v>Normal</v>
      </c>
      <c r="V136" s="245" t="str">
        <f t="shared" si="11"/>
        <v>Normal</v>
      </c>
      <c r="W136" s="87">
        <f t="shared" si="12"/>
        <v>0.27692307692307694</v>
      </c>
      <c r="X136" s="87">
        <f t="shared" si="13"/>
        <v>0.25098039215686274</v>
      </c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L136" t="s">
        <v>99</v>
      </c>
      <c r="AM136" s="163">
        <v>0.10416666666666667</v>
      </c>
    </row>
    <row r="137" spans="1:39">
      <c r="A137" s="23">
        <v>44787</v>
      </c>
      <c r="B137" s="121">
        <f>IF(YEAR(Table9[[#This Row],[Date]]) = 2022, WEEKNUM(Table9[[#This Row],[Date]])-13, WEEKNUM(Table9[[#This Row],[Date]])+40)</f>
        <v>21</v>
      </c>
      <c r="C137" s="35" t="s">
        <v>47</v>
      </c>
      <c r="D137" s="35" t="s">
        <v>59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22">
        <v>0</v>
      </c>
      <c r="R137" s="230">
        <v>0</v>
      </c>
      <c r="S137" s="230">
        <v>0</v>
      </c>
      <c r="T137" s="240">
        <v>0</v>
      </c>
      <c r="U137" s="245" t="str">
        <f t="shared" si="10"/>
        <v>Normal</v>
      </c>
      <c r="V137" s="245" t="str">
        <f t="shared" si="11"/>
        <v>Normal</v>
      </c>
      <c r="W137" s="87">
        <f t="shared" si="12"/>
        <v>0</v>
      </c>
      <c r="X137" s="87">
        <f t="shared" si="13"/>
        <v>0</v>
      </c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L137" t="s">
        <v>100</v>
      </c>
      <c r="AM137" s="163">
        <v>0.10416666666666667</v>
      </c>
    </row>
    <row r="138" spans="1:39">
      <c r="A138" s="23">
        <v>44788</v>
      </c>
      <c r="B138" s="121">
        <f>IF(YEAR(Table9[[#This Row],[Date]]) = 2022, WEEKNUM(Table9[[#This Row],[Date]])-13, WEEKNUM(Table9[[#This Row],[Date]])+40)</f>
        <v>21</v>
      </c>
      <c r="C138" s="35" t="s">
        <v>48</v>
      </c>
      <c r="D138" s="35" t="s">
        <v>59</v>
      </c>
      <c r="E138" s="1">
        <v>356</v>
      </c>
      <c r="F138" s="1">
        <v>334</v>
      </c>
      <c r="G138" s="67">
        <v>-0.14628297362110312</v>
      </c>
      <c r="H138" s="67">
        <v>-0.16080402010050251</v>
      </c>
      <c r="I138" s="1">
        <v>4150</v>
      </c>
      <c r="J138" s="1">
        <v>3977</v>
      </c>
      <c r="K138" s="1">
        <v>32846</v>
      </c>
      <c r="L138" s="1">
        <v>31695</v>
      </c>
      <c r="M138" s="18">
        <v>0.84</v>
      </c>
      <c r="N138" s="18">
        <v>0.06</v>
      </c>
      <c r="O138" s="18">
        <v>0.94</v>
      </c>
      <c r="P138" s="18">
        <v>0.79</v>
      </c>
      <c r="Q138" s="22">
        <v>1</v>
      </c>
      <c r="R138" s="230">
        <v>0</v>
      </c>
      <c r="S138" s="230">
        <v>0</v>
      </c>
      <c r="T138" s="240">
        <v>0</v>
      </c>
      <c r="U138" s="245" t="str">
        <f t="shared" si="10"/>
        <v>Normal</v>
      </c>
      <c r="V138" s="245" t="str">
        <f t="shared" si="11"/>
        <v>Normal</v>
      </c>
      <c r="W138" s="87">
        <f t="shared" si="12"/>
        <v>-0.14628297362110312</v>
      </c>
      <c r="X138" s="87">
        <f t="shared" si="13"/>
        <v>-0.16080402010050251</v>
      </c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L138" t="s">
        <v>101</v>
      </c>
      <c r="AM138" s="163">
        <v>0.20833333333333334</v>
      </c>
    </row>
    <row r="139" spans="1:39">
      <c r="A139" s="23">
        <v>44789</v>
      </c>
      <c r="B139" s="121">
        <f>IF(YEAR(Table9[[#This Row],[Date]]) = 2022, WEEKNUM(Table9[[#This Row],[Date]])-13, WEEKNUM(Table9[[#This Row],[Date]])+40)</f>
        <v>21</v>
      </c>
      <c r="C139" s="35" t="s">
        <v>49</v>
      </c>
      <c r="D139" s="35" t="s">
        <v>59</v>
      </c>
      <c r="E139" s="1">
        <v>315</v>
      </c>
      <c r="F139" s="1">
        <v>306</v>
      </c>
      <c r="G139" s="67">
        <v>-5.6886227544910177E-2</v>
      </c>
      <c r="H139" s="67">
        <v>-1.9230769230769232E-2</v>
      </c>
      <c r="I139" s="1">
        <v>4465</v>
      </c>
      <c r="J139" s="1">
        <v>4283</v>
      </c>
      <c r="K139" s="1">
        <v>33161</v>
      </c>
      <c r="L139" s="1">
        <v>32001</v>
      </c>
      <c r="M139" s="18">
        <v>0.9</v>
      </c>
      <c r="N139" s="18">
        <v>0.03</v>
      </c>
      <c r="O139" s="18">
        <v>0.97</v>
      </c>
      <c r="P139" s="18">
        <v>0.71</v>
      </c>
      <c r="Q139" s="22">
        <v>1</v>
      </c>
      <c r="R139" s="230">
        <v>0</v>
      </c>
      <c r="S139" s="230">
        <v>0</v>
      </c>
      <c r="T139" s="240">
        <v>0</v>
      </c>
      <c r="U139" s="245" t="str">
        <f t="shared" si="10"/>
        <v>Normal</v>
      </c>
      <c r="V139" s="245" t="str">
        <f t="shared" si="11"/>
        <v>Normal</v>
      </c>
      <c r="W139" s="87">
        <f t="shared" si="12"/>
        <v>-5.6886227544910177E-2</v>
      </c>
      <c r="X139" s="87">
        <f t="shared" si="13"/>
        <v>-1.9230769230769232E-2</v>
      </c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L139" t="s">
        <v>97</v>
      </c>
      <c r="AM139" s="163" cm="1">
        <f t="array" ref="AM139">AVERAGEIF(chart_ATT_GUY, "&lt;&gt;0")</f>
        <v>104.07692307692308</v>
      </c>
    </row>
    <row r="140" spans="1:39">
      <c r="A140" s="23">
        <v>44790</v>
      </c>
      <c r="B140" s="121">
        <f>IF(YEAR(Table9[[#This Row],[Date]]) = 2022, WEEKNUM(Table9[[#This Row],[Date]])-13, WEEKNUM(Table9[[#This Row],[Date]])+40)</f>
        <v>21</v>
      </c>
      <c r="C140" s="35" t="s">
        <v>50</v>
      </c>
      <c r="D140" s="35" t="s">
        <v>59</v>
      </c>
      <c r="E140" s="1">
        <v>412</v>
      </c>
      <c r="F140" s="1">
        <v>396</v>
      </c>
      <c r="G140" s="67">
        <v>-0.10043668122270742</v>
      </c>
      <c r="H140" s="67">
        <v>-0.10810810810810811</v>
      </c>
      <c r="I140" s="1">
        <v>4877</v>
      </c>
      <c r="J140" s="1">
        <v>4679</v>
      </c>
      <c r="K140" s="1">
        <v>33573</v>
      </c>
      <c r="L140" s="1">
        <v>32397</v>
      </c>
      <c r="M140" s="18">
        <v>0.88</v>
      </c>
      <c r="N140" s="18">
        <v>0.04</v>
      </c>
      <c r="O140" s="18">
        <v>0.96</v>
      </c>
      <c r="P140" s="18">
        <v>0.82</v>
      </c>
      <c r="Q140" s="22">
        <v>1</v>
      </c>
      <c r="R140" s="230">
        <v>0</v>
      </c>
      <c r="S140" s="230">
        <v>0</v>
      </c>
      <c r="T140" s="240">
        <v>0</v>
      </c>
      <c r="U140" s="245" t="str">
        <f t="shared" si="10"/>
        <v>Normal</v>
      </c>
      <c r="V140" s="245" t="str">
        <f t="shared" si="11"/>
        <v>Normal</v>
      </c>
      <c r="W140" s="87">
        <f t="shared" si="12"/>
        <v>-0.10043668122270742</v>
      </c>
      <c r="X140" s="87">
        <f t="shared" si="13"/>
        <v>-0.10810810810810811</v>
      </c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</row>
    <row r="141" spans="1:39">
      <c r="A141" s="23">
        <v>44791</v>
      </c>
      <c r="B141" s="121">
        <f>IF(YEAR(Table9[[#This Row],[Date]]) = 2022, WEEKNUM(Table9[[#This Row],[Date]])-13, WEEKNUM(Table9[[#This Row],[Date]])+40)</f>
        <v>21</v>
      </c>
      <c r="C141" s="35" t="s">
        <v>51</v>
      </c>
      <c r="D141" s="35" t="s">
        <v>59</v>
      </c>
      <c r="E141" s="1">
        <v>288</v>
      </c>
      <c r="F141" s="1">
        <v>283</v>
      </c>
      <c r="G141" s="67">
        <v>-0.13253012048192772</v>
      </c>
      <c r="H141" s="67">
        <v>-0.11285266457680251</v>
      </c>
      <c r="I141" s="1">
        <v>5165</v>
      </c>
      <c r="J141" s="1">
        <v>4962</v>
      </c>
      <c r="K141" s="1">
        <v>33861</v>
      </c>
      <c r="L141" s="1">
        <v>32680</v>
      </c>
      <c r="M141" s="18">
        <v>0.9</v>
      </c>
      <c r="N141" s="18">
        <v>0.02</v>
      </c>
      <c r="O141" s="18">
        <v>0.98</v>
      </c>
      <c r="P141" s="18">
        <v>0.74</v>
      </c>
      <c r="Q141" s="22">
        <v>1</v>
      </c>
      <c r="R141" s="230">
        <v>0</v>
      </c>
      <c r="S141" s="230">
        <v>0</v>
      </c>
      <c r="T141" s="240">
        <v>0</v>
      </c>
      <c r="U141" s="245" t="str">
        <f t="shared" si="10"/>
        <v>Normal</v>
      </c>
      <c r="V141" s="245" t="str">
        <f t="shared" si="11"/>
        <v>Normal</v>
      </c>
      <c r="W141" s="87">
        <f t="shared" si="12"/>
        <v>-0.13253012048192772</v>
      </c>
      <c r="X141" s="87">
        <f t="shared" si="13"/>
        <v>-0.11285266457680251</v>
      </c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</row>
    <row r="142" spans="1:39">
      <c r="A142" s="23">
        <v>44792</v>
      </c>
      <c r="B142" s="121">
        <f>IF(YEAR(Table9[[#This Row],[Date]]) = 2022, WEEKNUM(Table9[[#This Row],[Date]])-13, WEEKNUM(Table9[[#This Row],[Date]])+40)</f>
        <v>21</v>
      </c>
      <c r="C142" s="35" t="s">
        <v>52</v>
      </c>
      <c r="D142" s="35" t="s">
        <v>59</v>
      </c>
      <c r="E142" s="1">
        <v>390</v>
      </c>
      <c r="F142" s="1">
        <v>372</v>
      </c>
      <c r="G142" s="67">
        <v>0.31313131313131315</v>
      </c>
      <c r="H142" s="67">
        <v>0.31914893617021278</v>
      </c>
      <c r="I142" s="1">
        <v>5555</v>
      </c>
      <c r="J142" s="1">
        <v>5334</v>
      </c>
      <c r="K142" s="1">
        <v>34251</v>
      </c>
      <c r="L142" s="1">
        <v>33052</v>
      </c>
      <c r="M142" s="18">
        <v>0.88</v>
      </c>
      <c r="N142" s="18">
        <v>0.04</v>
      </c>
      <c r="O142" s="18">
        <v>0.96</v>
      </c>
      <c r="P142" s="18">
        <v>0.92</v>
      </c>
      <c r="Q142" s="22">
        <v>1</v>
      </c>
      <c r="R142" s="230">
        <v>0</v>
      </c>
      <c r="S142" s="230">
        <v>0</v>
      </c>
      <c r="T142" s="240">
        <v>0</v>
      </c>
      <c r="U142" s="245" t="str">
        <f t="shared" si="10"/>
        <v>Normal</v>
      </c>
      <c r="V142" s="245" t="str">
        <f t="shared" si="11"/>
        <v>Normal</v>
      </c>
      <c r="W142" s="87">
        <f t="shared" si="12"/>
        <v>0.31313131313131315</v>
      </c>
      <c r="X142" s="87">
        <f t="shared" si="13"/>
        <v>0.31914893617021278</v>
      </c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</row>
    <row r="143" spans="1:39">
      <c r="A143" s="23">
        <v>44793</v>
      </c>
      <c r="B143" s="121">
        <f>IF(YEAR(Table9[[#This Row],[Date]]) = 2022, WEEKNUM(Table9[[#This Row],[Date]])-13, WEEKNUM(Table9[[#This Row],[Date]])+40)</f>
        <v>21</v>
      </c>
      <c r="C143" s="35" t="s">
        <v>53</v>
      </c>
      <c r="D143" s="35" t="s">
        <v>59</v>
      </c>
      <c r="E143" s="1">
        <v>253</v>
      </c>
      <c r="F143" s="1">
        <v>246</v>
      </c>
      <c r="G143" s="67">
        <v>-0.23795180722891565</v>
      </c>
      <c r="H143" s="67">
        <v>-0.22884012539184953</v>
      </c>
      <c r="I143" s="1">
        <v>5808</v>
      </c>
      <c r="J143" s="1">
        <v>5580</v>
      </c>
      <c r="K143" s="1">
        <v>34504</v>
      </c>
      <c r="L143" s="1">
        <v>33298</v>
      </c>
      <c r="M143" s="18">
        <v>0.83</v>
      </c>
      <c r="N143" s="18">
        <v>0.03</v>
      </c>
      <c r="O143" s="18">
        <v>0.97</v>
      </c>
      <c r="P143" s="18">
        <v>0.63</v>
      </c>
      <c r="Q143" s="22">
        <v>1</v>
      </c>
      <c r="R143" s="230">
        <v>0</v>
      </c>
      <c r="S143" s="230">
        <v>0</v>
      </c>
      <c r="T143" s="240">
        <v>0</v>
      </c>
      <c r="U143" s="245" t="str">
        <f t="shared" si="10"/>
        <v>Normal</v>
      </c>
      <c r="V143" s="245" t="str">
        <f t="shared" si="11"/>
        <v>Normal</v>
      </c>
      <c r="W143" s="87">
        <f t="shared" si="12"/>
        <v>-0.23795180722891565</v>
      </c>
      <c r="X143" s="87">
        <f t="shared" si="13"/>
        <v>-0.22884012539184953</v>
      </c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</row>
    <row r="144" spans="1:39">
      <c r="A144" s="23">
        <v>44794</v>
      </c>
      <c r="B144" s="121">
        <f>IF(YEAR(Table9[[#This Row],[Date]]) = 2022, WEEKNUM(Table9[[#This Row],[Date]])-13, WEEKNUM(Table9[[#This Row],[Date]])+40)</f>
        <v>22</v>
      </c>
      <c r="C144" s="35" t="s">
        <v>47</v>
      </c>
      <c r="D144" s="35" t="s">
        <v>59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8">
        <v>0</v>
      </c>
      <c r="N144" s="18">
        <v>0</v>
      </c>
      <c r="O144" s="18">
        <v>0</v>
      </c>
      <c r="P144" s="18">
        <v>0</v>
      </c>
      <c r="Q144" s="22">
        <v>0</v>
      </c>
      <c r="R144" s="230">
        <v>0</v>
      </c>
      <c r="S144" s="230">
        <v>0</v>
      </c>
      <c r="T144" s="240">
        <v>0</v>
      </c>
      <c r="U144" s="245" t="str">
        <f t="shared" si="10"/>
        <v>Normal</v>
      </c>
      <c r="V144" s="245" t="str">
        <f t="shared" si="11"/>
        <v>Normal</v>
      </c>
      <c r="W144" s="87">
        <f t="shared" si="12"/>
        <v>0</v>
      </c>
      <c r="X144" s="87">
        <f t="shared" si="13"/>
        <v>0</v>
      </c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</row>
    <row r="145" spans="1:36">
      <c r="A145" s="23">
        <v>44795</v>
      </c>
      <c r="B145" s="121">
        <f>IF(YEAR(Table9[[#This Row],[Date]]) = 2022, WEEKNUM(Table9[[#This Row],[Date]])-13, WEEKNUM(Table9[[#This Row],[Date]])+40)</f>
        <v>22</v>
      </c>
      <c r="C145" s="35" t="s">
        <v>48</v>
      </c>
      <c r="D145" s="35" t="s">
        <v>59</v>
      </c>
      <c r="E145" s="1">
        <v>425</v>
      </c>
      <c r="F145" s="1">
        <v>407</v>
      </c>
      <c r="G145" s="67">
        <v>0.19382022471910113</v>
      </c>
      <c r="H145" s="67">
        <v>0.21856287425149701</v>
      </c>
      <c r="I145" s="1">
        <v>6233</v>
      </c>
      <c r="J145" s="1">
        <v>5987</v>
      </c>
      <c r="K145" s="1">
        <v>34929</v>
      </c>
      <c r="L145" s="1">
        <v>33705</v>
      </c>
      <c r="M145" s="18">
        <v>0.87</v>
      </c>
      <c r="N145" s="18">
        <v>0.04</v>
      </c>
      <c r="O145" s="18">
        <v>0.96</v>
      </c>
      <c r="P145" s="18">
        <v>0.85</v>
      </c>
      <c r="Q145" s="22">
        <v>1</v>
      </c>
      <c r="R145" s="230">
        <v>0</v>
      </c>
      <c r="S145" s="230">
        <v>0</v>
      </c>
      <c r="T145" s="240">
        <v>0</v>
      </c>
      <c r="U145" s="245" t="str">
        <f t="shared" si="10"/>
        <v>Normal</v>
      </c>
      <c r="V145" s="245" t="str">
        <f t="shared" si="11"/>
        <v>Normal</v>
      </c>
      <c r="W145" s="87">
        <f t="shared" si="12"/>
        <v>0.19382022471910113</v>
      </c>
      <c r="X145" s="87">
        <f t="shared" si="13"/>
        <v>0.21856287425149701</v>
      </c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</row>
    <row r="146" spans="1:36">
      <c r="A146" s="23">
        <v>44796</v>
      </c>
      <c r="B146" s="121">
        <f>IF(YEAR(Table9[[#This Row],[Date]]) = 2022, WEEKNUM(Table9[[#This Row],[Date]])-13, WEEKNUM(Table9[[#This Row],[Date]])+40)</f>
        <v>22</v>
      </c>
      <c r="C146" s="35" t="s">
        <v>49</v>
      </c>
      <c r="D146" s="35" t="s">
        <v>59</v>
      </c>
      <c r="E146" s="1">
        <v>390</v>
      </c>
      <c r="F146" s="1">
        <v>379</v>
      </c>
      <c r="G146" s="67">
        <v>0.23809523809523808</v>
      </c>
      <c r="H146" s="67">
        <v>0.23856209150326799</v>
      </c>
      <c r="I146" s="1">
        <v>6623</v>
      </c>
      <c r="J146" s="1">
        <v>6366</v>
      </c>
      <c r="K146" s="1">
        <v>35319</v>
      </c>
      <c r="L146" s="1">
        <v>34084</v>
      </c>
      <c r="M146" s="18">
        <v>0.89</v>
      </c>
      <c r="N146" s="18">
        <v>0.03</v>
      </c>
      <c r="O146" s="18">
        <v>0.97</v>
      </c>
      <c r="P146" s="18">
        <v>0.91</v>
      </c>
      <c r="Q146" s="22">
        <v>1</v>
      </c>
      <c r="R146" s="230">
        <v>0</v>
      </c>
      <c r="S146" s="230">
        <v>0</v>
      </c>
      <c r="T146" s="240">
        <v>0</v>
      </c>
      <c r="U146" s="245" t="str">
        <f t="shared" si="10"/>
        <v>Normal</v>
      </c>
      <c r="V146" s="245" t="str">
        <f t="shared" si="11"/>
        <v>Normal</v>
      </c>
      <c r="W146" s="87">
        <f t="shared" si="12"/>
        <v>0.23809523809523808</v>
      </c>
      <c r="X146" s="87">
        <f t="shared" si="13"/>
        <v>0.23856209150326799</v>
      </c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</row>
    <row r="147" spans="1:36">
      <c r="A147" s="23">
        <v>44797</v>
      </c>
      <c r="B147" s="121">
        <f>IF(YEAR(Table9[[#This Row],[Date]]) = 2022, WEEKNUM(Table9[[#This Row],[Date]])-13, WEEKNUM(Table9[[#This Row],[Date]])+40)</f>
        <v>22</v>
      </c>
      <c r="C147" s="35" t="s">
        <v>50</v>
      </c>
      <c r="D147" s="35" t="s">
        <v>59</v>
      </c>
      <c r="E147" s="1">
        <v>482</v>
      </c>
      <c r="F147" s="1">
        <v>460</v>
      </c>
      <c r="G147" s="67">
        <v>0.16990291262135923</v>
      </c>
      <c r="H147" s="67">
        <v>0.16161616161616163</v>
      </c>
      <c r="I147" s="1">
        <v>7105</v>
      </c>
      <c r="J147" s="1">
        <v>6826</v>
      </c>
      <c r="K147" s="1">
        <v>35801</v>
      </c>
      <c r="L147" s="1">
        <v>34544</v>
      </c>
      <c r="M147" s="18">
        <v>0.88</v>
      </c>
      <c r="N147" s="18">
        <v>0.05</v>
      </c>
      <c r="O147" s="18">
        <v>0.95</v>
      </c>
      <c r="P147" s="18">
        <v>0.88</v>
      </c>
      <c r="Q147" s="22">
        <v>1</v>
      </c>
      <c r="R147" s="230">
        <v>0</v>
      </c>
      <c r="S147" s="230">
        <v>0</v>
      </c>
      <c r="T147" s="240">
        <v>0</v>
      </c>
      <c r="U147" s="245" t="str">
        <f t="shared" si="10"/>
        <v>Normal</v>
      </c>
      <c r="V147" s="245" t="str">
        <f t="shared" si="11"/>
        <v>Normal</v>
      </c>
      <c r="W147" s="87">
        <f t="shared" si="12"/>
        <v>0.16990291262135923</v>
      </c>
      <c r="X147" s="87">
        <f t="shared" si="13"/>
        <v>0.16161616161616163</v>
      </c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</row>
    <row r="148" spans="1:36">
      <c r="A148" s="23">
        <v>44798</v>
      </c>
      <c r="B148" s="121">
        <f>IF(YEAR(Table9[[#This Row],[Date]]) = 2022, WEEKNUM(Table9[[#This Row],[Date]])-13, WEEKNUM(Table9[[#This Row],[Date]])+40)</f>
        <v>22</v>
      </c>
      <c r="C148" s="35" t="s">
        <v>51</v>
      </c>
      <c r="D148" s="35" t="s">
        <v>59</v>
      </c>
      <c r="E148" s="1">
        <v>350</v>
      </c>
      <c r="F148" s="1">
        <v>337</v>
      </c>
      <c r="G148" s="67">
        <v>0.21527777777777779</v>
      </c>
      <c r="H148" s="67">
        <v>0.19081272084805653</v>
      </c>
      <c r="I148" s="1">
        <v>7455</v>
      </c>
      <c r="J148" s="1">
        <v>7163</v>
      </c>
      <c r="K148" s="1">
        <v>36151</v>
      </c>
      <c r="L148" s="1">
        <v>34881</v>
      </c>
      <c r="M148" s="18">
        <v>0.79</v>
      </c>
      <c r="N148" s="18">
        <v>0.04</v>
      </c>
      <c r="O148" s="18">
        <v>0.96</v>
      </c>
      <c r="P148" s="18">
        <v>0.82</v>
      </c>
      <c r="Q148" s="22">
        <v>1</v>
      </c>
      <c r="R148" s="230">
        <v>0</v>
      </c>
      <c r="S148" s="230">
        <v>0</v>
      </c>
      <c r="T148" s="240">
        <v>0</v>
      </c>
      <c r="U148" s="245" t="str">
        <f t="shared" si="10"/>
        <v>Normal</v>
      </c>
      <c r="V148" s="245" t="str">
        <f t="shared" si="11"/>
        <v>Normal</v>
      </c>
      <c r="W148" s="87">
        <f t="shared" si="12"/>
        <v>0.21527777777777779</v>
      </c>
      <c r="X148" s="87">
        <f t="shared" si="13"/>
        <v>0.19081272084805653</v>
      </c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</row>
    <row r="149" spans="1:36">
      <c r="A149" s="23">
        <v>44799</v>
      </c>
      <c r="B149" s="121">
        <f>IF(YEAR(Table9[[#This Row],[Date]]) = 2022, WEEKNUM(Table9[[#This Row],[Date]])-13, WEEKNUM(Table9[[#This Row],[Date]])+40)</f>
        <v>22</v>
      </c>
      <c r="C149" s="35" t="s">
        <v>52</v>
      </c>
      <c r="D149" s="35" t="s">
        <v>59</v>
      </c>
      <c r="E149" s="1">
        <v>402</v>
      </c>
      <c r="F149" s="1">
        <v>382</v>
      </c>
      <c r="G149" s="67">
        <v>3.0769230769230771E-2</v>
      </c>
      <c r="H149" s="67">
        <v>2.6881720430107527E-2</v>
      </c>
      <c r="I149" s="1">
        <v>7857</v>
      </c>
      <c r="J149" s="1">
        <v>7545</v>
      </c>
      <c r="K149" s="1">
        <v>36553</v>
      </c>
      <c r="L149" s="1">
        <v>35263</v>
      </c>
      <c r="M149" s="18">
        <v>0.87</v>
      </c>
      <c r="N149" s="18">
        <v>0.05</v>
      </c>
      <c r="O149" s="18">
        <v>0.95</v>
      </c>
      <c r="P149" s="18">
        <v>0.82</v>
      </c>
      <c r="Q149" s="22">
        <v>1</v>
      </c>
      <c r="R149" s="230">
        <v>0</v>
      </c>
      <c r="S149" s="230">
        <v>0</v>
      </c>
      <c r="T149" s="240">
        <v>0</v>
      </c>
      <c r="U149" s="245" t="str">
        <f t="shared" si="10"/>
        <v>Normal</v>
      </c>
      <c r="V149" s="245" t="str">
        <f t="shared" si="11"/>
        <v>Normal</v>
      </c>
      <c r="W149" s="87">
        <f t="shared" si="12"/>
        <v>3.0769230769230771E-2</v>
      </c>
      <c r="X149" s="87">
        <f t="shared" si="13"/>
        <v>2.6881720430107527E-2</v>
      </c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</row>
    <row r="150" spans="1:36">
      <c r="A150" s="23">
        <v>44800</v>
      </c>
      <c r="B150" s="121">
        <f>IF(YEAR(Table9[[#This Row],[Date]]) = 2022, WEEKNUM(Table9[[#This Row],[Date]])-13, WEEKNUM(Table9[[#This Row],[Date]])+40)</f>
        <v>22</v>
      </c>
      <c r="C150" s="35" t="s">
        <v>53</v>
      </c>
      <c r="D150" s="35" t="s">
        <v>59</v>
      </c>
      <c r="E150" s="1">
        <v>383</v>
      </c>
      <c r="F150" s="1">
        <v>366</v>
      </c>
      <c r="G150" s="67">
        <v>0.51383399209486169</v>
      </c>
      <c r="H150" s="67">
        <v>0.48780487804878048</v>
      </c>
      <c r="I150" s="1">
        <v>8240</v>
      </c>
      <c r="J150" s="1">
        <v>7911</v>
      </c>
      <c r="K150" s="1">
        <v>36936</v>
      </c>
      <c r="L150" s="1">
        <v>35629</v>
      </c>
      <c r="M150" s="18">
        <v>0.88</v>
      </c>
      <c r="N150" s="18">
        <v>0.04</v>
      </c>
      <c r="O150" s="18">
        <v>0.96</v>
      </c>
      <c r="P150" s="18">
        <v>0.8</v>
      </c>
      <c r="Q150" s="22">
        <v>1</v>
      </c>
      <c r="R150" s="230">
        <v>0</v>
      </c>
      <c r="S150" s="230">
        <v>0</v>
      </c>
      <c r="T150" s="240">
        <v>0</v>
      </c>
      <c r="U150" s="245" t="str">
        <f t="shared" si="10"/>
        <v>Outlier</v>
      </c>
      <c r="V150" s="245" t="str">
        <f t="shared" si="11"/>
        <v>Outlier</v>
      </c>
      <c r="W150" s="87">
        <f t="shared" si="12"/>
        <v>0.51383399209486169</v>
      </c>
      <c r="X150" s="87">
        <f t="shared" si="13"/>
        <v>0.48780487804878048</v>
      </c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</row>
    <row r="151" spans="1:36">
      <c r="A151" s="23">
        <v>44801</v>
      </c>
      <c r="B151" s="121">
        <f>IF(YEAR(Table9[[#This Row],[Date]]) = 2022, WEEKNUM(Table9[[#This Row],[Date]])-13, WEEKNUM(Table9[[#This Row],[Date]])+40)</f>
        <v>23</v>
      </c>
      <c r="C151" s="35" t="s">
        <v>47</v>
      </c>
      <c r="D151" s="35" t="s">
        <v>59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8">
        <v>0</v>
      </c>
      <c r="N151" s="18">
        <v>0</v>
      </c>
      <c r="O151" s="18">
        <v>0</v>
      </c>
      <c r="P151" s="18">
        <v>0</v>
      </c>
      <c r="Q151" s="22">
        <v>0</v>
      </c>
      <c r="R151" s="230">
        <v>0</v>
      </c>
      <c r="S151" s="230">
        <v>0</v>
      </c>
      <c r="T151" s="240">
        <v>0</v>
      </c>
      <c r="U151" s="245" t="str">
        <f t="shared" si="10"/>
        <v>Normal</v>
      </c>
      <c r="V151" s="245" t="str">
        <f t="shared" si="11"/>
        <v>Normal</v>
      </c>
      <c r="W151" s="87">
        <f t="shared" si="12"/>
        <v>0</v>
      </c>
      <c r="X151" s="87">
        <f t="shared" si="13"/>
        <v>0</v>
      </c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</row>
    <row r="152" spans="1:36">
      <c r="A152" s="23">
        <v>44802</v>
      </c>
      <c r="B152" s="121">
        <f>IF(YEAR(Table9[[#This Row],[Date]]) = 2022, WEEKNUM(Table9[[#This Row],[Date]])-13, WEEKNUM(Table9[[#This Row],[Date]])+40)</f>
        <v>23</v>
      </c>
      <c r="C152" s="35" t="s">
        <v>48</v>
      </c>
      <c r="D152" s="35" t="s">
        <v>59</v>
      </c>
      <c r="E152" s="1">
        <v>485</v>
      </c>
      <c r="F152" s="1">
        <v>476</v>
      </c>
      <c r="G152" s="67">
        <v>0.14117647058823529</v>
      </c>
      <c r="H152" s="67">
        <v>0.16953316953316952</v>
      </c>
      <c r="I152" s="1">
        <v>8725</v>
      </c>
      <c r="J152" s="1">
        <v>8387</v>
      </c>
      <c r="K152" s="1">
        <v>37421</v>
      </c>
      <c r="L152" s="1">
        <v>36105</v>
      </c>
      <c r="M152" s="18">
        <v>0.91</v>
      </c>
      <c r="N152" s="18">
        <v>0.02</v>
      </c>
      <c r="O152" s="18">
        <v>0.98</v>
      </c>
      <c r="P152" s="18">
        <v>0.82</v>
      </c>
      <c r="Q152" s="22">
        <v>1</v>
      </c>
      <c r="R152" s="230">
        <v>0</v>
      </c>
      <c r="S152" s="230">
        <v>0</v>
      </c>
      <c r="T152" s="240">
        <v>0</v>
      </c>
      <c r="U152" s="245" t="str">
        <f t="shared" si="10"/>
        <v>Normal</v>
      </c>
      <c r="V152" s="245" t="str">
        <f t="shared" si="11"/>
        <v>Normal</v>
      </c>
      <c r="W152" s="87">
        <f t="shared" si="12"/>
        <v>0.14117647058823529</v>
      </c>
      <c r="X152" s="87">
        <f t="shared" si="13"/>
        <v>0.16953316953316952</v>
      </c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</row>
    <row r="153" spans="1:36">
      <c r="A153" s="23">
        <v>44803</v>
      </c>
      <c r="B153" s="121">
        <f>IF(YEAR(Table9[[#This Row],[Date]]) = 2022, WEEKNUM(Table9[[#This Row],[Date]])-13, WEEKNUM(Table9[[#This Row],[Date]])+40)</f>
        <v>23</v>
      </c>
      <c r="C153" s="35" t="s">
        <v>49</v>
      </c>
      <c r="D153" s="35" t="s">
        <v>59</v>
      </c>
      <c r="E153" s="1">
        <v>468</v>
      </c>
      <c r="F153" s="1">
        <v>453</v>
      </c>
      <c r="G153" s="67">
        <v>0.2</v>
      </c>
      <c r="H153" s="67">
        <v>0.19525065963060687</v>
      </c>
      <c r="I153" s="1">
        <v>9193</v>
      </c>
      <c r="J153" s="1">
        <v>8840</v>
      </c>
      <c r="K153" s="1">
        <v>37889</v>
      </c>
      <c r="L153" s="1">
        <v>36558</v>
      </c>
      <c r="M153" s="18">
        <v>0.82</v>
      </c>
      <c r="N153" s="18">
        <v>0.03</v>
      </c>
      <c r="O153" s="18">
        <v>0.97</v>
      </c>
      <c r="P153" s="18">
        <v>0.83</v>
      </c>
      <c r="Q153" s="22">
        <v>1</v>
      </c>
      <c r="R153" s="230">
        <v>0</v>
      </c>
      <c r="S153" s="230">
        <v>0</v>
      </c>
      <c r="T153" s="240">
        <v>0</v>
      </c>
      <c r="U153" s="245" t="str">
        <f t="shared" si="10"/>
        <v>Normal</v>
      </c>
      <c r="V153" s="245" t="str">
        <f t="shared" si="11"/>
        <v>Normal</v>
      </c>
      <c r="W153" s="87">
        <f t="shared" si="12"/>
        <v>0.2</v>
      </c>
      <c r="X153" s="87">
        <f t="shared" si="13"/>
        <v>0.19525065963060687</v>
      </c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</row>
    <row r="154" spans="1:36">
      <c r="A154" s="23">
        <v>44804</v>
      </c>
      <c r="B154" s="121">
        <f>IF(YEAR(Table9[[#This Row],[Date]]) = 2022, WEEKNUM(Table9[[#This Row],[Date]])-13, WEEKNUM(Table9[[#This Row],[Date]])+40)</f>
        <v>23</v>
      </c>
      <c r="C154" s="35" t="s">
        <v>50</v>
      </c>
      <c r="D154" s="35" t="s">
        <v>59</v>
      </c>
      <c r="E154" s="1">
        <v>421</v>
      </c>
      <c r="F154" s="1">
        <v>406</v>
      </c>
      <c r="G154" s="67">
        <v>-0.12655601659751037</v>
      </c>
      <c r="H154" s="67">
        <v>-0.11739130434782609</v>
      </c>
      <c r="I154" s="1">
        <v>9614</v>
      </c>
      <c r="J154" s="1">
        <v>9246</v>
      </c>
      <c r="K154" s="1">
        <v>38310</v>
      </c>
      <c r="L154" s="1">
        <v>36964</v>
      </c>
      <c r="M154" s="18">
        <v>0.82</v>
      </c>
      <c r="N154" s="18">
        <v>0.04</v>
      </c>
      <c r="O154" s="18">
        <v>0.96</v>
      </c>
      <c r="P154" s="18">
        <v>0.85</v>
      </c>
      <c r="Q154" s="22">
        <v>1</v>
      </c>
      <c r="R154" s="230">
        <v>0</v>
      </c>
      <c r="S154" s="230">
        <v>0</v>
      </c>
      <c r="T154" s="240">
        <v>0</v>
      </c>
      <c r="U154" s="245" t="str">
        <f t="shared" si="10"/>
        <v>Normal</v>
      </c>
      <c r="V154" s="245" t="str">
        <f t="shared" si="11"/>
        <v>Normal</v>
      </c>
      <c r="W154" s="87">
        <f t="shared" si="12"/>
        <v>-0.12655601659751037</v>
      </c>
      <c r="X154" s="87">
        <f t="shared" si="13"/>
        <v>-0.11739130434782609</v>
      </c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</row>
    <row r="155" spans="1:36">
      <c r="A155" s="23">
        <v>44805</v>
      </c>
      <c r="B155" s="121">
        <f>IF(YEAR(Table9[[#This Row],[Date]]) = 2022, WEEKNUM(Table9[[#This Row],[Date]])-13, WEEKNUM(Table9[[#This Row],[Date]])+40)</f>
        <v>23</v>
      </c>
      <c r="C155" s="35" t="s">
        <v>51</v>
      </c>
      <c r="D155" s="35" t="s">
        <v>59</v>
      </c>
      <c r="E155" s="1">
        <v>556</v>
      </c>
      <c r="F155" s="1">
        <v>538</v>
      </c>
      <c r="G155" s="67">
        <v>0.58857142857142852</v>
      </c>
      <c r="H155" s="67">
        <v>0.59643916913946593</v>
      </c>
      <c r="I155" s="1">
        <v>556</v>
      </c>
      <c r="J155" s="1">
        <v>538</v>
      </c>
      <c r="K155" s="1">
        <v>38866</v>
      </c>
      <c r="L155" s="1">
        <v>37502</v>
      </c>
      <c r="M155" s="18">
        <v>0.89</v>
      </c>
      <c r="N155" s="18">
        <v>0.03</v>
      </c>
      <c r="O155" s="18">
        <v>0.97</v>
      </c>
      <c r="P155" s="18">
        <v>0.81</v>
      </c>
      <c r="Q155" s="22">
        <v>1</v>
      </c>
      <c r="R155" s="230">
        <v>0</v>
      </c>
      <c r="S155" s="230">
        <v>0</v>
      </c>
      <c r="T155" s="240">
        <v>0</v>
      </c>
      <c r="U155" s="245" t="str">
        <f t="shared" si="10"/>
        <v>Outlier</v>
      </c>
      <c r="V155" s="245" t="str">
        <f t="shared" si="11"/>
        <v>Outlier</v>
      </c>
      <c r="W155" s="87">
        <f t="shared" si="12"/>
        <v>0.58857142857142852</v>
      </c>
      <c r="X155" s="87">
        <f t="shared" si="13"/>
        <v>0.59643916913946593</v>
      </c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</row>
    <row r="156" spans="1:36">
      <c r="A156" s="23">
        <v>44806</v>
      </c>
      <c r="B156" s="121">
        <f>IF(YEAR(Table9[[#This Row],[Date]]) = 2022, WEEKNUM(Table9[[#This Row],[Date]])-13, WEEKNUM(Table9[[#This Row],[Date]])+40)</f>
        <v>23</v>
      </c>
      <c r="C156" s="35" t="s">
        <v>52</v>
      </c>
      <c r="D156" s="35" t="s">
        <v>59</v>
      </c>
      <c r="E156" s="1">
        <v>424</v>
      </c>
      <c r="F156" s="1">
        <v>405</v>
      </c>
      <c r="G156" s="67">
        <v>5.4726368159203981E-2</v>
      </c>
      <c r="H156" s="67">
        <v>6.0209424083769635E-2</v>
      </c>
      <c r="I156" s="1">
        <v>980</v>
      </c>
      <c r="J156" s="1">
        <v>943</v>
      </c>
      <c r="K156" s="1">
        <v>39290</v>
      </c>
      <c r="L156" s="1">
        <v>37907</v>
      </c>
      <c r="M156" s="18">
        <v>0.77</v>
      </c>
      <c r="N156" s="18">
        <v>0.04</v>
      </c>
      <c r="O156" s="18">
        <v>0.96</v>
      </c>
      <c r="P156" s="18">
        <v>0.79</v>
      </c>
      <c r="Q156" s="22">
        <v>1</v>
      </c>
      <c r="R156" s="230">
        <v>0</v>
      </c>
      <c r="S156" s="230">
        <v>0</v>
      </c>
      <c r="T156" s="240">
        <v>0</v>
      </c>
      <c r="U156" s="245" t="str">
        <f t="shared" si="10"/>
        <v>Normal</v>
      </c>
      <c r="V156" s="245" t="str">
        <f t="shared" si="11"/>
        <v>Normal</v>
      </c>
      <c r="W156" s="87">
        <f t="shared" si="12"/>
        <v>5.4726368159203981E-2</v>
      </c>
      <c r="X156" s="87">
        <f t="shared" si="13"/>
        <v>6.0209424083769635E-2</v>
      </c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</row>
    <row r="157" spans="1:36">
      <c r="A157" s="23">
        <v>44807</v>
      </c>
      <c r="B157" s="121">
        <f>IF(YEAR(Table9[[#This Row],[Date]]) = 2022, WEEKNUM(Table9[[#This Row],[Date]])-13, WEEKNUM(Table9[[#This Row],[Date]])+40)</f>
        <v>23</v>
      </c>
      <c r="C157" s="35" t="s">
        <v>53</v>
      </c>
      <c r="D157" s="35" t="s">
        <v>59</v>
      </c>
      <c r="E157" s="1">
        <v>317</v>
      </c>
      <c r="F157" s="1">
        <v>295</v>
      </c>
      <c r="G157" s="67">
        <v>-0.17232375979112272</v>
      </c>
      <c r="H157" s="67">
        <v>-0.19398907103825136</v>
      </c>
      <c r="I157" s="1">
        <v>1297</v>
      </c>
      <c r="J157" s="1">
        <v>1238</v>
      </c>
      <c r="K157" s="1">
        <v>39607</v>
      </c>
      <c r="L157" s="1">
        <v>38202</v>
      </c>
      <c r="M157" s="18">
        <v>0.8</v>
      </c>
      <c r="N157" s="18">
        <v>7.0000000000000007E-2</v>
      </c>
      <c r="O157" s="18">
        <v>0.93</v>
      </c>
      <c r="P157" s="18">
        <v>0.66</v>
      </c>
      <c r="Q157" s="22">
        <v>1</v>
      </c>
      <c r="R157" s="230">
        <v>0</v>
      </c>
      <c r="S157" s="230">
        <v>0</v>
      </c>
      <c r="T157" s="240">
        <v>0</v>
      </c>
      <c r="U157" s="245" t="str">
        <f t="shared" si="10"/>
        <v>Normal</v>
      </c>
      <c r="V157" s="245" t="str">
        <f t="shared" si="11"/>
        <v>Normal</v>
      </c>
      <c r="W157" s="87">
        <f t="shared" si="12"/>
        <v>-0.17232375979112272</v>
      </c>
      <c r="X157" s="87">
        <f t="shared" si="13"/>
        <v>-0.19398907103825136</v>
      </c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</row>
    <row r="158" spans="1:36">
      <c r="A158" s="23">
        <v>44808</v>
      </c>
      <c r="B158" s="121">
        <f>IF(YEAR(Table9[[#This Row],[Date]]) = 2022, WEEKNUM(Table9[[#This Row],[Date]])-13, WEEKNUM(Table9[[#This Row],[Date]])+40)</f>
        <v>24</v>
      </c>
      <c r="C158" s="35" t="s">
        <v>47</v>
      </c>
      <c r="D158" s="35" t="s">
        <v>59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8">
        <v>0</v>
      </c>
      <c r="N158" s="18">
        <v>0</v>
      </c>
      <c r="O158" s="18">
        <v>0</v>
      </c>
      <c r="P158" s="18">
        <v>0</v>
      </c>
      <c r="Q158" s="22">
        <v>0</v>
      </c>
      <c r="R158" s="230">
        <v>0</v>
      </c>
      <c r="S158" s="230">
        <v>0</v>
      </c>
      <c r="T158" s="240">
        <v>0</v>
      </c>
      <c r="U158" s="245" t="str">
        <f t="shared" si="10"/>
        <v>Normal</v>
      </c>
      <c r="V158" s="245" t="str">
        <f t="shared" si="11"/>
        <v>Normal</v>
      </c>
      <c r="W158" s="87">
        <f t="shared" si="12"/>
        <v>0</v>
      </c>
      <c r="X158" s="87">
        <f t="shared" si="13"/>
        <v>0</v>
      </c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</row>
    <row r="159" spans="1:36">
      <c r="A159" s="23">
        <v>44809</v>
      </c>
      <c r="B159" s="121">
        <f>IF(YEAR(Table9[[#This Row],[Date]]) = 2022, WEEKNUM(Table9[[#This Row],[Date]])-13, WEEKNUM(Table9[[#This Row],[Date]])+40)</f>
        <v>24</v>
      </c>
      <c r="C159" s="35" t="s">
        <v>48</v>
      </c>
      <c r="D159" s="35" t="s">
        <v>59</v>
      </c>
      <c r="E159" s="1">
        <v>479</v>
      </c>
      <c r="F159" s="1">
        <v>458</v>
      </c>
      <c r="G159" s="67">
        <v>-1.2371134020618556E-2</v>
      </c>
      <c r="H159" s="67">
        <v>-3.7815126050420166E-2</v>
      </c>
      <c r="I159" s="1">
        <v>1776</v>
      </c>
      <c r="J159" s="1">
        <v>1696</v>
      </c>
      <c r="K159" s="1">
        <v>40086</v>
      </c>
      <c r="L159" s="1">
        <v>38660</v>
      </c>
      <c r="M159" s="18">
        <v>0.89</v>
      </c>
      <c r="N159" s="18">
        <v>0.04</v>
      </c>
      <c r="O159" s="18">
        <v>0.96</v>
      </c>
      <c r="P159" s="18">
        <v>0.74</v>
      </c>
      <c r="Q159" s="22">
        <v>1</v>
      </c>
      <c r="R159" s="230">
        <v>0</v>
      </c>
      <c r="S159" s="230">
        <v>0</v>
      </c>
      <c r="T159" s="240">
        <v>0</v>
      </c>
      <c r="U159" s="245" t="str">
        <f t="shared" si="10"/>
        <v>Normal</v>
      </c>
      <c r="V159" s="245" t="str">
        <f t="shared" si="11"/>
        <v>Normal</v>
      </c>
      <c r="W159" s="87">
        <f t="shared" si="12"/>
        <v>-1.2371134020618556E-2</v>
      </c>
      <c r="X159" s="87">
        <f t="shared" si="13"/>
        <v>-3.7815126050420166E-2</v>
      </c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</row>
    <row r="160" spans="1:36">
      <c r="A160" s="23">
        <v>44810</v>
      </c>
      <c r="B160" s="121">
        <f>IF(YEAR(Table9[[#This Row],[Date]]) = 2022, WEEKNUM(Table9[[#This Row],[Date]])-13, WEEKNUM(Table9[[#This Row],[Date]])+40)</f>
        <v>24</v>
      </c>
      <c r="C160" s="35" t="s">
        <v>49</v>
      </c>
      <c r="D160" s="35" t="s">
        <v>59</v>
      </c>
      <c r="E160" s="1">
        <v>428</v>
      </c>
      <c r="F160" s="1">
        <v>406</v>
      </c>
      <c r="G160" s="67">
        <v>-8.5470085470085472E-2</v>
      </c>
      <c r="H160" s="67">
        <v>-0.10375275938189846</v>
      </c>
      <c r="I160" s="1">
        <v>2204</v>
      </c>
      <c r="J160" s="1">
        <v>2102</v>
      </c>
      <c r="K160" s="1">
        <v>40514</v>
      </c>
      <c r="L160" s="1">
        <v>39066</v>
      </c>
      <c r="M160" s="18">
        <v>0.84</v>
      </c>
      <c r="N160" s="18">
        <v>0.05</v>
      </c>
      <c r="O160" s="18">
        <v>0.95</v>
      </c>
      <c r="P160" s="18">
        <v>0.84</v>
      </c>
      <c r="Q160" s="22">
        <v>1</v>
      </c>
      <c r="R160" s="230">
        <v>0</v>
      </c>
      <c r="S160" s="230">
        <v>0</v>
      </c>
      <c r="T160" s="240">
        <v>0</v>
      </c>
      <c r="U160" s="245" t="str">
        <f t="shared" si="10"/>
        <v>Normal</v>
      </c>
      <c r="V160" s="245" t="str">
        <f t="shared" si="11"/>
        <v>Normal</v>
      </c>
      <c r="W160" s="87">
        <f t="shared" si="12"/>
        <v>-8.5470085470085472E-2</v>
      </c>
      <c r="X160" s="87">
        <f t="shared" si="13"/>
        <v>-0.10375275938189846</v>
      </c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</row>
    <row r="161" spans="1:38">
      <c r="A161" s="23">
        <v>44811</v>
      </c>
      <c r="B161" s="121">
        <f>IF(YEAR(Table9[[#This Row],[Date]]) = 2022, WEEKNUM(Table9[[#This Row],[Date]])-13, WEEKNUM(Table9[[#This Row],[Date]])+40)</f>
        <v>24</v>
      </c>
      <c r="C161" s="35" t="s">
        <v>50</v>
      </c>
      <c r="D161" s="35" t="s">
        <v>59</v>
      </c>
      <c r="E161" s="1">
        <v>437</v>
      </c>
      <c r="F161" s="1">
        <v>416</v>
      </c>
      <c r="G161" s="67">
        <v>3.800475059382423E-2</v>
      </c>
      <c r="H161" s="67">
        <v>2.4630541871921183E-2</v>
      </c>
      <c r="I161" s="1">
        <v>2641</v>
      </c>
      <c r="J161" s="1">
        <v>2518</v>
      </c>
      <c r="K161" s="1">
        <v>40951</v>
      </c>
      <c r="L161" s="1">
        <v>39482</v>
      </c>
      <c r="M161" s="18">
        <v>0.87</v>
      </c>
      <c r="N161" s="18">
        <v>0.05</v>
      </c>
      <c r="O161" s="18">
        <v>0.95</v>
      </c>
      <c r="P161" s="18">
        <v>0.66</v>
      </c>
      <c r="Q161" s="22">
        <v>1</v>
      </c>
      <c r="R161" s="230">
        <v>0</v>
      </c>
      <c r="S161" s="230">
        <v>0</v>
      </c>
      <c r="T161" s="240">
        <v>0</v>
      </c>
      <c r="U161" s="245" t="str">
        <f t="shared" si="10"/>
        <v>Normal</v>
      </c>
      <c r="V161" s="245" t="str">
        <f t="shared" si="11"/>
        <v>Normal</v>
      </c>
      <c r="W161" s="87">
        <f t="shared" si="12"/>
        <v>3.800475059382423E-2</v>
      </c>
      <c r="X161" s="87">
        <f t="shared" si="13"/>
        <v>2.4630541871921183E-2</v>
      </c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</row>
    <row r="162" spans="1:38">
      <c r="A162" s="23">
        <v>44812</v>
      </c>
      <c r="B162" s="121">
        <f>IF(YEAR(Table9[[#This Row],[Date]]) = 2022, WEEKNUM(Table9[[#This Row],[Date]])-13, WEEKNUM(Table9[[#This Row],[Date]])+40)</f>
        <v>24</v>
      </c>
      <c r="C162" s="35" t="s">
        <v>51</v>
      </c>
      <c r="D162" s="35" t="s">
        <v>59</v>
      </c>
      <c r="E162" s="1">
        <v>359</v>
      </c>
      <c r="F162" s="1">
        <v>344</v>
      </c>
      <c r="G162" s="67">
        <v>-0.35431654676258995</v>
      </c>
      <c r="H162" s="67">
        <v>-0.36059479553903345</v>
      </c>
      <c r="I162" s="1">
        <v>3000</v>
      </c>
      <c r="J162" s="1">
        <v>2862</v>
      </c>
      <c r="K162" s="1">
        <v>41310</v>
      </c>
      <c r="L162" s="1">
        <v>39826</v>
      </c>
      <c r="M162" s="18">
        <v>0.84</v>
      </c>
      <c r="N162" s="18">
        <v>0.04</v>
      </c>
      <c r="O162" s="18">
        <v>0.96</v>
      </c>
      <c r="P162" s="18">
        <v>0.79</v>
      </c>
      <c r="Q162" s="22">
        <v>1</v>
      </c>
      <c r="R162" s="230">
        <v>0</v>
      </c>
      <c r="S162" s="230">
        <v>0</v>
      </c>
      <c r="T162" s="240">
        <v>0</v>
      </c>
      <c r="U162" s="245" t="str">
        <f t="shared" si="10"/>
        <v>Normal</v>
      </c>
      <c r="V162" s="245" t="str">
        <f t="shared" si="11"/>
        <v>Normal</v>
      </c>
      <c r="W162" s="87">
        <f t="shared" si="12"/>
        <v>-0.35431654676258995</v>
      </c>
      <c r="X162" s="87">
        <f t="shared" si="13"/>
        <v>-0.36059479553903345</v>
      </c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</row>
    <row r="163" spans="1:38">
      <c r="A163" s="23">
        <v>44813</v>
      </c>
      <c r="B163" s="121">
        <f>IF(YEAR(Table9[[#This Row],[Date]]) = 2022, WEEKNUM(Table9[[#This Row],[Date]])-13, WEEKNUM(Table9[[#This Row],[Date]])+40)</f>
        <v>24</v>
      </c>
      <c r="C163" s="35" t="s">
        <v>52</v>
      </c>
      <c r="D163" s="35" t="s">
        <v>59</v>
      </c>
      <c r="E163" s="1">
        <v>430</v>
      </c>
      <c r="F163" s="1">
        <v>421</v>
      </c>
      <c r="G163" s="67">
        <v>1.4150943396226415E-2</v>
      </c>
      <c r="H163" s="67">
        <v>3.9506172839506172E-2</v>
      </c>
      <c r="I163" s="1">
        <v>3430</v>
      </c>
      <c r="J163" s="1">
        <v>3283</v>
      </c>
      <c r="K163" s="1">
        <v>41740</v>
      </c>
      <c r="L163" s="1">
        <v>40247</v>
      </c>
      <c r="M163" s="18">
        <v>0.9</v>
      </c>
      <c r="N163" s="18">
        <v>0.02</v>
      </c>
      <c r="O163" s="18">
        <v>0.98</v>
      </c>
      <c r="P163" s="18">
        <v>0.74</v>
      </c>
      <c r="Q163" s="22">
        <v>1</v>
      </c>
      <c r="R163" s="230">
        <v>0</v>
      </c>
      <c r="S163" s="230">
        <v>0</v>
      </c>
      <c r="T163" s="240">
        <v>0</v>
      </c>
      <c r="U163" s="245" t="str">
        <f t="shared" si="10"/>
        <v>Normal</v>
      </c>
      <c r="V163" s="245" t="str">
        <f t="shared" si="11"/>
        <v>Normal</v>
      </c>
      <c r="W163" s="87">
        <f t="shared" si="12"/>
        <v>1.4150943396226415E-2</v>
      </c>
      <c r="X163" s="87">
        <f t="shared" si="13"/>
        <v>3.9506172839506172E-2</v>
      </c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</row>
    <row r="164" spans="1:38">
      <c r="A164" s="23">
        <v>44814</v>
      </c>
      <c r="B164" s="121">
        <f>IF(YEAR(Table9[[#This Row],[Date]]) = 2022, WEEKNUM(Table9[[#This Row],[Date]])-13, WEEKNUM(Table9[[#This Row],[Date]])+40)</f>
        <v>24</v>
      </c>
      <c r="C164" s="35" t="s">
        <v>53</v>
      </c>
      <c r="D164" s="35" t="s">
        <v>59</v>
      </c>
      <c r="E164" s="1">
        <v>326</v>
      </c>
      <c r="F164" s="1">
        <v>307</v>
      </c>
      <c r="G164" s="67">
        <v>2.8391167192429023E-2</v>
      </c>
      <c r="H164" s="67">
        <v>4.0677966101694912E-2</v>
      </c>
      <c r="I164" s="1">
        <v>3756</v>
      </c>
      <c r="J164" s="1">
        <v>3590</v>
      </c>
      <c r="K164" s="1">
        <v>42066</v>
      </c>
      <c r="L164" s="1">
        <v>40554</v>
      </c>
      <c r="M164" s="18">
        <v>0.85</v>
      </c>
      <c r="N164" s="18">
        <v>0.06</v>
      </c>
      <c r="O164" s="18">
        <v>0.94</v>
      </c>
      <c r="P164" s="18">
        <v>0.64</v>
      </c>
      <c r="Q164" s="22">
        <v>1</v>
      </c>
      <c r="R164" s="230">
        <v>0</v>
      </c>
      <c r="S164" s="230">
        <v>0</v>
      </c>
      <c r="T164" s="240">
        <v>0</v>
      </c>
      <c r="U164" s="245" t="str">
        <f t="shared" si="10"/>
        <v>Normal</v>
      </c>
      <c r="V164" s="245" t="str">
        <f t="shared" si="11"/>
        <v>Normal</v>
      </c>
      <c r="W164" s="87">
        <f t="shared" si="12"/>
        <v>2.8391167192429023E-2</v>
      </c>
      <c r="X164" s="87">
        <f t="shared" si="13"/>
        <v>4.0677966101694912E-2</v>
      </c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</row>
    <row r="165" spans="1:38">
      <c r="A165" s="23">
        <v>44815</v>
      </c>
      <c r="B165" s="121">
        <f>IF(YEAR(Table9[[#This Row],[Date]]) = 2022, WEEKNUM(Table9[[#This Row],[Date]])-13, WEEKNUM(Table9[[#This Row],[Date]])+40)</f>
        <v>25</v>
      </c>
      <c r="C165" s="35" t="s">
        <v>47</v>
      </c>
      <c r="D165" s="35" t="s">
        <v>59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8">
        <v>0</v>
      </c>
      <c r="N165" s="18">
        <v>0</v>
      </c>
      <c r="O165" s="18">
        <v>0</v>
      </c>
      <c r="P165" s="18">
        <v>0</v>
      </c>
      <c r="Q165" s="22">
        <v>0</v>
      </c>
      <c r="R165" s="230">
        <v>0</v>
      </c>
      <c r="S165" s="230">
        <v>0</v>
      </c>
      <c r="T165" s="240">
        <v>0</v>
      </c>
      <c r="U165" s="245" t="str">
        <f t="shared" si="10"/>
        <v>Normal</v>
      </c>
      <c r="V165" s="245" t="str">
        <f t="shared" si="11"/>
        <v>Normal</v>
      </c>
      <c r="W165" s="87">
        <f t="shared" si="12"/>
        <v>0</v>
      </c>
      <c r="X165" s="87">
        <f t="shared" si="13"/>
        <v>0</v>
      </c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</row>
    <row r="166" spans="1:38">
      <c r="A166" s="23">
        <v>44816</v>
      </c>
      <c r="B166" s="121">
        <f>IF(YEAR(Table9[[#This Row],[Date]]) = 2022, WEEKNUM(Table9[[#This Row],[Date]])-13, WEEKNUM(Table9[[#This Row],[Date]])+40)</f>
        <v>25</v>
      </c>
      <c r="C166" s="35" t="s">
        <v>48</v>
      </c>
      <c r="D166" s="35" t="s">
        <v>59</v>
      </c>
      <c r="E166" s="1">
        <v>519</v>
      </c>
      <c r="F166" s="1">
        <v>502</v>
      </c>
      <c r="G166" s="67">
        <v>8.3507306889352817E-2</v>
      </c>
      <c r="H166" s="67">
        <v>9.606986899563319E-2</v>
      </c>
      <c r="I166" s="1">
        <v>4275</v>
      </c>
      <c r="J166" s="1">
        <v>4092</v>
      </c>
      <c r="K166" s="1">
        <v>42585</v>
      </c>
      <c r="L166" s="1">
        <v>41056</v>
      </c>
      <c r="M166" s="18">
        <v>0.91</v>
      </c>
      <c r="N166" s="18">
        <v>0.03</v>
      </c>
      <c r="O166" s="18">
        <v>0.97</v>
      </c>
      <c r="P166" s="18">
        <v>0.76</v>
      </c>
      <c r="Q166" s="22">
        <v>1</v>
      </c>
      <c r="R166" s="230">
        <v>0</v>
      </c>
      <c r="S166" s="317">
        <v>0</v>
      </c>
      <c r="T166" s="241">
        <v>0</v>
      </c>
      <c r="U166" s="245" t="str">
        <f t="shared" si="10"/>
        <v>Normal</v>
      </c>
      <c r="V166" s="245" t="str">
        <f t="shared" si="11"/>
        <v>Normal</v>
      </c>
      <c r="W166" s="87">
        <f t="shared" si="12"/>
        <v>8.3507306889352817E-2</v>
      </c>
      <c r="X166" s="87">
        <f t="shared" si="13"/>
        <v>9.606986899563319E-2</v>
      </c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</row>
    <row r="167" spans="1:38">
      <c r="A167" s="23">
        <v>44817</v>
      </c>
      <c r="B167" s="121">
        <f>IF(YEAR(Table9[[#This Row],[Date]]) = 2022, WEEKNUM(Table9[[#This Row],[Date]])-13, WEEKNUM(Table9[[#This Row],[Date]])+40)</f>
        <v>25</v>
      </c>
      <c r="C167" s="35" t="s">
        <v>49</v>
      </c>
      <c r="D167" s="35" t="s">
        <v>59</v>
      </c>
      <c r="E167" s="1">
        <v>453</v>
      </c>
      <c r="F167" s="1">
        <v>433</v>
      </c>
      <c r="G167" s="67">
        <v>5.8411214953271028E-2</v>
      </c>
      <c r="H167" s="67">
        <v>6.6502463054187194E-2</v>
      </c>
      <c r="I167" s="1">
        <v>4728</v>
      </c>
      <c r="J167" s="1">
        <v>4525</v>
      </c>
      <c r="K167" s="1">
        <v>43038</v>
      </c>
      <c r="L167" s="1">
        <v>41489</v>
      </c>
      <c r="M167" s="18">
        <v>0.79</v>
      </c>
      <c r="N167" s="18">
        <v>0.04</v>
      </c>
      <c r="O167" s="18">
        <v>0.96</v>
      </c>
      <c r="P167" s="18">
        <v>0.79</v>
      </c>
      <c r="Q167" s="22">
        <v>1</v>
      </c>
      <c r="R167" s="230">
        <v>0</v>
      </c>
      <c r="S167" s="317">
        <v>0</v>
      </c>
      <c r="T167" s="241">
        <v>0</v>
      </c>
      <c r="U167" s="245" t="str">
        <f t="shared" si="10"/>
        <v>Normal</v>
      </c>
      <c r="V167" s="245" t="str">
        <f t="shared" si="11"/>
        <v>Normal</v>
      </c>
      <c r="W167" s="87">
        <f t="shared" si="12"/>
        <v>5.8411214953271028E-2</v>
      </c>
      <c r="X167" s="87">
        <f t="shared" si="13"/>
        <v>6.6502463054187194E-2</v>
      </c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L167">
        <f>AVERAGEIF(M349:M355,"&lt;&gt;0")</f>
        <v>0.90500000000000014</v>
      </c>
    </row>
    <row r="168" spans="1:38">
      <c r="A168" s="23">
        <v>44818</v>
      </c>
      <c r="B168" s="121">
        <f>IF(YEAR(Table9[[#This Row],[Date]]) = 2022, WEEKNUM(Table9[[#This Row],[Date]])-13, WEEKNUM(Table9[[#This Row],[Date]])+40)</f>
        <v>25</v>
      </c>
      <c r="C168" s="35" t="s">
        <v>50</v>
      </c>
      <c r="D168" s="35" t="s">
        <v>59</v>
      </c>
      <c r="E168" s="1">
        <v>534</v>
      </c>
      <c r="F168" s="1">
        <v>498</v>
      </c>
      <c r="G168" s="67">
        <v>0.2219679633867277</v>
      </c>
      <c r="H168" s="67">
        <v>0.19711538461538461</v>
      </c>
      <c r="I168" s="1">
        <v>5262</v>
      </c>
      <c r="J168" s="1">
        <v>5023</v>
      </c>
      <c r="K168" s="1">
        <v>43572</v>
      </c>
      <c r="L168" s="1">
        <v>41987</v>
      </c>
      <c r="M168" s="18">
        <v>0.79</v>
      </c>
      <c r="N168" s="18">
        <v>7.0000000000000007E-2</v>
      </c>
      <c r="O168" s="18">
        <v>0.93</v>
      </c>
      <c r="P168" s="18">
        <v>0.89</v>
      </c>
      <c r="Q168" s="22">
        <v>1</v>
      </c>
      <c r="R168" s="230">
        <v>0</v>
      </c>
      <c r="S168" s="317">
        <v>0</v>
      </c>
      <c r="T168" s="241">
        <v>0</v>
      </c>
      <c r="U168" s="245" t="str">
        <f t="shared" si="10"/>
        <v>Normal</v>
      </c>
      <c r="V168" s="245" t="str">
        <f t="shared" si="11"/>
        <v>Normal</v>
      </c>
      <c r="W168" s="87">
        <f t="shared" si="12"/>
        <v>0.2219679633867277</v>
      </c>
      <c r="X168" s="87">
        <f t="shared" si="13"/>
        <v>0.19711538461538461</v>
      </c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</row>
    <row r="169" spans="1:38">
      <c r="A169" s="23">
        <v>44819</v>
      </c>
      <c r="B169" s="121">
        <f>IF(YEAR(Table9[[#This Row],[Date]]) = 2022, WEEKNUM(Table9[[#This Row],[Date]])-13, WEEKNUM(Table9[[#This Row],[Date]])+40)</f>
        <v>25</v>
      </c>
      <c r="C169" s="35" t="s">
        <v>51</v>
      </c>
      <c r="D169" s="35" t="s">
        <v>59</v>
      </c>
      <c r="E169" s="1">
        <v>512</v>
      </c>
      <c r="F169" s="1">
        <v>476</v>
      </c>
      <c r="G169" s="67">
        <v>0.42618384401114207</v>
      </c>
      <c r="H169" s="67">
        <v>0.38372093023255816</v>
      </c>
      <c r="I169" s="1">
        <v>5774</v>
      </c>
      <c r="J169" s="1">
        <v>5499</v>
      </c>
      <c r="K169" s="1">
        <v>44084</v>
      </c>
      <c r="L169" s="1">
        <v>42463</v>
      </c>
      <c r="M169" s="18">
        <v>0.69</v>
      </c>
      <c r="N169" s="18">
        <v>7.0000000000000007E-2</v>
      </c>
      <c r="O169" s="18">
        <v>0.93</v>
      </c>
      <c r="P169" s="18">
        <v>0.87</v>
      </c>
      <c r="Q169" s="22">
        <v>1</v>
      </c>
      <c r="R169" s="230">
        <v>0</v>
      </c>
      <c r="S169" s="317">
        <v>0</v>
      </c>
      <c r="T169" s="241">
        <v>0</v>
      </c>
      <c r="U169" s="245" t="str">
        <f t="shared" si="10"/>
        <v>Normal</v>
      </c>
      <c r="V169" s="245" t="str">
        <f t="shared" si="11"/>
        <v>Normal</v>
      </c>
      <c r="W169" s="87">
        <f t="shared" si="12"/>
        <v>0.42618384401114207</v>
      </c>
      <c r="X169" s="87">
        <f t="shared" si="13"/>
        <v>0.38372093023255816</v>
      </c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</row>
    <row r="170" spans="1:38">
      <c r="A170" s="23">
        <v>44820</v>
      </c>
      <c r="B170" s="121">
        <f>IF(YEAR(Table9[[#This Row],[Date]]) = 2022, WEEKNUM(Table9[[#This Row],[Date]])-13, WEEKNUM(Table9[[#This Row],[Date]])+40)</f>
        <v>25</v>
      </c>
      <c r="C170" s="35" t="s">
        <v>52</v>
      </c>
      <c r="D170" s="35" t="s">
        <v>59</v>
      </c>
      <c r="E170" s="1">
        <v>379</v>
      </c>
      <c r="F170" s="1">
        <v>356</v>
      </c>
      <c r="G170" s="67">
        <v>-0.1186046511627907</v>
      </c>
      <c r="H170" s="67">
        <v>-0.15439429928741091</v>
      </c>
      <c r="I170" s="1">
        <v>6153</v>
      </c>
      <c r="J170" s="1">
        <v>5855</v>
      </c>
      <c r="K170" s="1">
        <v>44463</v>
      </c>
      <c r="L170" s="1">
        <v>42819</v>
      </c>
      <c r="M170" s="18">
        <v>0.74</v>
      </c>
      <c r="N170" s="18">
        <v>0.06</v>
      </c>
      <c r="O170" s="18">
        <v>0.94</v>
      </c>
      <c r="P170" s="18">
        <v>0.65</v>
      </c>
      <c r="Q170" s="22">
        <v>1</v>
      </c>
      <c r="R170" s="230">
        <v>0</v>
      </c>
      <c r="S170" s="317">
        <v>0</v>
      </c>
      <c r="T170" s="241">
        <v>0</v>
      </c>
      <c r="U170" s="245" t="str">
        <f t="shared" si="10"/>
        <v>Normal</v>
      </c>
      <c r="V170" s="245" t="str">
        <f t="shared" si="11"/>
        <v>Normal</v>
      </c>
      <c r="W170" s="87">
        <f t="shared" si="12"/>
        <v>-0.1186046511627907</v>
      </c>
      <c r="X170" s="87">
        <f t="shared" si="13"/>
        <v>-0.15439429928741091</v>
      </c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</row>
    <row r="171" spans="1:38">
      <c r="A171" s="23">
        <v>44821</v>
      </c>
      <c r="B171" s="121">
        <f>IF(YEAR(Table9[[#This Row],[Date]]) = 2022, WEEKNUM(Table9[[#This Row],[Date]])-13, WEEKNUM(Table9[[#This Row],[Date]])+40)</f>
        <v>25</v>
      </c>
      <c r="C171" s="35" t="s">
        <v>53</v>
      </c>
      <c r="D171" s="35" t="s">
        <v>59</v>
      </c>
      <c r="E171" s="1">
        <v>369</v>
      </c>
      <c r="F171" s="1">
        <v>360</v>
      </c>
      <c r="G171" s="67">
        <v>0.13190184049079753</v>
      </c>
      <c r="H171" s="67">
        <v>0.17263843648208468</v>
      </c>
      <c r="I171" s="1">
        <v>6522</v>
      </c>
      <c r="J171" s="1">
        <v>6215</v>
      </c>
      <c r="K171" s="1">
        <v>44832</v>
      </c>
      <c r="L171" s="1">
        <v>43179</v>
      </c>
      <c r="M171" s="18">
        <v>0.89</v>
      </c>
      <c r="N171" s="18">
        <v>0.02</v>
      </c>
      <c r="O171" s="18">
        <v>0.98</v>
      </c>
      <c r="P171" s="18">
        <v>0.7</v>
      </c>
      <c r="Q171" s="22">
        <v>1</v>
      </c>
      <c r="R171" s="230">
        <v>0</v>
      </c>
      <c r="S171" s="317">
        <v>0</v>
      </c>
      <c r="T171" s="241">
        <v>0</v>
      </c>
      <c r="U171" s="245" t="str">
        <f t="shared" si="10"/>
        <v>Normal</v>
      </c>
      <c r="V171" s="245" t="str">
        <f t="shared" si="11"/>
        <v>Normal</v>
      </c>
      <c r="W171" s="87">
        <f t="shared" si="12"/>
        <v>0.13190184049079753</v>
      </c>
      <c r="X171" s="87">
        <f t="shared" si="13"/>
        <v>0.17263843648208468</v>
      </c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</row>
    <row r="172" spans="1:38">
      <c r="A172" s="23">
        <v>44822</v>
      </c>
      <c r="B172" s="121">
        <f>IF(YEAR(Table9[[#This Row],[Date]]) = 2022, WEEKNUM(Table9[[#This Row],[Date]])-13, WEEKNUM(Table9[[#This Row],[Date]])+40)</f>
        <v>26</v>
      </c>
      <c r="C172" s="35" t="s">
        <v>47</v>
      </c>
      <c r="D172" s="35" t="s">
        <v>59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22">
        <v>0</v>
      </c>
      <c r="R172" s="230">
        <v>0</v>
      </c>
      <c r="S172" s="230">
        <v>0</v>
      </c>
      <c r="T172" s="240">
        <v>0</v>
      </c>
      <c r="U172" s="245" t="str">
        <f t="shared" si="10"/>
        <v>Normal</v>
      </c>
      <c r="V172" s="245" t="str">
        <f t="shared" si="11"/>
        <v>Normal</v>
      </c>
      <c r="W172" s="87">
        <f t="shared" si="12"/>
        <v>0</v>
      </c>
      <c r="X172" s="87">
        <f t="shared" si="13"/>
        <v>0</v>
      </c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</row>
    <row r="173" spans="1:38">
      <c r="A173" s="23">
        <v>44823</v>
      </c>
      <c r="B173" s="121">
        <f>IF(YEAR(Table9[[#This Row],[Date]]) = 2022, WEEKNUM(Table9[[#This Row],[Date]])-13, WEEKNUM(Table9[[#This Row],[Date]])+40)</f>
        <v>26</v>
      </c>
      <c r="C173" s="35" t="s">
        <v>48</v>
      </c>
      <c r="D173" s="35" t="s">
        <v>59</v>
      </c>
      <c r="E173" s="1">
        <v>543</v>
      </c>
      <c r="F173" s="1">
        <v>518</v>
      </c>
      <c r="G173" s="67">
        <v>4.6242774566473986E-2</v>
      </c>
      <c r="H173" s="67">
        <v>3.1872509960159362E-2</v>
      </c>
      <c r="I173" s="1">
        <v>7065</v>
      </c>
      <c r="J173" s="1">
        <v>6733</v>
      </c>
      <c r="K173" s="1">
        <v>45375</v>
      </c>
      <c r="L173" s="1">
        <v>43697</v>
      </c>
      <c r="M173" s="18">
        <v>0.84</v>
      </c>
      <c r="N173" s="18">
        <v>0.05</v>
      </c>
      <c r="O173" s="18">
        <v>0.95</v>
      </c>
      <c r="P173" s="18">
        <v>0.9</v>
      </c>
      <c r="Q173" s="22">
        <v>1</v>
      </c>
      <c r="R173" s="230">
        <v>0</v>
      </c>
      <c r="S173" s="317">
        <v>0</v>
      </c>
      <c r="T173" s="241">
        <v>0</v>
      </c>
      <c r="U173" s="245" t="str">
        <f t="shared" si="10"/>
        <v>Normal</v>
      </c>
      <c r="V173" s="245" t="str">
        <f t="shared" si="11"/>
        <v>Normal</v>
      </c>
      <c r="W173" s="87">
        <f t="shared" si="12"/>
        <v>4.6242774566473986E-2</v>
      </c>
      <c r="X173" s="87">
        <f t="shared" si="13"/>
        <v>3.1872509960159362E-2</v>
      </c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</row>
    <row r="174" spans="1:38">
      <c r="A174" s="23">
        <v>44824</v>
      </c>
      <c r="B174" s="121">
        <f>IF(YEAR(Table9[[#This Row],[Date]]) = 2022, WEEKNUM(Table9[[#This Row],[Date]])-13, WEEKNUM(Table9[[#This Row],[Date]])+40)</f>
        <v>26</v>
      </c>
      <c r="C174" s="35" t="s">
        <v>49</v>
      </c>
      <c r="D174" s="35" t="s">
        <v>59</v>
      </c>
      <c r="E174" s="1">
        <v>476</v>
      </c>
      <c r="F174" s="1">
        <v>471</v>
      </c>
      <c r="G174" s="67">
        <v>5.0772626931567331E-2</v>
      </c>
      <c r="H174" s="67">
        <v>8.7759815242494224E-2</v>
      </c>
      <c r="I174" s="1">
        <v>7541</v>
      </c>
      <c r="J174" s="1">
        <v>7204</v>
      </c>
      <c r="K174" s="1">
        <v>45851</v>
      </c>
      <c r="L174" s="1">
        <v>44168</v>
      </c>
      <c r="M174" s="18">
        <v>0.93</v>
      </c>
      <c r="N174" s="18">
        <v>0.01</v>
      </c>
      <c r="O174" s="18">
        <v>0.99</v>
      </c>
      <c r="P174" s="18">
        <v>0.83</v>
      </c>
      <c r="Q174" s="22">
        <v>0.99</v>
      </c>
      <c r="R174" s="230">
        <v>0</v>
      </c>
      <c r="S174" s="317">
        <v>0</v>
      </c>
      <c r="T174" s="241">
        <v>0</v>
      </c>
      <c r="U174" s="245" t="str">
        <f t="shared" si="10"/>
        <v>Normal</v>
      </c>
      <c r="V174" s="245" t="str">
        <f t="shared" si="11"/>
        <v>Normal</v>
      </c>
      <c r="W174" s="87">
        <f t="shared" si="12"/>
        <v>5.0772626931567331E-2</v>
      </c>
      <c r="X174" s="87">
        <f t="shared" si="13"/>
        <v>8.7759815242494224E-2</v>
      </c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</row>
    <row r="175" spans="1:38">
      <c r="A175" s="23">
        <v>44825</v>
      </c>
      <c r="B175" s="121">
        <f>IF(YEAR(Table9[[#This Row],[Date]]) = 2022, WEEKNUM(Table9[[#This Row],[Date]])-13, WEEKNUM(Table9[[#This Row],[Date]])+40)</f>
        <v>26</v>
      </c>
      <c r="C175" s="35" t="s">
        <v>50</v>
      </c>
      <c r="D175" s="35" t="s">
        <v>59</v>
      </c>
      <c r="E175" s="1">
        <v>400</v>
      </c>
      <c r="F175" s="1">
        <v>386</v>
      </c>
      <c r="G175" s="67">
        <v>-0.25093632958801498</v>
      </c>
      <c r="H175" s="67">
        <v>-0.22489959839357429</v>
      </c>
      <c r="I175" s="1">
        <v>7941</v>
      </c>
      <c r="J175" s="1">
        <v>7590</v>
      </c>
      <c r="K175" s="1">
        <v>46251</v>
      </c>
      <c r="L175" s="1">
        <v>44554</v>
      </c>
      <c r="M175" s="18">
        <v>0.85</v>
      </c>
      <c r="N175" s="18">
        <v>0.04</v>
      </c>
      <c r="O175" s="18">
        <v>0.96</v>
      </c>
      <c r="P175" s="18">
        <v>0.76</v>
      </c>
      <c r="Q175" s="22">
        <v>1</v>
      </c>
      <c r="R175" s="230">
        <v>0</v>
      </c>
      <c r="S175" s="317">
        <v>0</v>
      </c>
      <c r="T175" s="241">
        <v>0</v>
      </c>
      <c r="U175" s="245" t="str">
        <f t="shared" si="10"/>
        <v>Normal</v>
      </c>
      <c r="V175" s="245" t="str">
        <f t="shared" si="11"/>
        <v>Normal</v>
      </c>
      <c r="W175" s="87">
        <f t="shared" si="12"/>
        <v>-0.25093632958801498</v>
      </c>
      <c r="X175" s="87">
        <f t="shared" si="13"/>
        <v>-0.22489959839357429</v>
      </c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</row>
    <row r="176" spans="1:38">
      <c r="A176" s="23">
        <v>44826</v>
      </c>
      <c r="B176" s="121">
        <f>IF(YEAR(Table9[[#This Row],[Date]]) = 2022, WEEKNUM(Table9[[#This Row],[Date]])-13, WEEKNUM(Table9[[#This Row],[Date]])+40)</f>
        <v>26</v>
      </c>
      <c r="C176" s="35" t="s">
        <v>51</v>
      </c>
      <c r="D176" s="35" t="s">
        <v>59</v>
      </c>
      <c r="E176" s="1">
        <v>369</v>
      </c>
      <c r="F176" s="1">
        <v>348</v>
      </c>
      <c r="G176" s="67">
        <v>-0.279296875</v>
      </c>
      <c r="H176" s="67">
        <v>-0.26890756302521007</v>
      </c>
      <c r="I176" s="1">
        <v>8310</v>
      </c>
      <c r="J176" s="1">
        <v>7938</v>
      </c>
      <c r="K176" s="1">
        <v>46620</v>
      </c>
      <c r="L176" s="1">
        <v>44902</v>
      </c>
      <c r="M176" s="18">
        <v>0.85</v>
      </c>
      <c r="N176" s="18">
        <v>0.06</v>
      </c>
      <c r="O176" s="18">
        <v>0.94</v>
      </c>
      <c r="P176" s="18">
        <v>0.65</v>
      </c>
      <c r="Q176" s="22">
        <v>1</v>
      </c>
      <c r="R176" s="230">
        <v>0</v>
      </c>
      <c r="S176" s="317">
        <v>0</v>
      </c>
      <c r="T176" s="241">
        <v>0</v>
      </c>
      <c r="U176" s="245" t="str">
        <f t="shared" si="10"/>
        <v>Normal</v>
      </c>
      <c r="V176" s="245" t="str">
        <f t="shared" si="11"/>
        <v>Normal</v>
      </c>
      <c r="W176" s="87">
        <f t="shared" si="12"/>
        <v>-0.279296875</v>
      </c>
      <c r="X176" s="87">
        <f t="shared" si="13"/>
        <v>-0.26890756302521007</v>
      </c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</row>
    <row r="177" spans="1:36">
      <c r="A177" s="23">
        <v>44827</v>
      </c>
      <c r="B177" s="121">
        <f>IF(YEAR(Table9[[#This Row],[Date]]) = 2022, WEEKNUM(Table9[[#This Row],[Date]])-13, WEEKNUM(Table9[[#This Row],[Date]])+40)</f>
        <v>26</v>
      </c>
      <c r="C177" s="35" t="s">
        <v>52</v>
      </c>
      <c r="D177" s="35" t="s">
        <v>59</v>
      </c>
      <c r="E177" s="1">
        <v>535</v>
      </c>
      <c r="F177" s="1">
        <v>502</v>
      </c>
      <c r="G177" s="67">
        <v>0.41160949868073876</v>
      </c>
      <c r="H177" s="67">
        <v>0.4101123595505618</v>
      </c>
      <c r="I177" s="1">
        <v>8845</v>
      </c>
      <c r="J177" s="1">
        <v>8440</v>
      </c>
      <c r="K177" s="1">
        <v>47155</v>
      </c>
      <c r="L177" s="1">
        <v>45404</v>
      </c>
      <c r="M177" s="18">
        <v>0.81</v>
      </c>
      <c r="N177" s="18">
        <v>0.06</v>
      </c>
      <c r="O177" s="18">
        <v>0.94</v>
      </c>
      <c r="P177" s="18">
        <v>0.79</v>
      </c>
      <c r="Q177" s="22">
        <v>1</v>
      </c>
      <c r="R177" s="230">
        <v>0</v>
      </c>
      <c r="S177" s="317">
        <v>0</v>
      </c>
      <c r="T177" s="241">
        <v>0</v>
      </c>
      <c r="U177" s="245" t="str">
        <f t="shared" si="10"/>
        <v>Normal</v>
      </c>
      <c r="V177" s="245" t="str">
        <f t="shared" si="11"/>
        <v>Normal</v>
      </c>
      <c r="W177" s="87">
        <f t="shared" si="12"/>
        <v>0.41160949868073876</v>
      </c>
      <c r="X177" s="87">
        <f t="shared" si="13"/>
        <v>0.4101123595505618</v>
      </c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</row>
    <row r="178" spans="1:36">
      <c r="A178" s="23">
        <v>44828</v>
      </c>
      <c r="B178" s="121">
        <f>IF(YEAR(Table9[[#This Row],[Date]]) = 2022, WEEKNUM(Table9[[#This Row],[Date]])-13, WEEKNUM(Table9[[#This Row],[Date]])+40)</f>
        <v>26</v>
      </c>
      <c r="C178" s="35" t="s">
        <v>53</v>
      </c>
      <c r="D178" s="35" t="s">
        <v>59</v>
      </c>
      <c r="E178" s="1">
        <v>281</v>
      </c>
      <c r="F178" s="1">
        <v>271</v>
      </c>
      <c r="G178" s="67">
        <v>-0.23848238482384823</v>
      </c>
      <c r="H178" s="67">
        <v>-0.24722222222222223</v>
      </c>
      <c r="I178" s="1">
        <v>9126</v>
      </c>
      <c r="J178" s="1">
        <v>8711</v>
      </c>
      <c r="K178" s="1">
        <v>47436</v>
      </c>
      <c r="L178" s="1">
        <v>45675</v>
      </c>
      <c r="M178" s="18">
        <v>0.9</v>
      </c>
      <c r="N178" s="18">
        <v>0.04</v>
      </c>
      <c r="O178" s="18">
        <v>0.96</v>
      </c>
      <c r="P178" s="18">
        <v>0.68</v>
      </c>
      <c r="Q178" s="22">
        <v>1</v>
      </c>
      <c r="R178" s="230">
        <v>0</v>
      </c>
      <c r="S178" s="317">
        <v>0</v>
      </c>
      <c r="T178" s="241">
        <v>0</v>
      </c>
      <c r="U178" s="245" t="str">
        <f t="shared" si="10"/>
        <v>Normal</v>
      </c>
      <c r="V178" s="245" t="str">
        <f t="shared" si="11"/>
        <v>Normal</v>
      </c>
      <c r="W178" s="87">
        <f t="shared" si="12"/>
        <v>-0.23848238482384823</v>
      </c>
      <c r="X178" s="87">
        <f t="shared" si="13"/>
        <v>-0.24722222222222223</v>
      </c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</row>
    <row r="179" spans="1:36">
      <c r="A179" s="23">
        <v>44829</v>
      </c>
      <c r="B179" s="121">
        <f>IF(YEAR(Table9[[#This Row],[Date]]) = 2022, WEEKNUM(Table9[[#This Row],[Date]])-13, WEEKNUM(Table9[[#This Row],[Date]])+40)</f>
        <v>27</v>
      </c>
      <c r="C179" s="35" t="s">
        <v>47</v>
      </c>
      <c r="D179" s="35" t="s">
        <v>59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22">
        <v>0</v>
      </c>
      <c r="R179" s="230">
        <v>0</v>
      </c>
      <c r="S179" s="230">
        <v>0</v>
      </c>
      <c r="T179" s="240">
        <v>0</v>
      </c>
      <c r="U179" s="245" t="str">
        <f t="shared" si="10"/>
        <v>Normal</v>
      </c>
      <c r="V179" s="245" t="str">
        <f t="shared" si="11"/>
        <v>Normal</v>
      </c>
      <c r="W179" s="87">
        <f t="shared" si="12"/>
        <v>0</v>
      </c>
      <c r="X179" s="87">
        <f t="shared" si="13"/>
        <v>0</v>
      </c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</row>
    <row r="180" spans="1:36">
      <c r="A180" s="23">
        <v>44830</v>
      </c>
      <c r="B180" s="121">
        <f>IF(YEAR(Table9[[#This Row],[Date]]) = 2022, WEEKNUM(Table9[[#This Row],[Date]])-13, WEEKNUM(Table9[[#This Row],[Date]])+40)</f>
        <v>27</v>
      </c>
      <c r="C180" s="35" t="s">
        <v>48</v>
      </c>
      <c r="D180" s="35" t="s">
        <v>59</v>
      </c>
      <c r="E180" s="1">
        <v>588</v>
      </c>
      <c r="F180" s="1">
        <v>557</v>
      </c>
      <c r="G180" s="67">
        <v>8.2872928176795577E-2</v>
      </c>
      <c r="H180" s="67">
        <v>7.5289575289575292E-2</v>
      </c>
      <c r="I180" s="1">
        <v>9714</v>
      </c>
      <c r="J180" s="1">
        <v>9268</v>
      </c>
      <c r="K180" s="1">
        <v>48024</v>
      </c>
      <c r="L180" s="1">
        <v>46232</v>
      </c>
      <c r="M180" s="18">
        <v>0.86</v>
      </c>
      <c r="N180" s="18">
        <v>0.05</v>
      </c>
      <c r="O180" s="18">
        <v>0.95</v>
      </c>
      <c r="P180" s="18">
        <v>0.9</v>
      </c>
      <c r="Q180" s="22">
        <v>1</v>
      </c>
      <c r="R180" s="230">
        <v>0</v>
      </c>
      <c r="S180" s="317">
        <v>0</v>
      </c>
      <c r="T180" s="241">
        <v>0</v>
      </c>
      <c r="U180" s="245" t="str">
        <f t="shared" si="10"/>
        <v>Normal</v>
      </c>
      <c r="V180" s="245" t="str">
        <f t="shared" si="11"/>
        <v>Normal</v>
      </c>
      <c r="W180" s="87">
        <f t="shared" si="12"/>
        <v>8.2872928176795577E-2</v>
      </c>
      <c r="X180" s="87">
        <f t="shared" si="13"/>
        <v>7.5289575289575292E-2</v>
      </c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</row>
    <row r="181" spans="1:36">
      <c r="A181" s="23">
        <v>44831</v>
      </c>
      <c r="B181" s="121">
        <f>IF(YEAR(Table9[[#This Row],[Date]]) = 2022, WEEKNUM(Table9[[#This Row],[Date]])-13, WEEKNUM(Table9[[#This Row],[Date]])+40)</f>
        <v>27</v>
      </c>
      <c r="C181" s="35" t="s">
        <v>49</v>
      </c>
      <c r="D181" s="35" t="s">
        <v>59</v>
      </c>
      <c r="E181" s="1">
        <v>433</v>
      </c>
      <c r="F181" s="1">
        <v>406</v>
      </c>
      <c r="G181" s="67">
        <v>-9.0336134453781511E-2</v>
      </c>
      <c r="H181" s="67">
        <v>-0.13800424628450106</v>
      </c>
      <c r="I181" s="1">
        <v>10147</v>
      </c>
      <c r="J181" s="1">
        <v>9674</v>
      </c>
      <c r="K181" s="1">
        <v>48457</v>
      </c>
      <c r="L181" s="1">
        <v>46638</v>
      </c>
      <c r="M181" s="18">
        <v>0.83</v>
      </c>
      <c r="N181" s="18">
        <v>0.06</v>
      </c>
      <c r="O181" s="18">
        <v>0.94</v>
      </c>
      <c r="P181" s="18">
        <v>0.71</v>
      </c>
      <c r="Q181" s="22">
        <v>1</v>
      </c>
      <c r="R181" s="230">
        <v>0</v>
      </c>
      <c r="S181" s="317">
        <v>0</v>
      </c>
      <c r="T181" s="241">
        <v>0</v>
      </c>
      <c r="U181" s="245" t="str">
        <f t="shared" si="10"/>
        <v>Normal</v>
      </c>
      <c r="V181" s="245" t="str">
        <f t="shared" si="11"/>
        <v>Normal</v>
      </c>
      <c r="W181" s="87">
        <f t="shared" si="12"/>
        <v>-9.0336134453781511E-2</v>
      </c>
      <c r="X181" s="87">
        <f t="shared" si="13"/>
        <v>-0.13800424628450106</v>
      </c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</row>
    <row r="182" spans="1:36">
      <c r="A182" s="23">
        <v>44832</v>
      </c>
      <c r="B182" s="121">
        <f>IF(YEAR(Table9[[#This Row],[Date]]) = 2022, WEEKNUM(Table9[[#This Row],[Date]])-13, WEEKNUM(Table9[[#This Row],[Date]])+40)</f>
        <v>27</v>
      </c>
      <c r="C182" s="35" t="s">
        <v>50</v>
      </c>
      <c r="D182" s="35" t="s">
        <v>59</v>
      </c>
      <c r="E182" s="1">
        <v>408</v>
      </c>
      <c r="F182" s="1">
        <v>393</v>
      </c>
      <c r="G182" s="67">
        <v>0.02</v>
      </c>
      <c r="H182" s="67">
        <v>1.8134715025906734E-2</v>
      </c>
      <c r="I182" s="1">
        <v>10555</v>
      </c>
      <c r="J182" s="1">
        <v>10067</v>
      </c>
      <c r="K182" s="1">
        <v>48865</v>
      </c>
      <c r="L182" s="1">
        <v>47031</v>
      </c>
      <c r="M182" s="18">
        <v>0.88</v>
      </c>
      <c r="N182" s="18">
        <v>0.04</v>
      </c>
      <c r="O182" s="18">
        <v>0.96</v>
      </c>
      <c r="P182" s="18">
        <v>0.66</v>
      </c>
      <c r="Q182" s="22">
        <v>1</v>
      </c>
      <c r="R182" s="230">
        <v>0</v>
      </c>
      <c r="S182" s="317">
        <v>0</v>
      </c>
      <c r="T182" s="241">
        <v>0</v>
      </c>
      <c r="U182" s="245" t="str">
        <f t="shared" si="10"/>
        <v>Normal</v>
      </c>
      <c r="V182" s="245" t="str">
        <f t="shared" si="11"/>
        <v>Normal</v>
      </c>
      <c r="W182" s="87">
        <f t="shared" si="12"/>
        <v>0.02</v>
      </c>
      <c r="X182" s="87">
        <f t="shared" si="13"/>
        <v>1.8134715025906734E-2</v>
      </c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</row>
    <row r="183" spans="1:36">
      <c r="A183" s="23">
        <v>44833</v>
      </c>
      <c r="B183" s="121">
        <f>IF(YEAR(Table9[[#This Row],[Date]]) = 2022, WEEKNUM(Table9[[#This Row],[Date]])-13, WEEKNUM(Table9[[#This Row],[Date]])+40)</f>
        <v>27</v>
      </c>
      <c r="C183" s="35" t="s">
        <v>51</v>
      </c>
      <c r="D183" s="35" t="s">
        <v>59</v>
      </c>
      <c r="E183" s="1">
        <v>414</v>
      </c>
      <c r="F183" s="1">
        <v>409</v>
      </c>
      <c r="G183" s="67">
        <v>0.12195121951219512</v>
      </c>
      <c r="H183" s="67">
        <v>0.17528735632183909</v>
      </c>
      <c r="I183" s="1">
        <v>10969</v>
      </c>
      <c r="J183" s="1">
        <v>10476</v>
      </c>
      <c r="K183" s="1">
        <v>49279</v>
      </c>
      <c r="L183" s="1">
        <v>47440</v>
      </c>
      <c r="M183" s="18">
        <v>0.93</v>
      </c>
      <c r="N183" s="18">
        <v>0.01</v>
      </c>
      <c r="O183" s="18">
        <v>0.99</v>
      </c>
      <c r="P183" s="18">
        <v>0.66</v>
      </c>
      <c r="Q183" s="22">
        <v>1</v>
      </c>
      <c r="R183" s="230">
        <v>0</v>
      </c>
      <c r="S183" s="317">
        <v>0</v>
      </c>
      <c r="T183" s="241">
        <v>0</v>
      </c>
      <c r="U183" s="245" t="str">
        <f t="shared" si="10"/>
        <v>Normal</v>
      </c>
      <c r="V183" s="245" t="str">
        <f t="shared" si="11"/>
        <v>Normal</v>
      </c>
      <c r="W183" s="87">
        <f t="shared" si="12"/>
        <v>0.12195121951219512</v>
      </c>
      <c r="X183" s="87">
        <f t="shared" si="13"/>
        <v>0.17528735632183909</v>
      </c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</row>
    <row r="184" spans="1:36">
      <c r="A184" s="23">
        <v>44834</v>
      </c>
      <c r="B184" s="121">
        <f>IF(YEAR(Table9[[#This Row],[Date]]) = 2022, WEEKNUM(Table9[[#This Row],[Date]])-13, WEEKNUM(Table9[[#This Row],[Date]])+40)</f>
        <v>27</v>
      </c>
      <c r="C184" s="35" t="s">
        <v>52</v>
      </c>
      <c r="D184" s="35" t="s">
        <v>59</v>
      </c>
      <c r="E184" s="1">
        <v>401</v>
      </c>
      <c r="F184" s="1">
        <v>383</v>
      </c>
      <c r="G184" s="67">
        <v>-0.25046728971962617</v>
      </c>
      <c r="H184" s="67">
        <v>-0.23705179282868527</v>
      </c>
      <c r="I184" s="1">
        <v>11370</v>
      </c>
      <c r="J184" s="1">
        <v>10859</v>
      </c>
      <c r="K184" s="1">
        <v>49680</v>
      </c>
      <c r="L184" s="1">
        <v>47823</v>
      </c>
      <c r="M184" s="18">
        <v>0.83</v>
      </c>
      <c r="N184" s="18">
        <v>0.04</v>
      </c>
      <c r="O184" s="18">
        <v>0.96</v>
      </c>
      <c r="P184" s="18">
        <v>0.67</v>
      </c>
      <c r="Q184" s="22">
        <v>0.99</v>
      </c>
      <c r="R184" s="230">
        <v>0</v>
      </c>
      <c r="S184" s="317">
        <v>0</v>
      </c>
      <c r="T184" s="241">
        <v>0</v>
      </c>
      <c r="U184" s="245" t="str">
        <f t="shared" si="10"/>
        <v>Normal</v>
      </c>
      <c r="V184" s="245" t="str">
        <f t="shared" si="11"/>
        <v>Normal</v>
      </c>
      <c r="W184" s="87">
        <f t="shared" si="12"/>
        <v>-0.25046728971962617</v>
      </c>
      <c r="X184" s="87">
        <f t="shared" si="13"/>
        <v>-0.23705179282868527</v>
      </c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</row>
    <row r="185" spans="1:36">
      <c r="A185" s="23">
        <v>44835</v>
      </c>
      <c r="B185" s="121">
        <f>IF(YEAR(Table9[[#This Row],[Date]]) = 2022, WEEKNUM(Table9[[#This Row],[Date]])-13, WEEKNUM(Table9[[#This Row],[Date]])+40)</f>
        <v>27</v>
      </c>
      <c r="C185" s="35" t="s">
        <v>53</v>
      </c>
      <c r="D185" s="35" t="s">
        <v>59</v>
      </c>
      <c r="E185" s="1">
        <v>329</v>
      </c>
      <c r="F185" s="1">
        <v>314</v>
      </c>
      <c r="G185" s="67">
        <v>0.1708185053380783</v>
      </c>
      <c r="H185" s="67">
        <v>0.15867158671586715</v>
      </c>
      <c r="I185" s="1">
        <v>329</v>
      </c>
      <c r="J185" s="1">
        <v>314</v>
      </c>
      <c r="K185" s="1">
        <v>50009</v>
      </c>
      <c r="L185" s="1">
        <v>48137</v>
      </c>
      <c r="M185" s="18">
        <v>0.9</v>
      </c>
      <c r="N185" s="18">
        <v>0.05</v>
      </c>
      <c r="O185" s="18">
        <v>0.95</v>
      </c>
      <c r="P185" s="18">
        <v>0.65</v>
      </c>
      <c r="Q185" s="22">
        <v>1</v>
      </c>
      <c r="R185" s="230">
        <v>0</v>
      </c>
      <c r="S185" s="317">
        <v>0</v>
      </c>
      <c r="T185" s="241">
        <v>0</v>
      </c>
      <c r="U185" s="245" t="str">
        <f t="shared" si="10"/>
        <v>Normal</v>
      </c>
      <c r="V185" s="245" t="str">
        <f t="shared" si="11"/>
        <v>Normal</v>
      </c>
      <c r="W185" s="87">
        <f t="shared" si="12"/>
        <v>0.1708185053380783</v>
      </c>
      <c r="X185" s="87">
        <f t="shared" si="13"/>
        <v>0.15867158671586715</v>
      </c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</row>
    <row r="186" spans="1:36">
      <c r="A186" s="23">
        <v>44836</v>
      </c>
      <c r="B186" s="121">
        <f>IF(YEAR(Table9[[#This Row],[Date]]) = 2022, WEEKNUM(Table9[[#This Row],[Date]])-13, WEEKNUM(Table9[[#This Row],[Date]])+40)</f>
        <v>28</v>
      </c>
      <c r="C186" s="35" t="s">
        <v>47</v>
      </c>
      <c r="D186" s="35" t="s">
        <v>59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22">
        <v>0</v>
      </c>
      <c r="R186" s="230">
        <v>0</v>
      </c>
      <c r="S186" s="230">
        <v>0</v>
      </c>
      <c r="T186" s="240">
        <v>0</v>
      </c>
      <c r="U186" s="245" t="str">
        <f t="shared" si="10"/>
        <v>Normal</v>
      </c>
      <c r="V186" s="245" t="str">
        <f t="shared" si="11"/>
        <v>Normal</v>
      </c>
      <c r="W186" s="87">
        <f t="shared" si="12"/>
        <v>0</v>
      </c>
      <c r="X186" s="87">
        <f t="shared" si="13"/>
        <v>0</v>
      </c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</row>
    <row r="187" spans="1:36">
      <c r="A187" s="23">
        <v>44837</v>
      </c>
      <c r="B187" s="121">
        <f>IF(YEAR(Table9[[#This Row],[Date]]) = 2022, WEEKNUM(Table9[[#This Row],[Date]])-13, WEEKNUM(Table9[[#This Row],[Date]])+40)</f>
        <v>28</v>
      </c>
      <c r="C187" s="35" t="s">
        <v>48</v>
      </c>
      <c r="D187" s="35" t="s">
        <v>59</v>
      </c>
      <c r="E187" s="1">
        <v>443</v>
      </c>
      <c r="F187" s="1">
        <v>423</v>
      </c>
      <c r="G187" s="67">
        <v>-0.24659863945578231</v>
      </c>
      <c r="H187" s="67">
        <v>-0.24057450628366248</v>
      </c>
      <c r="I187" s="1">
        <v>772</v>
      </c>
      <c r="J187" s="1">
        <v>737</v>
      </c>
      <c r="K187" s="1">
        <v>50452</v>
      </c>
      <c r="L187" s="1">
        <v>48560</v>
      </c>
      <c r="M187" s="18">
        <v>0.82</v>
      </c>
      <c r="N187" s="18">
        <v>0.05</v>
      </c>
      <c r="O187" s="18">
        <v>0.95</v>
      </c>
      <c r="P187" s="18">
        <v>0.79</v>
      </c>
      <c r="Q187" s="22">
        <v>0.99</v>
      </c>
      <c r="R187" s="230">
        <v>0</v>
      </c>
      <c r="S187" s="230">
        <v>0</v>
      </c>
      <c r="T187" s="240">
        <v>0</v>
      </c>
      <c r="U187" s="245" t="str">
        <f t="shared" si="10"/>
        <v>Normal</v>
      </c>
      <c r="V187" s="245" t="str">
        <f t="shared" si="11"/>
        <v>Normal</v>
      </c>
      <c r="W187" s="87">
        <f t="shared" si="12"/>
        <v>-0.24659863945578231</v>
      </c>
      <c r="X187" s="87">
        <f t="shared" si="13"/>
        <v>-0.24057450628366248</v>
      </c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</row>
    <row r="188" spans="1:36">
      <c r="A188" s="23">
        <v>44838</v>
      </c>
      <c r="B188" s="121">
        <f>IF(YEAR(Table9[[#This Row],[Date]]) = 2022, WEEKNUM(Table9[[#This Row],[Date]])-13, WEEKNUM(Table9[[#This Row],[Date]])+40)</f>
        <v>28</v>
      </c>
      <c r="C188" s="35" t="s">
        <v>49</v>
      </c>
      <c r="D188" s="35" t="s">
        <v>59</v>
      </c>
      <c r="E188" s="1">
        <v>391</v>
      </c>
      <c r="F188" s="1">
        <v>369</v>
      </c>
      <c r="G188" s="67">
        <v>-9.6997690531177835E-2</v>
      </c>
      <c r="H188" s="67">
        <v>-9.1133004926108374E-2</v>
      </c>
      <c r="I188" s="1">
        <v>1163</v>
      </c>
      <c r="J188" s="1">
        <v>1106</v>
      </c>
      <c r="K188" s="1">
        <v>50843</v>
      </c>
      <c r="L188" s="1">
        <v>48929</v>
      </c>
      <c r="M188" s="69">
        <v>0.85</v>
      </c>
      <c r="N188" s="69">
        <v>0.06</v>
      </c>
      <c r="O188" s="69">
        <v>0.94</v>
      </c>
      <c r="P188" s="69">
        <v>0.82</v>
      </c>
      <c r="Q188" s="95">
        <v>1</v>
      </c>
      <c r="R188" s="230">
        <v>0</v>
      </c>
      <c r="S188" s="230">
        <v>0</v>
      </c>
      <c r="T188" s="240">
        <v>0</v>
      </c>
      <c r="U188" s="245" t="str">
        <f t="shared" si="10"/>
        <v>Normal</v>
      </c>
      <c r="V188" s="245" t="str">
        <f t="shared" si="11"/>
        <v>Normal</v>
      </c>
      <c r="W188" s="87">
        <f t="shared" si="12"/>
        <v>-9.6997690531177835E-2</v>
      </c>
      <c r="X188" s="87">
        <f t="shared" si="13"/>
        <v>-9.1133004926108374E-2</v>
      </c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</row>
    <row r="189" spans="1:36">
      <c r="A189" s="23">
        <v>44839</v>
      </c>
      <c r="B189" s="121">
        <f>IF(YEAR(Table9[[#This Row],[Date]]) = 2022, WEEKNUM(Table9[[#This Row],[Date]])-13, WEEKNUM(Table9[[#This Row],[Date]])+40)</f>
        <v>28</v>
      </c>
      <c r="C189" s="35" t="s">
        <v>50</v>
      </c>
      <c r="D189" s="35" t="s">
        <v>59</v>
      </c>
      <c r="E189" s="1">
        <v>383</v>
      </c>
      <c r="F189" s="1">
        <v>368</v>
      </c>
      <c r="G189" s="67">
        <v>-6.1274509803921566E-2</v>
      </c>
      <c r="H189" s="67">
        <v>-6.3613231552162849E-2</v>
      </c>
      <c r="I189" s="1">
        <v>1546</v>
      </c>
      <c r="J189" s="1">
        <v>1474</v>
      </c>
      <c r="K189" s="1">
        <v>51226</v>
      </c>
      <c r="L189" s="1">
        <v>49297</v>
      </c>
      <c r="M189" s="18">
        <v>0.81</v>
      </c>
      <c r="N189" s="18">
        <v>0.04</v>
      </c>
      <c r="O189" s="18">
        <v>0.96</v>
      </c>
      <c r="P189" s="18">
        <v>0.65</v>
      </c>
      <c r="Q189" s="22">
        <v>1</v>
      </c>
      <c r="R189" s="230">
        <v>0</v>
      </c>
      <c r="S189" s="230">
        <v>0</v>
      </c>
      <c r="T189" s="240">
        <v>0</v>
      </c>
      <c r="U189" s="245" t="str">
        <f t="shared" si="10"/>
        <v>Normal</v>
      </c>
      <c r="V189" s="245" t="str">
        <f t="shared" si="11"/>
        <v>Normal</v>
      </c>
      <c r="W189" s="87">
        <f t="shared" si="12"/>
        <v>-6.1274509803921566E-2</v>
      </c>
      <c r="X189" s="87">
        <f t="shared" si="13"/>
        <v>-6.3613231552162849E-2</v>
      </c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</row>
    <row r="190" spans="1:36">
      <c r="A190" s="23">
        <v>44840</v>
      </c>
      <c r="B190" s="121">
        <f>IF(YEAR(Table9[[#This Row],[Date]]) = 2022, WEEKNUM(Table9[[#This Row],[Date]])-13, WEEKNUM(Table9[[#This Row],[Date]])+40)</f>
        <v>28</v>
      </c>
      <c r="C190" s="35" t="s">
        <v>51</v>
      </c>
      <c r="D190" s="35" t="s">
        <v>59</v>
      </c>
      <c r="E190" s="1">
        <v>402</v>
      </c>
      <c r="F190" s="1">
        <v>372</v>
      </c>
      <c r="G190" s="67">
        <v>-2.8985507246376812E-2</v>
      </c>
      <c r="H190" s="67">
        <v>-9.0464547677261614E-2</v>
      </c>
      <c r="I190" s="1">
        <v>1948</v>
      </c>
      <c r="J190" s="1">
        <v>1846</v>
      </c>
      <c r="K190" s="1">
        <v>51628</v>
      </c>
      <c r="L190" s="1">
        <v>49669</v>
      </c>
      <c r="M190" s="18">
        <v>0.75</v>
      </c>
      <c r="N190" s="18">
        <v>7.0000000000000007E-2</v>
      </c>
      <c r="O190" s="18">
        <v>0.93</v>
      </c>
      <c r="P190" s="18">
        <v>0.72</v>
      </c>
      <c r="Q190" s="22">
        <v>1</v>
      </c>
      <c r="R190" s="230">
        <v>0</v>
      </c>
      <c r="S190" s="230">
        <v>0</v>
      </c>
      <c r="T190" s="240">
        <v>0</v>
      </c>
      <c r="U190" s="245" t="str">
        <f t="shared" si="10"/>
        <v>Normal</v>
      </c>
      <c r="V190" s="245" t="str">
        <f t="shared" si="11"/>
        <v>Normal</v>
      </c>
      <c r="W190" s="87">
        <f t="shared" si="12"/>
        <v>-2.8985507246376812E-2</v>
      </c>
      <c r="X190" s="87">
        <f t="shared" si="13"/>
        <v>-9.0464547677261614E-2</v>
      </c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</row>
    <row r="191" spans="1:36">
      <c r="A191" s="23">
        <v>44841</v>
      </c>
      <c r="B191" s="121">
        <f>IF(YEAR(Table9[[#This Row],[Date]]) = 2022, WEEKNUM(Table9[[#This Row],[Date]])-13, WEEKNUM(Table9[[#This Row],[Date]])+40)</f>
        <v>28</v>
      </c>
      <c r="C191" s="35" t="s">
        <v>52</v>
      </c>
      <c r="D191" s="35" t="s">
        <v>59</v>
      </c>
      <c r="E191" s="1">
        <v>365</v>
      </c>
      <c r="F191" s="1">
        <v>351</v>
      </c>
      <c r="G191" s="67">
        <v>-8.9775561097256859E-2</v>
      </c>
      <c r="H191" s="67">
        <v>-8.3550913838120106E-2</v>
      </c>
      <c r="I191" s="1">
        <v>2313</v>
      </c>
      <c r="J191" s="1">
        <v>2197</v>
      </c>
      <c r="K191" s="1">
        <v>51993</v>
      </c>
      <c r="L191" s="1">
        <v>50020</v>
      </c>
      <c r="M191" s="18">
        <v>0.93</v>
      </c>
      <c r="N191" s="18">
        <v>0.04</v>
      </c>
      <c r="O191" s="18">
        <v>0.96</v>
      </c>
      <c r="P191" s="18">
        <v>0.66</v>
      </c>
      <c r="Q191" s="22">
        <v>1</v>
      </c>
      <c r="R191" s="230">
        <v>0</v>
      </c>
      <c r="S191" s="230">
        <v>0</v>
      </c>
      <c r="T191" s="240">
        <v>0</v>
      </c>
      <c r="U191" s="245" t="str">
        <f t="shared" si="10"/>
        <v>Normal</v>
      </c>
      <c r="V191" s="245" t="str">
        <f t="shared" si="11"/>
        <v>Normal</v>
      </c>
      <c r="W191" s="87">
        <f t="shared" si="12"/>
        <v>-8.9775561097256859E-2</v>
      </c>
      <c r="X191" s="87">
        <f t="shared" si="13"/>
        <v>-8.3550913838120106E-2</v>
      </c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</row>
    <row r="192" spans="1:36">
      <c r="A192" s="23">
        <v>44842</v>
      </c>
      <c r="B192" s="121">
        <f>IF(YEAR(Table9[[#This Row],[Date]]) = 2022, WEEKNUM(Table9[[#This Row],[Date]])-13, WEEKNUM(Table9[[#This Row],[Date]])+40)</f>
        <v>28</v>
      </c>
      <c r="C192" s="35" t="s">
        <v>53</v>
      </c>
      <c r="D192" s="35" t="s">
        <v>59</v>
      </c>
      <c r="E192" s="1">
        <v>262</v>
      </c>
      <c r="F192" s="1">
        <v>254</v>
      </c>
      <c r="G192" s="67">
        <v>-0.20364741641337386</v>
      </c>
      <c r="H192" s="67">
        <v>-0.19108280254777071</v>
      </c>
      <c r="I192" s="1">
        <v>2575</v>
      </c>
      <c r="J192" s="1">
        <v>2451</v>
      </c>
      <c r="K192" s="1">
        <v>52255</v>
      </c>
      <c r="L192" s="1">
        <v>50274</v>
      </c>
      <c r="M192" s="18">
        <v>0.89</v>
      </c>
      <c r="N192" s="18">
        <v>0.03</v>
      </c>
      <c r="O192" s="18">
        <v>0.97</v>
      </c>
      <c r="P192" s="18">
        <v>0.66</v>
      </c>
      <c r="Q192" s="22">
        <v>1</v>
      </c>
      <c r="R192" s="230">
        <v>0</v>
      </c>
      <c r="S192" s="230">
        <v>0</v>
      </c>
      <c r="T192" s="240">
        <v>0</v>
      </c>
      <c r="U192" s="245" t="str">
        <f t="shared" si="10"/>
        <v>Normal</v>
      </c>
      <c r="V192" s="245" t="str">
        <f t="shared" si="11"/>
        <v>Normal</v>
      </c>
      <c r="W192" s="87">
        <f t="shared" si="12"/>
        <v>-0.20364741641337386</v>
      </c>
      <c r="X192" s="87">
        <f t="shared" si="13"/>
        <v>-0.19108280254777071</v>
      </c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</row>
    <row r="193" spans="1:36">
      <c r="A193" s="23">
        <v>44843</v>
      </c>
      <c r="B193" s="121">
        <f>IF(YEAR(Table9[[#This Row],[Date]]) = 2022, WEEKNUM(Table9[[#This Row],[Date]])-13, WEEKNUM(Table9[[#This Row],[Date]])+40)</f>
        <v>29</v>
      </c>
      <c r="C193" s="35" t="s">
        <v>47</v>
      </c>
      <c r="D193" s="35" t="s">
        <v>59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22">
        <v>0</v>
      </c>
      <c r="R193" s="230">
        <v>0</v>
      </c>
      <c r="S193" s="230">
        <v>0</v>
      </c>
      <c r="T193" s="240">
        <v>0</v>
      </c>
      <c r="U193" s="245" t="str">
        <f t="shared" si="10"/>
        <v>Normal</v>
      </c>
      <c r="V193" s="245" t="str">
        <f t="shared" si="11"/>
        <v>Normal</v>
      </c>
      <c r="W193" s="87">
        <f t="shared" si="12"/>
        <v>0</v>
      </c>
      <c r="X193" s="87">
        <f t="shared" si="13"/>
        <v>0</v>
      </c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</row>
    <row r="194" spans="1:36">
      <c r="A194" s="23">
        <v>44844</v>
      </c>
      <c r="B194" s="121">
        <f>IF(YEAR(Table9[[#This Row],[Date]]) = 2022, WEEKNUM(Table9[[#This Row],[Date]])-13, WEEKNUM(Table9[[#This Row],[Date]])+40)</f>
        <v>29</v>
      </c>
      <c r="C194" s="35" t="s">
        <v>63</v>
      </c>
      <c r="D194" s="35" t="s">
        <v>59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8">
        <v>0</v>
      </c>
      <c r="N194" s="18">
        <v>0</v>
      </c>
      <c r="O194" s="18">
        <v>0</v>
      </c>
      <c r="P194" s="18">
        <v>0</v>
      </c>
      <c r="Q194" s="22">
        <v>0</v>
      </c>
      <c r="R194" s="230">
        <v>0</v>
      </c>
      <c r="S194" s="230">
        <v>0</v>
      </c>
      <c r="T194" s="240">
        <v>0</v>
      </c>
      <c r="U194" s="245" t="str">
        <f t="shared" si="10"/>
        <v>Normal</v>
      </c>
      <c r="V194" s="245" t="str">
        <f t="shared" si="11"/>
        <v>Normal</v>
      </c>
      <c r="W194" s="87">
        <f t="shared" si="12"/>
        <v>0</v>
      </c>
      <c r="X194" s="87">
        <f t="shared" si="13"/>
        <v>0</v>
      </c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</row>
    <row r="195" spans="1:36">
      <c r="A195" s="23">
        <v>44845</v>
      </c>
      <c r="B195" s="121">
        <f>IF(YEAR(Table9[[#This Row],[Date]]) = 2022, WEEKNUM(Table9[[#This Row],[Date]])-13, WEEKNUM(Table9[[#This Row],[Date]])+40)</f>
        <v>29</v>
      </c>
      <c r="C195" s="35" t="s">
        <v>49</v>
      </c>
      <c r="D195" s="35" t="s">
        <v>59</v>
      </c>
      <c r="E195" s="1">
        <v>427</v>
      </c>
      <c r="F195" s="1">
        <v>404</v>
      </c>
      <c r="G195" s="67">
        <v>9.2071611253196933E-2</v>
      </c>
      <c r="H195" s="67">
        <v>9.4850948509485097E-2</v>
      </c>
      <c r="I195" s="1">
        <v>3002</v>
      </c>
      <c r="J195" s="1">
        <v>2855</v>
      </c>
      <c r="K195" s="1">
        <v>52682</v>
      </c>
      <c r="L195" s="1">
        <v>50678</v>
      </c>
      <c r="M195" s="18">
        <v>0.81</v>
      </c>
      <c r="N195" s="18">
        <v>0.05</v>
      </c>
      <c r="O195" s="18">
        <v>0.95</v>
      </c>
      <c r="P195" s="18">
        <v>0.72</v>
      </c>
      <c r="Q195" s="22">
        <v>1</v>
      </c>
      <c r="R195" s="230">
        <v>0</v>
      </c>
      <c r="S195" s="230">
        <v>0</v>
      </c>
      <c r="T195" s="240">
        <v>0</v>
      </c>
      <c r="U195" s="245" t="str">
        <f t="shared" ref="U195:U258" si="14">IF(OR(G195&lt;$AA$5,G195&gt;$AB$5), "Outlier", "Normal")</f>
        <v>Normal</v>
      </c>
      <c r="V195" s="245" t="str">
        <f t="shared" ref="V195:V258" si="15">IF(OR(H195&lt;$AA$6,H195&gt;$AB$6), "Outlier", "Normal")</f>
        <v>Normal</v>
      </c>
      <c r="W195" s="87">
        <f t="shared" ref="W195:W258" si="16">IF(U195="Normal",$G195,IF($G195&lt;150%, $G195, $AA$9))</f>
        <v>9.2071611253196933E-2</v>
      </c>
      <c r="X195" s="87">
        <f t="shared" ref="X195:X258" si="17">IF(V195="Normal",$H195,IF($H195&lt;150%, $H195, $AE$9))</f>
        <v>9.4850948509485097E-2</v>
      </c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</row>
    <row r="196" spans="1:36">
      <c r="A196" s="23">
        <v>44846</v>
      </c>
      <c r="B196" s="121">
        <f>IF(YEAR(Table9[[#This Row],[Date]]) = 2022, WEEKNUM(Table9[[#This Row],[Date]])-13, WEEKNUM(Table9[[#This Row],[Date]])+40)</f>
        <v>29</v>
      </c>
      <c r="C196" s="35" t="s">
        <v>50</v>
      </c>
      <c r="D196" s="35" t="s">
        <v>59</v>
      </c>
      <c r="E196" s="1">
        <v>458</v>
      </c>
      <c r="F196" s="1">
        <v>442</v>
      </c>
      <c r="G196" s="67">
        <v>0.195822454308094</v>
      </c>
      <c r="H196" s="67">
        <v>0.20108695652173914</v>
      </c>
      <c r="I196" s="1">
        <v>3460</v>
      </c>
      <c r="J196" s="1">
        <v>3297</v>
      </c>
      <c r="K196" s="1">
        <v>53140</v>
      </c>
      <c r="L196" s="1">
        <v>51120</v>
      </c>
      <c r="M196" s="18">
        <v>0.81</v>
      </c>
      <c r="N196" s="18">
        <v>0.03</v>
      </c>
      <c r="O196" s="18">
        <v>0.97</v>
      </c>
      <c r="P196" s="18">
        <v>0.76</v>
      </c>
      <c r="Q196" s="22">
        <v>0.99</v>
      </c>
      <c r="R196" s="230">
        <v>0</v>
      </c>
      <c r="S196" s="230">
        <v>0</v>
      </c>
      <c r="T196" s="240">
        <v>0</v>
      </c>
      <c r="U196" s="245" t="str">
        <f t="shared" si="14"/>
        <v>Normal</v>
      </c>
      <c r="V196" s="245" t="str">
        <f t="shared" si="15"/>
        <v>Normal</v>
      </c>
      <c r="W196" s="87">
        <f t="shared" si="16"/>
        <v>0.195822454308094</v>
      </c>
      <c r="X196" s="87">
        <f t="shared" si="17"/>
        <v>0.20108695652173914</v>
      </c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</row>
    <row r="197" spans="1:36">
      <c r="A197" s="23">
        <v>44847</v>
      </c>
      <c r="B197" s="121">
        <f>IF(YEAR(Table9[[#This Row],[Date]]) = 2022, WEEKNUM(Table9[[#This Row],[Date]])-13, WEEKNUM(Table9[[#This Row],[Date]])+40)</f>
        <v>29</v>
      </c>
      <c r="C197" s="35" t="s">
        <v>51</v>
      </c>
      <c r="D197" s="35" t="s">
        <v>59</v>
      </c>
      <c r="E197" s="1">
        <v>495</v>
      </c>
      <c r="F197" s="1">
        <v>471</v>
      </c>
      <c r="G197" s="67">
        <v>0.23134328358208955</v>
      </c>
      <c r="H197" s="67">
        <v>0.2661290322580645</v>
      </c>
      <c r="I197" s="1">
        <v>3955</v>
      </c>
      <c r="J197" s="1">
        <v>3768</v>
      </c>
      <c r="K197" s="1">
        <v>53635</v>
      </c>
      <c r="L197" s="1">
        <v>51591</v>
      </c>
      <c r="M197" s="18">
        <v>0.81</v>
      </c>
      <c r="N197" s="18">
        <v>0.04</v>
      </c>
      <c r="O197" s="18">
        <v>0.96</v>
      </c>
      <c r="P197" s="18">
        <v>0.84</v>
      </c>
      <c r="Q197" s="22">
        <v>0.99</v>
      </c>
      <c r="R197" s="230">
        <v>0</v>
      </c>
      <c r="S197" s="230">
        <v>0</v>
      </c>
      <c r="T197" s="240">
        <v>0</v>
      </c>
      <c r="U197" s="245" t="str">
        <f t="shared" si="14"/>
        <v>Normal</v>
      </c>
      <c r="V197" s="245" t="str">
        <f t="shared" si="15"/>
        <v>Normal</v>
      </c>
      <c r="W197" s="87">
        <f t="shared" si="16"/>
        <v>0.23134328358208955</v>
      </c>
      <c r="X197" s="87">
        <f t="shared" si="17"/>
        <v>0.2661290322580645</v>
      </c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</row>
    <row r="198" spans="1:36">
      <c r="A198" s="23">
        <v>44848</v>
      </c>
      <c r="B198" s="121">
        <f>IF(YEAR(Table9[[#This Row],[Date]]) = 2022, WEEKNUM(Table9[[#This Row],[Date]])-13, WEEKNUM(Table9[[#This Row],[Date]])+40)</f>
        <v>29</v>
      </c>
      <c r="C198" s="35" t="s">
        <v>52</v>
      </c>
      <c r="D198" s="35" t="s">
        <v>59</v>
      </c>
      <c r="E198" s="1">
        <v>495</v>
      </c>
      <c r="F198" s="1">
        <v>471</v>
      </c>
      <c r="G198" s="67">
        <v>0.35616438356164382</v>
      </c>
      <c r="H198" s="67">
        <v>0.34188034188034189</v>
      </c>
      <c r="I198" s="1">
        <v>4450</v>
      </c>
      <c r="J198" s="1">
        <v>4239</v>
      </c>
      <c r="K198" s="1">
        <v>54130</v>
      </c>
      <c r="L198" s="1">
        <v>52062</v>
      </c>
      <c r="M198" s="18">
        <v>0.82</v>
      </c>
      <c r="N198" s="18">
        <v>0.05</v>
      </c>
      <c r="O198" s="18">
        <v>0.95</v>
      </c>
      <c r="P198" s="18">
        <v>1.0376000000000001</v>
      </c>
      <c r="Q198" s="22">
        <v>1</v>
      </c>
      <c r="R198" s="230">
        <v>0</v>
      </c>
      <c r="S198" s="230">
        <v>0</v>
      </c>
      <c r="T198" s="240">
        <v>0</v>
      </c>
      <c r="U198" s="245" t="str">
        <f t="shared" si="14"/>
        <v>Normal</v>
      </c>
      <c r="V198" s="245" t="str">
        <f t="shared" si="15"/>
        <v>Normal</v>
      </c>
      <c r="W198" s="87">
        <f t="shared" si="16"/>
        <v>0.35616438356164382</v>
      </c>
      <c r="X198" s="87">
        <f t="shared" si="17"/>
        <v>0.34188034188034189</v>
      </c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</row>
    <row r="199" spans="1:36">
      <c r="A199" s="23">
        <v>44849</v>
      </c>
      <c r="B199" s="121">
        <f>IF(YEAR(Table9[[#This Row],[Date]]) = 2022, WEEKNUM(Table9[[#This Row],[Date]])-13, WEEKNUM(Table9[[#This Row],[Date]])+40)</f>
        <v>29</v>
      </c>
      <c r="C199" s="35" t="s">
        <v>53</v>
      </c>
      <c r="D199" s="35" t="s">
        <v>59</v>
      </c>
      <c r="E199" s="1">
        <v>289</v>
      </c>
      <c r="F199" s="1">
        <v>285</v>
      </c>
      <c r="G199" s="67">
        <v>0.10305343511450382</v>
      </c>
      <c r="H199" s="67">
        <v>0.12204724409448819</v>
      </c>
      <c r="I199" s="1">
        <v>4739</v>
      </c>
      <c r="J199" s="1">
        <v>4524</v>
      </c>
      <c r="K199" s="1">
        <v>54419</v>
      </c>
      <c r="L199" s="1">
        <v>52347</v>
      </c>
      <c r="M199" s="18">
        <v>0.93</v>
      </c>
      <c r="N199" s="18">
        <v>0.01</v>
      </c>
      <c r="O199" s="18">
        <v>0.99</v>
      </c>
      <c r="P199" s="18">
        <v>0.65</v>
      </c>
      <c r="Q199" s="22">
        <v>1</v>
      </c>
      <c r="R199" s="230">
        <v>0</v>
      </c>
      <c r="S199" s="230">
        <v>0</v>
      </c>
      <c r="T199" s="240">
        <v>0</v>
      </c>
      <c r="U199" s="245" t="str">
        <f t="shared" si="14"/>
        <v>Normal</v>
      </c>
      <c r="V199" s="245" t="str">
        <f t="shared" si="15"/>
        <v>Normal</v>
      </c>
      <c r="W199" s="87">
        <f t="shared" si="16"/>
        <v>0.10305343511450382</v>
      </c>
      <c r="X199" s="87">
        <f t="shared" si="17"/>
        <v>0.12204724409448819</v>
      </c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</row>
    <row r="200" spans="1:36">
      <c r="A200" s="23">
        <v>44850</v>
      </c>
      <c r="B200" s="121">
        <f>IF(YEAR(Table9[[#This Row],[Date]]) = 2022, WEEKNUM(Table9[[#This Row],[Date]])-13, WEEKNUM(Table9[[#This Row],[Date]])+40)</f>
        <v>30</v>
      </c>
      <c r="C200" s="35" t="s">
        <v>47</v>
      </c>
      <c r="D200" s="35" t="s">
        <v>59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22">
        <v>0</v>
      </c>
      <c r="R200" s="230">
        <v>0</v>
      </c>
      <c r="S200" s="230">
        <v>0</v>
      </c>
      <c r="T200" s="240">
        <v>0</v>
      </c>
      <c r="U200" s="245" t="str">
        <f t="shared" si="14"/>
        <v>Normal</v>
      </c>
      <c r="V200" s="245" t="str">
        <f t="shared" si="15"/>
        <v>Normal</v>
      </c>
      <c r="W200" s="87">
        <f t="shared" si="16"/>
        <v>0</v>
      </c>
      <c r="X200" s="87">
        <f t="shared" si="17"/>
        <v>0</v>
      </c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</row>
    <row r="201" spans="1:36">
      <c r="A201" s="23">
        <v>44851</v>
      </c>
      <c r="B201" s="121">
        <f>IF(YEAR(Table9[[#This Row],[Date]]) = 2022, WEEKNUM(Table9[[#This Row],[Date]])-13, WEEKNUM(Table9[[#This Row],[Date]])+40)</f>
        <v>30</v>
      </c>
      <c r="C201" s="35" t="s">
        <v>48</v>
      </c>
      <c r="D201" s="35" t="s">
        <v>59</v>
      </c>
      <c r="E201" s="1">
        <v>545</v>
      </c>
      <c r="F201" s="1">
        <v>512</v>
      </c>
      <c r="G201" s="67">
        <v>0</v>
      </c>
      <c r="H201" s="67">
        <v>0</v>
      </c>
      <c r="I201" s="1">
        <v>5284</v>
      </c>
      <c r="J201" s="1">
        <v>5036</v>
      </c>
      <c r="K201" s="1">
        <v>54964</v>
      </c>
      <c r="L201" s="1">
        <v>52859</v>
      </c>
      <c r="M201" s="18">
        <v>0.78</v>
      </c>
      <c r="N201" s="18">
        <v>0.06</v>
      </c>
      <c r="O201" s="18">
        <v>0.94</v>
      </c>
      <c r="P201" s="18">
        <v>0.83</v>
      </c>
      <c r="Q201" s="22">
        <v>1</v>
      </c>
      <c r="R201" s="230">
        <v>0</v>
      </c>
      <c r="S201" s="230">
        <v>0</v>
      </c>
      <c r="T201" s="240">
        <v>0</v>
      </c>
      <c r="U201" s="245" t="str">
        <f t="shared" si="14"/>
        <v>Normal</v>
      </c>
      <c r="V201" s="245" t="str">
        <f t="shared" si="15"/>
        <v>Normal</v>
      </c>
      <c r="W201" s="87">
        <f t="shared" si="16"/>
        <v>0</v>
      </c>
      <c r="X201" s="87">
        <f t="shared" si="17"/>
        <v>0</v>
      </c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</row>
    <row r="202" spans="1:36">
      <c r="A202" s="23">
        <v>44852</v>
      </c>
      <c r="B202" s="121">
        <f>IF(YEAR(Table9[[#This Row],[Date]]) = 2022, WEEKNUM(Table9[[#This Row],[Date]])-13, WEEKNUM(Table9[[#This Row],[Date]])+40)</f>
        <v>30</v>
      </c>
      <c r="C202" s="35" t="s">
        <v>49</v>
      </c>
      <c r="D202" s="35" t="s">
        <v>59</v>
      </c>
      <c r="E202" s="1">
        <v>490</v>
      </c>
      <c r="F202" s="1">
        <v>449</v>
      </c>
      <c r="G202" s="67">
        <v>0.14754098360655737</v>
      </c>
      <c r="H202" s="67">
        <v>0.11138613861386139</v>
      </c>
      <c r="I202" s="1">
        <v>5774</v>
      </c>
      <c r="J202" s="1">
        <v>5485</v>
      </c>
      <c r="K202" s="1">
        <v>55454</v>
      </c>
      <c r="L202" s="1">
        <v>53308</v>
      </c>
      <c r="M202" s="18">
        <v>0.8</v>
      </c>
      <c r="N202" s="18">
        <v>0.08</v>
      </c>
      <c r="O202" s="18">
        <v>0.92</v>
      </c>
      <c r="P202" s="18">
        <v>0.73</v>
      </c>
      <c r="Q202" s="22">
        <v>1</v>
      </c>
      <c r="R202" s="230">
        <v>0</v>
      </c>
      <c r="S202" s="230">
        <v>0</v>
      </c>
      <c r="T202" s="240">
        <v>0</v>
      </c>
      <c r="U202" s="245" t="str">
        <f t="shared" si="14"/>
        <v>Normal</v>
      </c>
      <c r="V202" s="245" t="str">
        <f t="shared" si="15"/>
        <v>Normal</v>
      </c>
      <c r="W202" s="87">
        <f t="shared" si="16"/>
        <v>0.14754098360655737</v>
      </c>
      <c r="X202" s="87">
        <f t="shared" si="17"/>
        <v>0.11138613861386139</v>
      </c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</row>
    <row r="203" spans="1:36">
      <c r="A203" s="23">
        <v>44853</v>
      </c>
      <c r="B203" s="121">
        <f>IF(YEAR(Table9[[#This Row],[Date]]) = 2022, WEEKNUM(Table9[[#This Row],[Date]])-13, WEEKNUM(Table9[[#This Row],[Date]])+40)</f>
        <v>30</v>
      </c>
      <c r="C203" s="35" t="s">
        <v>50</v>
      </c>
      <c r="D203" s="35" t="s">
        <v>59</v>
      </c>
      <c r="E203" s="1">
        <v>591</v>
      </c>
      <c r="F203" s="1">
        <v>542</v>
      </c>
      <c r="G203" s="67">
        <v>0.29039301310043669</v>
      </c>
      <c r="H203" s="67">
        <v>0.22624434389140272</v>
      </c>
      <c r="I203" s="1">
        <v>6365</v>
      </c>
      <c r="J203" s="1">
        <v>6027</v>
      </c>
      <c r="K203" s="1">
        <v>56045</v>
      </c>
      <c r="L203" s="1">
        <v>53850</v>
      </c>
      <c r="M203" s="18">
        <v>0.73</v>
      </c>
      <c r="N203" s="18">
        <v>0.08</v>
      </c>
      <c r="O203" s="18">
        <v>0.92</v>
      </c>
      <c r="P203" s="18">
        <v>0.86</v>
      </c>
      <c r="Q203" s="22">
        <v>1</v>
      </c>
      <c r="R203" s="230">
        <v>0</v>
      </c>
      <c r="S203" s="230">
        <v>0</v>
      </c>
      <c r="T203" s="240">
        <v>0</v>
      </c>
      <c r="U203" s="245" t="str">
        <f t="shared" si="14"/>
        <v>Normal</v>
      </c>
      <c r="V203" s="245" t="str">
        <f t="shared" si="15"/>
        <v>Normal</v>
      </c>
      <c r="W203" s="87">
        <f t="shared" si="16"/>
        <v>0.29039301310043669</v>
      </c>
      <c r="X203" s="87">
        <f t="shared" si="17"/>
        <v>0.22624434389140272</v>
      </c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</row>
    <row r="204" spans="1:36">
      <c r="A204" s="23">
        <v>44854</v>
      </c>
      <c r="B204" s="121">
        <f>IF(YEAR(Table9[[#This Row],[Date]]) = 2022, WEEKNUM(Table9[[#This Row],[Date]])-13, WEEKNUM(Table9[[#This Row],[Date]])+40)</f>
        <v>30</v>
      </c>
      <c r="C204" s="35" t="s">
        <v>51</v>
      </c>
      <c r="D204" s="35" t="s">
        <v>59</v>
      </c>
      <c r="E204" s="1">
        <v>477</v>
      </c>
      <c r="F204" s="1">
        <v>438</v>
      </c>
      <c r="G204" s="67">
        <v>-3.6363636363636362E-2</v>
      </c>
      <c r="H204" s="67">
        <v>-7.0063694267515922E-2</v>
      </c>
      <c r="I204" s="1">
        <v>6842</v>
      </c>
      <c r="J204" s="1">
        <v>6465</v>
      </c>
      <c r="K204" s="1">
        <v>56522</v>
      </c>
      <c r="L204" s="1">
        <v>54288</v>
      </c>
      <c r="M204" s="18">
        <v>0.76</v>
      </c>
      <c r="N204" s="18">
        <v>0.08</v>
      </c>
      <c r="O204" s="18">
        <v>0.92</v>
      </c>
      <c r="P204" s="18">
        <v>0.86</v>
      </c>
      <c r="Q204" s="22">
        <v>1</v>
      </c>
      <c r="R204" s="230">
        <v>0</v>
      </c>
      <c r="S204" s="230">
        <v>0</v>
      </c>
      <c r="T204" s="240">
        <v>0</v>
      </c>
      <c r="U204" s="245" t="str">
        <f t="shared" si="14"/>
        <v>Normal</v>
      </c>
      <c r="V204" s="245" t="str">
        <f t="shared" si="15"/>
        <v>Normal</v>
      </c>
      <c r="W204" s="87">
        <f t="shared" si="16"/>
        <v>-3.6363636363636362E-2</v>
      </c>
      <c r="X204" s="87">
        <f t="shared" si="17"/>
        <v>-7.0063694267515922E-2</v>
      </c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</row>
    <row r="205" spans="1:36">
      <c r="A205" s="23">
        <v>44855</v>
      </c>
      <c r="B205" s="121">
        <f>IF(YEAR(Table9[[#This Row],[Date]]) = 2022, WEEKNUM(Table9[[#This Row],[Date]])-13, WEEKNUM(Table9[[#This Row],[Date]])+40)</f>
        <v>30</v>
      </c>
      <c r="C205" s="35" t="s">
        <v>52</v>
      </c>
      <c r="D205" s="35" t="s">
        <v>59</v>
      </c>
      <c r="E205" s="1">
        <v>317</v>
      </c>
      <c r="F205" s="1">
        <v>305</v>
      </c>
      <c r="G205" s="67">
        <v>-0.35959595959595958</v>
      </c>
      <c r="H205" s="67">
        <v>-0.35244161358811038</v>
      </c>
      <c r="I205" s="1">
        <v>7159</v>
      </c>
      <c r="J205" s="1">
        <v>6770</v>
      </c>
      <c r="K205" s="1">
        <v>56839</v>
      </c>
      <c r="L205" s="1">
        <v>54593</v>
      </c>
      <c r="M205" s="18">
        <v>0.89</v>
      </c>
      <c r="N205" s="18">
        <v>0.04</v>
      </c>
      <c r="O205" s="18">
        <v>0.96</v>
      </c>
      <c r="P205" s="18">
        <v>0.65</v>
      </c>
      <c r="Q205" s="22">
        <v>1</v>
      </c>
      <c r="R205" s="230">
        <v>0</v>
      </c>
      <c r="S205" s="230">
        <v>0</v>
      </c>
      <c r="T205" s="240">
        <v>0</v>
      </c>
      <c r="U205" s="245" t="str">
        <f t="shared" si="14"/>
        <v>Normal</v>
      </c>
      <c r="V205" s="245" t="str">
        <f t="shared" si="15"/>
        <v>Normal</v>
      </c>
      <c r="W205" s="87">
        <f t="shared" si="16"/>
        <v>-0.35959595959595958</v>
      </c>
      <c r="X205" s="87">
        <f t="shared" si="17"/>
        <v>-0.35244161358811038</v>
      </c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</row>
    <row r="206" spans="1:36">
      <c r="A206" s="23">
        <v>44856</v>
      </c>
      <c r="B206" s="121">
        <f>IF(YEAR(Table9[[#This Row],[Date]]) = 2022, WEEKNUM(Table9[[#This Row],[Date]])-13, WEEKNUM(Table9[[#This Row],[Date]])+40)</f>
        <v>30</v>
      </c>
      <c r="C206" s="35" t="s">
        <v>53</v>
      </c>
      <c r="D206" s="35" t="s">
        <v>59</v>
      </c>
      <c r="E206" s="1">
        <v>349</v>
      </c>
      <c r="F206" s="1">
        <v>337</v>
      </c>
      <c r="G206" s="67">
        <v>0.20761245674740483</v>
      </c>
      <c r="H206" s="67">
        <v>0.18245614035087721</v>
      </c>
      <c r="I206" s="1">
        <v>7508</v>
      </c>
      <c r="J206" s="1">
        <v>7107</v>
      </c>
      <c r="K206" s="1">
        <v>57188</v>
      </c>
      <c r="L206" s="1">
        <v>54930</v>
      </c>
      <c r="M206" s="18">
        <v>0.89</v>
      </c>
      <c r="N206" s="18">
        <v>0.03</v>
      </c>
      <c r="O206" s="18">
        <v>0.97</v>
      </c>
      <c r="P206" s="18">
        <v>0.67</v>
      </c>
      <c r="Q206" s="22">
        <v>1</v>
      </c>
      <c r="R206" s="230">
        <v>0</v>
      </c>
      <c r="S206" s="230">
        <v>0</v>
      </c>
      <c r="T206" s="240">
        <v>0</v>
      </c>
      <c r="U206" s="245" t="str">
        <f t="shared" si="14"/>
        <v>Normal</v>
      </c>
      <c r="V206" s="245" t="str">
        <f t="shared" si="15"/>
        <v>Normal</v>
      </c>
      <c r="W206" s="87">
        <f t="shared" si="16"/>
        <v>0.20761245674740483</v>
      </c>
      <c r="X206" s="87">
        <f t="shared" si="17"/>
        <v>0.18245614035087721</v>
      </c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</row>
    <row r="207" spans="1:36">
      <c r="A207" s="23">
        <v>44857</v>
      </c>
      <c r="B207" s="121">
        <f>IF(YEAR(Table9[[#This Row],[Date]]) = 2022, WEEKNUM(Table9[[#This Row],[Date]])-13, WEEKNUM(Table9[[#This Row],[Date]])+40)</f>
        <v>31</v>
      </c>
      <c r="C207" s="35" t="s">
        <v>47</v>
      </c>
      <c r="D207" s="35" t="s">
        <v>59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8">
        <v>0</v>
      </c>
      <c r="N207" s="18">
        <v>0</v>
      </c>
      <c r="O207" s="18">
        <v>0</v>
      </c>
      <c r="P207" s="18">
        <v>0</v>
      </c>
      <c r="Q207" s="22">
        <v>0</v>
      </c>
      <c r="R207" s="230">
        <v>0</v>
      </c>
      <c r="S207" s="230">
        <v>0</v>
      </c>
      <c r="T207" s="240">
        <v>0</v>
      </c>
      <c r="U207" s="245" t="str">
        <f t="shared" si="14"/>
        <v>Normal</v>
      </c>
      <c r="V207" s="245" t="str">
        <f t="shared" si="15"/>
        <v>Normal</v>
      </c>
      <c r="W207" s="87">
        <f t="shared" si="16"/>
        <v>0</v>
      </c>
      <c r="X207" s="87">
        <f t="shared" si="17"/>
        <v>0</v>
      </c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</row>
    <row r="208" spans="1:36">
      <c r="A208" s="23">
        <v>44858</v>
      </c>
      <c r="B208" s="121">
        <f>IF(YEAR(Table9[[#This Row],[Date]]) = 2022, WEEKNUM(Table9[[#This Row],[Date]])-13, WEEKNUM(Table9[[#This Row],[Date]])+40)</f>
        <v>31</v>
      </c>
      <c r="C208" s="35" t="s">
        <v>63</v>
      </c>
      <c r="D208" s="35" t="s">
        <v>59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8">
        <v>0</v>
      </c>
      <c r="N208" s="18">
        <v>0</v>
      </c>
      <c r="O208" s="18">
        <v>0</v>
      </c>
      <c r="P208" s="18">
        <v>0</v>
      </c>
      <c r="Q208" s="22">
        <v>0</v>
      </c>
      <c r="R208" s="230">
        <v>0</v>
      </c>
      <c r="S208" s="230">
        <v>0</v>
      </c>
      <c r="T208" s="240">
        <v>0</v>
      </c>
      <c r="U208" s="245" t="str">
        <f t="shared" si="14"/>
        <v>Normal</v>
      </c>
      <c r="V208" s="245" t="str">
        <f t="shared" si="15"/>
        <v>Normal</v>
      </c>
      <c r="W208" s="87">
        <f t="shared" si="16"/>
        <v>0</v>
      </c>
      <c r="X208" s="87">
        <f t="shared" si="17"/>
        <v>0</v>
      </c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</row>
    <row r="209" spans="1:39">
      <c r="A209" s="23">
        <v>44859</v>
      </c>
      <c r="B209" s="121">
        <f>IF(YEAR(Table9[[#This Row],[Date]]) = 2022, WEEKNUM(Table9[[#This Row],[Date]])-13, WEEKNUM(Table9[[#This Row],[Date]])+40)</f>
        <v>31</v>
      </c>
      <c r="C209" s="35" t="s">
        <v>49</v>
      </c>
      <c r="D209" s="35" t="s">
        <v>59</v>
      </c>
      <c r="E209" s="1">
        <v>527</v>
      </c>
      <c r="F209" s="1">
        <v>497</v>
      </c>
      <c r="G209" s="67">
        <v>7.5510204081632656E-2</v>
      </c>
      <c r="H209" s="67">
        <v>0.10690423162583519</v>
      </c>
      <c r="I209" s="1">
        <v>8035</v>
      </c>
      <c r="J209" s="1">
        <v>7604</v>
      </c>
      <c r="K209" s="1">
        <v>57715</v>
      </c>
      <c r="L209" s="1">
        <v>55427</v>
      </c>
      <c r="M209" s="18">
        <v>0.81</v>
      </c>
      <c r="N209" s="18">
        <v>0.06</v>
      </c>
      <c r="O209" s="18">
        <v>0.94</v>
      </c>
      <c r="P209" s="18">
        <v>0.97</v>
      </c>
      <c r="Q209" s="22">
        <v>0.99</v>
      </c>
      <c r="R209" s="230">
        <v>0</v>
      </c>
      <c r="S209" s="230">
        <v>0</v>
      </c>
      <c r="T209" s="240">
        <v>0</v>
      </c>
      <c r="U209" s="245" t="str">
        <f t="shared" si="14"/>
        <v>Normal</v>
      </c>
      <c r="V209" s="245" t="str">
        <f t="shared" si="15"/>
        <v>Normal</v>
      </c>
      <c r="W209" s="87">
        <f t="shared" si="16"/>
        <v>7.5510204081632656E-2</v>
      </c>
      <c r="X209" s="87">
        <f t="shared" si="17"/>
        <v>0.10690423162583519</v>
      </c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</row>
    <row r="210" spans="1:39">
      <c r="A210" s="23">
        <v>44860</v>
      </c>
      <c r="B210" s="121">
        <f>IF(YEAR(Table9[[#This Row],[Date]]) = 2022, WEEKNUM(Table9[[#This Row],[Date]])-13, WEEKNUM(Table9[[#This Row],[Date]])+40)</f>
        <v>31</v>
      </c>
      <c r="C210" s="35" t="s">
        <v>50</v>
      </c>
      <c r="D210" s="35" t="s">
        <v>59</v>
      </c>
      <c r="E210" s="1">
        <v>462</v>
      </c>
      <c r="F210" s="1">
        <v>443</v>
      </c>
      <c r="G210" s="67">
        <v>-0.21827411167512689</v>
      </c>
      <c r="H210" s="67">
        <v>-0.18265682656826568</v>
      </c>
      <c r="I210" s="1">
        <v>8497</v>
      </c>
      <c r="J210" s="1">
        <v>8047</v>
      </c>
      <c r="K210" s="1">
        <v>58177</v>
      </c>
      <c r="L210" s="1">
        <v>55870</v>
      </c>
      <c r="M210" s="18">
        <v>0.82</v>
      </c>
      <c r="N210" s="18">
        <v>0.04</v>
      </c>
      <c r="O210" s="18">
        <v>0.96</v>
      </c>
      <c r="P210" s="18">
        <v>0.7</v>
      </c>
      <c r="Q210" s="22">
        <v>1</v>
      </c>
      <c r="R210" s="230">
        <v>0</v>
      </c>
      <c r="S210" s="230">
        <v>0</v>
      </c>
      <c r="T210" s="240">
        <v>0</v>
      </c>
      <c r="U210" s="245" t="str">
        <f t="shared" si="14"/>
        <v>Normal</v>
      </c>
      <c r="V210" s="245" t="str">
        <f t="shared" si="15"/>
        <v>Normal</v>
      </c>
      <c r="W210" s="87">
        <f t="shared" si="16"/>
        <v>-0.21827411167512689</v>
      </c>
      <c r="X210" s="87">
        <f t="shared" si="17"/>
        <v>-0.18265682656826568</v>
      </c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</row>
    <row r="211" spans="1:39">
      <c r="A211" s="23">
        <v>44861</v>
      </c>
      <c r="B211" s="121">
        <f>IF(YEAR(Table9[[#This Row],[Date]]) = 2022, WEEKNUM(Table9[[#This Row],[Date]])-13, WEEKNUM(Table9[[#This Row],[Date]])+40)</f>
        <v>31</v>
      </c>
      <c r="C211" s="35" t="s">
        <v>51</v>
      </c>
      <c r="D211" s="35" t="s">
        <v>59</v>
      </c>
      <c r="E211" s="1">
        <v>520</v>
      </c>
      <c r="F211" s="1">
        <v>499</v>
      </c>
      <c r="G211" s="67">
        <v>9.0146750524109018E-2</v>
      </c>
      <c r="H211" s="67">
        <v>0.13926940639269406</v>
      </c>
      <c r="I211" s="1">
        <v>9017</v>
      </c>
      <c r="J211" s="1">
        <v>8546</v>
      </c>
      <c r="K211" s="1">
        <v>58697</v>
      </c>
      <c r="L211" s="1">
        <v>56369</v>
      </c>
      <c r="M211" s="18">
        <v>0.85</v>
      </c>
      <c r="N211" s="18">
        <v>0.04</v>
      </c>
      <c r="O211" s="18">
        <v>0.96</v>
      </c>
      <c r="P211" s="18">
        <v>0.89</v>
      </c>
      <c r="Q211" s="22">
        <v>1</v>
      </c>
      <c r="R211" s="230">
        <v>0</v>
      </c>
      <c r="S211" s="230">
        <v>0</v>
      </c>
      <c r="T211" s="240">
        <v>0</v>
      </c>
      <c r="U211" s="245" t="str">
        <f t="shared" si="14"/>
        <v>Normal</v>
      </c>
      <c r="V211" s="245" t="str">
        <f t="shared" si="15"/>
        <v>Normal</v>
      </c>
      <c r="W211" s="87">
        <f t="shared" si="16"/>
        <v>9.0146750524109018E-2</v>
      </c>
      <c r="X211" s="87">
        <f t="shared" si="17"/>
        <v>0.13926940639269406</v>
      </c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</row>
    <row r="212" spans="1:39">
      <c r="A212" s="23">
        <v>44862</v>
      </c>
      <c r="B212" s="121">
        <f>IF(YEAR(Table9[[#This Row],[Date]]) = 2022, WEEKNUM(Table9[[#This Row],[Date]])-13, WEEKNUM(Table9[[#This Row],[Date]])+40)</f>
        <v>31</v>
      </c>
      <c r="C212" s="35" t="s">
        <v>52</v>
      </c>
      <c r="D212" s="35" t="s">
        <v>59</v>
      </c>
      <c r="E212" s="1">
        <v>451</v>
      </c>
      <c r="F212" s="1">
        <v>430</v>
      </c>
      <c r="G212" s="67">
        <v>0.4227129337539432</v>
      </c>
      <c r="H212" s="67">
        <v>0.4098360655737705</v>
      </c>
      <c r="I212" s="1">
        <v>9468</v>
      </c>
      <c r="J212" s="1">
        <v>8976</v>
      </c>
      <c r="K212" s="1">
        <v>59148</v>
      </c>
      <c r="L212" s="1">
        <v>56799</v>
      </c>
      <c r="M212" s="18">
        <v>0.81</v>
      </c>
      <c r="N212" s="18">
        <v>0.05</v>
      </c>
      <c r="O212" s="18">
        <v>0.95</v>
      </c>
      <c r="P212" s="18">
        <v>0.72</v>
      </c>
      <c r="Q212" s="22">
        <v>1</v>
      </c>
      <c r="R212" s="230">
        <v>0</v>
      </c>
      <c r="S212" s="230">
        <v>0</v>
      </c>
      <c r="T212" s="240">
        <v>0</v>
      </c>
      <c r="U212" s="245" t="str">
        <f t="shared" si="14"/>
        <v>Normal</v>
      </c>
      <c r="V212" s="245" t="str">
        <f t="shared" si="15"/>
        <v>Normal</v>
      </c>
      <c r="W212" s="87">
        <f t="shared" si="16"/>
        <v>0.4227129337539432</v>
      </c>
      <c r="X212" s="87">
        <f t="shared" si="17"/>
        <v>0.4098360655737705</v>
      </c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</row>
    <row r="213" spans="1:39">
      <c r="A213" s="23">
        <v>44863</v>
      </c>
      <c r="B213" s="121">
        <f>IF(YEAR(Table9[[#This Row],[Date]]) = 2022, WEEKNUM(Table9[[#This Row],[Date]])-13, WEEKNUM(Table9[[#This Row],[Date]])+40)</f>
        <v>31</v>
      </c>
      <c r="C213" s="35" t="s">
        <v>53</v>
      </c>
      <c r="D213" s="35" t="s">
        <v>59</v>
      </c>
      <c r="E213" s="1">
        <v>331</v>
      </c>
      <c r="F213" s="1">
        <v>315</v>
      </c>
      <c r="G213" s="67">
        <v>-5.1575931232091692E-2</v>
      </c>
      <c r="H213" s="67">
        <v>-6.5281899109792291E-2</v>
      </c>
      <c r="I213" s="1">
        <v>9799</v>
      </c>
      <c r="J213" s="1">
        <v>9291</v>
      </c>
      <c r="K213" s="1">
        <v>59479</v>
      </c>
      <c r="L213" s="1">
        <v>57114</v>
      </c>
      <c r="M213" s="18">
        <v>0.87</v>
      </c>
      <c r="N213" s="18">
        <v>0.05</v>
      </c>
      <c r="O213" s="18">
        <v>0.95</v>
      </c>
      <c r="P213" s="18">
        <v>0.71</v>
      </c>
      <c r="Q213" s="22">
        <v>1</v>
      </c>
      <c r="R213" s="230">
        <v>0</v>
      </c>
      <c r="S213" s="230">
        <v>0</v>
      </c>
      <c r="T213" s="240">
        <v>0</v>
      </c>
      <c r="U213" s="245" t="str">
        <f t="shared" si="14"/>
        <v>Normal</v>
      </c>
      <c r="V213" s="245" t="str">
        <f t="shared" si="15"/>
        <v>Normal</v>
      </c>
      <c r="W213" s="87">
        <f t="shared" si="16"/>
        <v>-5.1575931232091692E-2</v>
      </c>
      <c r="X213" s="87">
        <f t="shared" si="17"/>
        <v>-6.5281899109792291E-2</v>
      </c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</row>
    <row r="214" spans="1:39">
      <c r="A214" s="23">
        <v>44864</v>
      </c>
      <c r="B214" s="121">
        <f>IF(YEAR(Table9[[#This Row],[Date]]) = 2022, WEEKNUM(Table9[[#This Row],[Date]])-13, WEEKNUM(Table9[[#This Row],[Date]])+40)</f>
        <v>32</v>
      </c>
      <c r="C214" s="35" t="s">
        <v>47</v>
      </c>
      <c r="D214" s="35" t="s">
        <v>59</v>
      </c>
      <c r="E214" s="1">
        <v>0</v>
      </c>
      <c r="F214" s="1">
        <v>0</v>
      </c>
      <c r="G214" s="67">
        <v>0</v>
      </c>
      <c r="H214" s="67">
        <v>0</v>
      </c>
      <c r="I214" s="1">
        <v>0</v>
      </c>
      <c r="J214" s="1">
        <v>0</v>
      </c>
      <c r="K214" s="1">
        <v>0</v>
      </c>
      <c r="L214" s="1">
        <v>0</v>
      </c>
      <c r="M214" s="18">
        <v>0</v>
      </c>
      <c r="N214" s="18">
        <v>0</v>
      </c>
      <c r="O214" s="18">
        <v>0</v>
      </c>
      <c r="P214" s="18">
        <v>0</v>
      </c>
      <c r="Q214" s="22">
        <v>0</v>
      </c>
      <c r="R214" s="230">
        <v>0</v>
      </c>
      <c r="S214" s="230">
        <v>0</v>
      </c>
      <c r="T214" s="240">
        <v>0</v>
      </c>
      <c r="U214" s="245" t="str">
        <f t="shared" si="14"/>
        <v>Normal</v>
      </c>
      <c r="V214" s="245" t="str">
        <f t="shared" si="15"/>
        <v>Normal</v>
      </c>
      <c r="W214" s="87">
        <f t="shared" si="16"/>
        <v>0</v>
      </c>
      <c r="X214" s="87">
        <f t="shared" si="17"/>
        <v>0</v>
      </c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</row>
    <row r="215" spans="1:39" s="50" customFormat="1">
      <c r="A215" s="104">
        <v>44865</v>
      </c>
      <c r="B215" s="304">
        <f>IF(YEAR(Table9[[#This Row],[Date]]) = 2022, WEEKNUM(Table9[[#This Row],[Date]])-13, WEEKNUM(Table9[[#This Row],[Date]])+40)</f>
        <v>32</v>
      </c>
      <c r="C215" s="51" t="s">
        <v>48</v>
      </c>
      <c r="D215" s="51" t="s">
        <v>59</v>
      </c>
      <c r="E215" s="52">
        <v>559</v>
      </c>
      <c r="F215" s="52">
        <v>476</v>
      </c>
      <c r="G215" s="81">
        <v>0</v>
      </c>
      <c r="H215" s="81">
        <v>0</v>
      </c>
      <c r="I215" s="52">
        <v>10358</v>
      </c>
      <c r="J215" s="52">
        <v>9767</v>
      </c>
      <c r="K215" s="52">
        <v>60038</v>
      </c>
      <c r="L215" s="52">
        <v>57590</v>
      </c>
      <c r="M215" s="53">
        <v>0.82</v>
      </c>
      <c r="N215" s="53">
        <v>0.05</v>
      </c>
      <c r="O215" s="53">
        <v>0.95</v>
      </c>
      <c r="P215" s="53">
        <v>0.96</v>
      </c>
      <c r="Q215" s="105">
        <v>1</v>
      </c>
      <c r="R215" s="230">
        <v>0</v>
      </c>
      <c r="S215" s="230">
        <v>0</v>
      </c>
      <c r="T215" s="242">
        <v>0</v>
      </c>
      <c r="U215" s="245" t="str">
        <f t="shared" si="14"/>
        <v>Normal</v>
      </c>
      <c r="V215" s="245" t="str">
        <f t="shared" si="15"/>
        <v>Normal</v>
      </c>
      <c r="W215" s="87">
        <f t="shared" si="16"/>
        <v>0</v>
      </c>
      <c r="X215" s="87">
        <f t="shared" si="17"/>
        <v>0</v>
      </c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/>
      <c r="AL215"/>
      <c r="AM215"/>
    </row>
    <row r="216" spans="1:39">
      <c r="A216" s="23">
        <v>44866</v>
      </c>
      <c r="B216" s="121">
        <f>IF(YEAR(Table9[[#This Row],[Date]]) = 2022, WEEKNUM(Table9[[#This Row],[Date]])-13, WEEKNUM(Table9[[#This Row],[Date]])+40)</f>
        <v>32</v>
      </c>
      <c r="C216" s="35" t="s">
        <v>49</v>
      </c>
      <c r="D216" s="35" t="s">
        <v>59</v>
      </c>
      <c r="E216" s="1">
        <v>476</v>
      </c>
      <c r="F216" s="1">
        <v>453</v>
      </c>
      <c r="G216" s="67">
        <v>-9.6774193548387094E-2</v>
      </c>
      <c r="H216" s="67">
        <v>-8.8531187122736416E-2</v>
      </c>
      <c r="I216" s="1">
        <v>476</v>
      </c>
      <c r="J216" s="1">
        <v>453</v>
      </c>
      <c r="K216" s="1">
        <v>59955</v>
      </c>
      <c r="L216" s="1">
        <v>57567</v>
      </c>
      <c r="M216" s="18">
        <v>0.83</v>
      </c>
      <c r="N216" s="18">
        <v>0.05</v>
      </c>
      <c r="O216" s="18">
        <v>0.95</v>
      </c>
      <c r="P216" s="18">
        <v>0.65</v>
      </c>
      <c r="Q216" s="22">
        <v>1</v>
      </c>
      <c r="R216" s="230">
        <v>0</v>
      </c>
      <c r="S216" s="230">
        <v>0</v>
      </c>
      <c r="T216" s="240">
        <v>0</v>
      </c>
      <c r="U216" s="245" t="str">
        <f t="shared" si="14"/>
        <v>Normal</v>
      </c>
      <c r="V216" s="245" t="str">
        <f t="shared" si="15"/>
        <v>Normal</v>
      </c>
      <c r="W216" s="87">
        <f t="shared" si="16"/>
        <v>-9.6774193548387094E-2</v>
      </c>
      <c r="X216" s="87">
        <f t="shared" si="17"/>
        <v>-8.8531187122736416E-2</v>
      </c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</row>
    <row r="217" spans="1:39">
      <c r="A217" s="23">
        <v>44867</v>
      </c>
      <c r="B217" s="121">
        <f>IF(YEAR(Table9[[#This Row],[Date]]) = 2022, WEEKNUM(Table9[[#This Row],[Date]])-13, WEEKNUM(Table9[[#This Row],[Date]])+40)</f>
        <v>32</v>
      </c>
      <c r="C217" s="35" t="s">
        <v>50</v>
      </c>
      <c r="D217" s="35" t="s">
        <v>59</v>
      </c>
      <c r="E217" s="1">
        <v>634</v>
      </c>
      <c r="F217" s="1">
        <v>569</v>
      </c>
      <c r="G217" s="67">
        <v>0.37229437229437229</v>
      </c>
      <c r="H217" s="67">
        <v>0.28442437923250563</v>
      </c>
      <c r="I217" s="1">
        <v>1110</v>
      </c>
      <c r="J217" s="1">
        <v>1022</v>
      </c>
      <c r="K217" s="1">
        <v>60589</v>
      </c>
      <c r="L217" s="1">
        <v>58136</v>
      </c>
      <c r="M217" s="18">
        <v>0.71</v>
      </c>
      <c r="N217" s="18">
        <v>0.1</v>
      </c>
      <c r="O217" s="18">
        <v>0.9</v>
      </c>
      <c r="P217" s="18">
        <v>0.97</v>
      </c>
      <c r="Q217" s="22">
        <v>0.99</v>
      </c>
      <c r="R217" s="230">
        <v>0</v>
      </c>
      <c r="S217" s="230">
        <v>0</v>
      </c>
      <c r="T217" s="240">
        <v>0</v>
      </c>
      <c r="U217" s="245" t="str">
        <f t="shared" si="14"/>
        <v>Normal</v>
      </c>
      <c r="V217" s="245" t="str">
        <f t="shared" si="15"/>
        <v>Normal</v>
      </c>
      <c r="W217" s="87">
        <f t="shared" si="16"/>
        <v>0.37229437229437229</v>
      </c>
      <c r="X217" s="87">
        <f t="shared" si="17"/>
        <v>0.28442437923250563</v>
      </c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</row>
    <row r="218" spans="1:39">
      <c r="A218" s="23">
        <v>44868</v>
      </c>
      <c r="B218" s="121">
        <f>IF(YEAR(Table9[[#This Row],[Date]]) = 2022, WEEKNUM(Table9[[#This Row],[Date]])-13, WEEKNUM(Table9[[#This Row],[Date]])+40)</f>
        <v>32</v>
      </c>
      <c r="C218" s="35" t="s">
        <v>51</v>
      </c>
      <c r="D218" s="35" t="s">
        <v>59</v>
      </c>
      <c r="E218" s="1">
        <v>507</v>
      </c>
      <c r="F218" s="1">
        <v>479</v>
      </c>
      <c r="G218" s="67">
        <v>-2.5000000000000001E-2</v>
      </c>
      <c r="H218" s="67">
        <v>-4.0080160320641281E-2</v>
      </c>
      <c r="I218" s="1">
        <v>1617</v>
      </c>
      <c r="J218" s="1">
        <v>1501</v>
      </c>
      <c r="K218" s="1">
        <v>61096</v>
      </c>
      <c r="L218" s="1">
        <v>58615</v>
      </c>
      <c r="M218" s="18">
        <v>0.81</v>
      </c>
      <c r="N218" s="18">
        <v>0.06</v>
      </c>
      <c r="O218" s="18">
        <v>0.94</v>
      </c>
      <c r="P218" s="18">
        <v>0.84</v>
      </c>
      <c r="Q218" s="22">
        <v>0.99</v>
      </c>
      <c r="R218" s="230">
        <v>0</v>
      </c>
      <c r="S218" s="230">
        <v>0</v>
      </c>
      <c r="T218" s="240">
        <v>0</v>
      </c>
      <c r="U218" s="245" t="str">
        <f t="shared" si="14"/>
        <v>Normal</v>
      </c>
      <c r="V218" s="245" t="str">
        <f t="shared" si="15"/>
        <v>Normal</v>
      </c>
      <c r="W218" s="87">
        <f t="shared" si="16"/>
        <v>-2.5000000000000001E-2</v>
      </c>
      <c r="X218" s="87">
        <f t="shared" si="17"/>
        <v>-4.0080160320641281E-2</v>
      </c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</row>
    <row r="219" spans="1:39">
      <c r="A219" s="23">
        <v>44869</v>
      </c>
      <c r="B219" s="121">
        <f>IF(YEAR(Table9[[#This Row],[Date]]) = 2022, WEEKNUM(Table9[[#This Row],[Date]])-13, WEEKNUM(Table9[[#This Row],[Date]])+40)</f>
        <v>32</v>
      </c>
      <c r="C219" s="35" t="s">
        <v>52</v>
      </c>
      <c r="D219" s="35" t="s">
        <v>59</v>
      </c>
      <c r="E219" s="1">
        <v>458</v>
      </c>
      <c r="F219" s="1">
        <v>447</v>
      </c>
      <c r="G219" s="67">
        <v>1.5521064301552107E-2</v>
      </c>
      <c r="H219" s="67">
        <v>3.9534883720930232E-2</v>
      </c>
      <c r="I219" s="1">
        <v>2075</v>
      </c>
      <c r="J219" s="1">
        <v>1948</v>
      </c>
      <c r="K219" s="1">
        <v>61554</v>
      </c>
      <c r="L219" s="1">
        <v>59062</v>
      </c>
      <c r="M219" s="18">
        <v>0.93</v>
      </c>
      <c r="N219" s="18">
        <v>0.02</v>
      </c>
      <c r="O219" s="18">
        <v>0.98</v>
      </c>
      <c r="P219" s="18">
        <v>0.7</v>
      </c>
      <c r="Q219" s="22">
        <v>0.99</v>
      </c>
      <c r="R219" s="230">
        <v>0</v>
      </c>
      <c r="S219" s="230">
        <v>0</v>
      </c>
      <c r="T219" s="240">
        <v>0</v>
      </c>
      <c r="U219" s="245" t="str">
        <f t="shared" si="14"/>
        <v>Normal</v>
      </c>
      <c r="V219" s="245" t="str">
        <f t="shared" si="15"/>
        <v>Normal</v>
      </c>
      <c r="W219" s="87">
        <f t="shared" si="16"/>
        <v>1.5521064301552107E-2</v>
      </c>
      <c r="X219" s="87">
        <f t="shared" si="17"/>
        <v>3.9534883720930232E-2</v>
      </c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</row>
    <row r="220" spans="1:39">
      <c r="A220" s="23">
        <v>44870</v>
      </c>
      <c r="B220" s="121">
        <f>IF(YEAR(Table9[[#This Row],[Date]]) = 2022, WEEKNUM(Table9[[#This Row],[Date]])-13, WEEKNUM(Table9[[#This Row],[Date]])+40)</f>
        <v>32</v>
      </c>
      <c r="C220" s="35" t="s">
        <v>53</v>
      </c>
      <c r="D220" s="35" t="s">
        <v>59</v>
      </c>
      <c r="E220" s="1">
        <v>300</v>
      </c>
      <c r="F220" s="1">
        <v>298</v>
      </c>
      <c r="G220" s="67">
        <v>-9.3655589123867067E-2</v>
      </c>
      <c r="H220" s="67">
        <v>-5.3968253968253971E-2</v>
      </c>
      <c r="I220" s="1">
        <v>2375</v>
      </c>
      <c r="J220" s="1">
        <v>2246</v>
      </c>
      <c r="K220" s="1">
        <v>61854</v>
      </c>
      <c r="L220" s="1">
        <v>59360</v>
      </c>
      <c r="M220" s="18">
        <v>0.95</v>
      </c>
      <c r="N220" s="18">
        <v>0.01</v>
      </c>
      <c r="O220" s="18">
        <v>0.99</v>
      </c>
      <c r="P220" s="18">
        <v>0.65</v>
      </c>
      <c r="Q220" s="22">
        <v>1</v>
      </c>
      <c r="R220" s="230">
        <v>0</v>
      </c>
      <c r="S220" s="230">
        <v>0</v>
      </c>
      <c r="T220" s="240">
        <v>0</v>
      </c>
      <c r="U220" s="245" t="str">
        <f t="shared" si="14"/>
        <v>Normal</v>
      </c>
      <c r="V220" s="245" t="str">
        <f t="shared" si="15"/>
        <v>Normal</v>
      </c>
      <c r="W220" s="87">
        <f t="shared" si="16"/>
        <v>-9.3655589123867067E-2</v>
      </c>
      <c r="X220" s="87">
        <f t="shared" si="17"/>
        <v>-5.3968253968253971E-2</v>
      </c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</row>
    <row r="221" spans="1:39">
      <c r="A221" s="23">
        <v>44871</v>
      </c>
      <c r="B221" s="121">
        <f>IF(YEAR(Table9[[#This Row],[Date]]) = 2022, WEEKNUM(Table9[[#This Row],[Date]])-13, WEEKNUM(Table9[[#This Row],[Date]])+40)</f>
        <v>33</v>
      </c>
      <c r="C221" s="35" t="s">
        <v>47</v>
      </c>
      <c r="D221" s="35" t="s">
        <v>59</v>
      </c>
      <c r="E221" s="1">
        <v>90</v>
      </c>
      <c r="F221" s="1">
        <v>86</v>
      </c>
      <c r="G221" s="1">
        <v>0</v>
      </c>
      <c r="H221" s="1">
        <v>0</v>
      </c>
      <c r="I221" s="1">
        <v>2465</v>
      </c>
      <c r="J221" s="1">
        <v>2332</v>
      </c>
      <c r="K221" s="1">
        <v>61944</v>
      </c>
      <c r="L221" s="1">
        <v>59446</v>
      </c>
      <c r="M221" s="18">
        <v>0.9</v>
      </c>
      <c r="N221" s="18">
        <v>0.04</v>
      </c>
      <c r="O221" s="18">
        <v>0.96</v>
      </c>
      <c r="P221" s="18">
        <v>0.57999999999999996</v>
      </c>
      <c r="Q221" s="22">
        <v>1</v>
      </c>
      <c r="R221" s="230">
        <v>0</v>
      </c>
      <c r="S221" s="230">
        <v>0</v>
      </c>
      <c r="T221" s="240">
        <v>0</v>
      </c>
      <c r="U221" s="245" t="str">
        <f t="shared" si="14"/>
        <v>Normal</v>
      </c>
      <c r="V221" s="245" t="str">
        <f t="shared" si="15"/>
        <v>Normal</v>
      </c>
      <c r="W221" s="87">
        <f t="shared" si="16"/>
        <v>0</v>
      </c>
      <c r="X221" s="87">
        <f t="shared" si="17"/>
        <v>0</v>
      </c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</row>
    <row r="222" spans="1:39">
      <c r="A222" s="23">
        <v>44872</v>
      </c>
      <c r="B222" s="121">
        <f>IF(YEAR(Table9[[#This Row],[Date]]) = 2022, WEEKNUM(Table9[[#This Row],[Date]])-13, WEEKNUM(Table9[[#This Row],[Date]])+40)</f>
        <v>33</v>
      </c>
      <c r="C222" s="35" t="s">
        <v>48</v>
      </c>
      <c r="D222" s="35" t="s">
        <v>59</v>
      </c>
      <c r="E222" s="1">
        <v>578</v>
      </c>
      <c r="F222" s="1">
        <v>563</v>
      </c>
      <c r="G222" s="19">
        <v>3.3989266547406083E-2</v>
      </c>
      <c r="H222" s="19">
        <v>0.18277310924369747</v>
      </c>
      <c r="I222" s="1">
        <v>3043</v>
      </c>
      <c r="J222" s="1">
        <v>2895</v>
      </c>
      <c r="K222" s="1">
        <v>62522</v>
      </c>
      <c r="L222" s="1">
        <v>60009</v>
      </c>
      <c r="M222" s="18">
        <v>0.88</v>
      </c>
      <c r="N222" s="18">
        <v>0.03</v>
      </c>
      <c r="O222" s="18">
        <v>0.97</v>
      </c>
      <c r="P222" s="18">
        <v>0.78</v>
      </c>
      <c r="Q222" s="22">
        <v>0.99</v>
      </c>
      <c r="R222" s="230">
        <v>0</v>
      </c>
      <c r="S222" s="230">
        <v>0</v>
      </c>
      <c r="T222" s="240">
        <v>0</v>
      </c>
      <c r="U222" s="245" t="str">
        <f t="shared" si="14"/>
        <v>Normal</v>
      </c>
      <c r="V222" s="245" t="str">
        <f t="shared" si="15"/>
        <v>Normal</v>
      </c>
      <c r="W222" s="87">
        <f t="shared" si="16"/>
        <v>3.3989266547406083E-2</v>
      </c>
      <c r="X222" s="87">
        <f t="shared" si="17"/>
        <v>0.18277310924369747</v>
      </c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</row>
    <row r="223" spans="1:39">
      <c r="A223" s="23">
        <v>44873</v>
      </c>
      <c r="B223" s="121">
        <f>IF(YEAR(Table9[[#This Row],[Date]]) = 2022, WEEKNUM(Table9[[#This Row],[Date]])-13, WEEKNUM(Table9[[#This Row],[Date]])+40)</f>
        <v>33</v>
      </c>
      <c r="C223" s="35" t="s">
        <v>49</v>
      </c>
      <c r="D223" s="35" t="s">
        <v>59</v>
      </c>
      <c r="E223" s="1">
        <v>480</v>
      </c>
      <c r="F223" s="1">
        <v>453</v>
      </c>
      <c r="G223" s="19">
        <v>8.4033613445378148E-3</v>
      </c>
      <c r="H223" s="19">
        <v>0</v>
      </c>
      <c r="I223" s="1">
        <v>3523</v>
      </c>
      <c r="J223" s="1">
        <v>3348</v>
      </c>
      <c r="K223" s="1">
        <v>63002</v>
      </c>
      <c r="L223" s="1">
        <v>60462</v>
      </c>
      <c r="M223" s="18">
        <v>0.89</v>
      </c>
      <c r="N223" s="18">
        <v>0.05</v>
      </c>
      <c r="O223" s="18">
        <v>0.95</v>
      </c>
      <c r="P223" s="18">
        <v>0.65</v>
      </c>
      <c r="Q223" s="22">
        <v>1</v>
      </c>
      <c r="R223" s="230">
        <v>0</v>
      </c>
      <c r="S223" s="230">
        <v>0</v>
      </c>
      <c r="T223" s="240">
        <v>0</v>
      </c>
      <c r="U223" s="245" t="str">
        <f t="shared" si="14"/>
        <v>Normal</v>
      </c>
      <c r="V223" s="245" t="str">
        <f t="shared" si="15"/>
        <v>Normal</v>
      </c>
      <c r="W223" s="87">
        <f t="shared" si="16"/>
        <v>8.4033613445378148E-3</v>
      </c>
      <c r="X223" s="87">
        <f t="shared" si="17"/>
        <v>0</v>
      </c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</row>
    <row r="224" spans="1:39">
      <c r="A224" s="23">
        <v>44874</v>
      </c>
      <c r="B224" s="121">
        <f>IF(YEAR(Table9[[#This Row],[Date]]) = 2022, WEEKNUM(Table9[[#This Row],[Date]])-13, WEEKNUM(Table9[[#This Row],[Date]])+40)</f>
        <v>33</v>
      </c>
      <c r="C224" s="35" t="s">
        <v>50</v>
      </c>
      <c r="D224" s="35" t="s">
        <v>59</v>
      </c>
      <c r="E224" s="1">
        <v>489</v>
      </c>
      <c r="F224" s="1">
        <v>464</v>
      </c>
      <c r="G224" s="19">
        <v>-0.22870662460567823</v>
      </c>
      <c r="H224" s="19">
        <v>-0.18453427065026362</v>
      </c>
      <c r="I224" s="1">
        <v>4012</v>
      </c>
      <c r="J224" s="1">
        <v>3812</v>
      </c>
      <c r="K224" s="1">
        <v>63491</v>
      </c>
      <c r="L224" s="1">
        <v>60926</v>
      </c>
      <c r="M224" s="18">
        <v>0.81</v>
      </c>
      <c r="N224" s="18">
        <v>0.05</v>
      </c>
      <c r="O224" s="18">
        <v>0.95</v>
      </c>
      <c r="P224" s="18">
        <v>0.65</v>
      </c>
      <c r="Q224" s="22">
        <v>1</v>
      </c>
      <c r="R224" s="230">
        <v>0</v>
      </c>
      <c r="S224" s="230">
        <v>0</v>
      </c>
      <c r="T224" s="240">
        <v>0</v>
      </c>
      <c r="U224" s="245" t="str">
        <f t="shared" si="14"/>
        <v>Normal</v>
      </c>
      <c r="V224" s="245" t="str">
        <f t="shared" si="15"/>
        <v>Normal</v>
      </c>
      <c r="W224" s="87">
        <f t="shared" si="16"/>
        <v>-0.22870662460567823</v>
      </c>
      <c r="X224" s="87">
        <f t="shared" si="17"/>
        <v>-0.18453427065026362</v>
      </c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</row>
    <row r="225" spans="1:39">
      <c r="A225" s="23">
        <v>44875</v>
      </c>
      <c r="B225" s="121">
        <f>IF(YEAR(Table9[[#This Row],[Date]]) = 2022, WEEKNUM(Table9[[#This Row],[Date]])-13, WEEKNUM(Table9[[#This Row],[Date]])+40)</f>
        <v>33</v>
      </c>
      <c r="C225" s="35" t="s">
        <v>51</v>
      </c>
      <c r="D225" s="35" t="s">
        <v>59</v>
      </c>
      <c r="E225" s="1">
        <v>399</v>
      </c>
      <c r="F225" s="1">
        <v>379</v>
      </c>
      <c r="G225" s="19">
        <v>-0.21301775147928995</v>
      </c>
      <c r="H225" s="19">
        <v>-0.20876826722338204</v>
      </c>
      <c r="I225" s="1">
        <v>4411</v>
      </c>
      <c r="J225" s="1">
        <v>4191</v>
      </c>
      <c r="K225" s="1">
        <v>63890</v>
      </c>
      <c r="L225" s="1">
        <v>61305</v>
      </c>
      <c r="M225" s="18">
        <v>0.86</v>
      </c>
      <c r="N225" s="18">
        <v>0.05</v>
      </c>
      <c r="O225" s="18">
        <v>0.95</v>
      </c>
      <c r="P225" s="18">
        <v>0.65</v>
      </c>
      <c r="Q225" s="22">
        <v>1</v>
      </c>
      <c r="R225" s="230">
        <v>0</v>
      </c>
      <c r="S225" s="230">
        <v>0</v>
      </c>
      <c r="T225" s="240">
        <v>0</v>
      </c>
      <c r="U225" s="245" t="str">
        <f t="shared" si="14"/>
        <v>Normal</v>
      </c>
      <c r="V225" s="245" t="str">
        <f t="shared" si="15"/>
        <v>Normal</v>
      </c>
      <c r="W225" s="87">
        <f t="shared" si="16"/>
        <v>-0.21301775147928995</v>
      </c>
      <c r="X225" s="87">
        <f t="shared" si="17"/>
        <v>-0.20876826722338204</v>
      </c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</row>
    <row r="226" spans="1:39">
      <c r="A226" s="23">
        <v>44876</v>
      </c>
      <c r="B226" s="121">
        <f>IF(YEAR(Table9[[#This Row],[Date]]) = 2022, WEEKNUM(Table9[[#This Row],[Date]])-13, WEEKNUM(Table9[[#This Row],[Date]])+40)</f>
        <v>33</v>
      </c>
      <c r="C226" s="35" t="s">
        <v>52</v>
      </c>
      <c r="D226" s="35" t="s">
        <v>59</v>
      </c>
      <c r="E226" s="1">
        <v>437</v>
      </c>
      <c r="F226" s="1">
        <v>420</v>
      </c>
      <c r="G226" s="19">
        <v>-4.5851528384279479E-2</v>
      </c>
      <c r="H226" s="19">
        <v>-6.0402684563758392E-2</v>
      </c>
      <c r="I226" s="1">
        <v>4848</v>
      </c>
      <c r="J226" s="1">
        <v>4611</v>
      </c>
      <c r="K226" s="1">
        <v>64327</v>
      </c>
      <c r="L226" s="1">
        <v>61725</v>
      </c>
      <c r="M226" s="18">
        <v>0.89</v>
      </c>
      <c r="N226" s="18">
        <v>3.9E-2</v>
      </c>
      <c r="O226" s="18">
        <v>0.96</v>
      </c>
      <c r="P226" s="18">
        <v>0.71</v>
      </c>
      <c r="Q226" s="22">
        <v>0.99</v>
      </c>
      <c r="R226" s="230">
        <v>0</v>
      </c>
      <c r="S226" s="230">
        <v>0</v>
      </c>
      <c r="T226" s="240">
        <v>0</v>
      </c>
      <c r="U226" s="245" t="str">
        <f t="shared" si="14"/>
        <v>Normal</v>
      </c>
      <c r="V226" s="245" t="str">
        <f t="shared" si="15"/>
        <v>Normal</v>
      </c>
      <c r="W226" s="87">
        <f t="shared" si="16"/>
        <v>-4.5851528384279479E-2</v>
      </c>
      <c r="X226" s="87">
        <f t="shared" si="17"/>
        <v>-6.0402684563758392E-2</v>
      </c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</row>
    <row r="227" spans="1:39">
      <c r="A227" s="23">
        <v>44877</v>
      </c>
      <c r="B227" s="121">
        <f>IF(YEAR(Table9[[#This Row],[Date]]) = 2022, WEEKNUM(Table9[[#This Row],[Date]])-13, WEEKNUM(Table9[[#This Row],[Date]])+40)</f>
        <v>33</v>
      </c>
      <c r="C227" s="35" t="s">
        <v>53</v>
      </c>
      <c r="D227" s="35" t="s">
        <v>59</v>
      </c>
      <c r="E227" s="1">
        <v>321</v>
      </c>
      <c r="F227" s="1">
        <v>311</v>
      </c>
      <c r="G227" s="19">
        <v>7.0000000000000007E-2</v>
      </c>
      <c r="H227" s="19">
        <v>4.3624161073825503E-2</v>
      </c>
      <c r="I227" s="1">
        <v>5169</v>
      </c>
      <c r="J227" s="1">
        <v>4922</v>
      </c>
      <c r="K227" s="1">
        <v>64648</v>
      </c>
      <c r="L227" s="1">
        <v>62036</v>
      </c>
      <c r="M227" s="18">
        <v>0.89</v>
      </c>
      <c r="N227" s="18">
        <v>0.03</v>
      </c>
      <c r="O227" s="18">
        <v>0.97</v>
      </c>
      <c r="P227" s="18">
        <v>0.67</v>
      </c>
      <c r="Q227" s="22">
        <v>0.99</v>
      </c>
      <c r="R227" s="230">
        <v>0</v>
      </c>
      <c r="S227" s="230">
        <v>0</v>
      </c>
      <c r="T227" s="240">
        <v>0</v>
      </c>
      <c r="U227" s="245" t="str">
        <f t="shared" si="14"/>
        <v>Normal</v>
      </c>
      <c r="V227" s="245" t="str">
        <f t="shared" si="15"/>
        <v>Normal</v>
      </c>
      <c r="W227" s="87">
        <f t="shared" si="16"/>
        <v>7.0000000000000007E-2</v>
      </c>
      <c r="X227" s="87">
        <f t="shared" si="17"/>
        <v>4.3624161073825503E-2</v>
      </c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</row>
    <row r="228" spans="1:39">
      <c r="A228" s="23">
        <v>44878</v>
      </c>
      <c r="B228" s="121">
        <f>IF(YEAR(Table9[[#This Row],[Date]]) = 2022, WEEKNUM(Table9[[#This Row],[Date]])-13, WEEKNUM(Table9[[#This Row],[Date]])+40)</f>
        <v>34</v>
      </c>
      <c r="C228" s="35" t="s">
        <v>47</v>
      </c>
      <c r="D228" s="35" t="s">
        <v>59</v>
      </c>
      <c r="E228" s="1">
        <v>61</v>
      </c>
      <c r="F228" s="1">
        <v>59</v>
      </c>
      <c r="G228" s="19">
        <v>-0.32222222222222224</v>
      </c>
      <c r="H228" s="19">
        <v>-0.31395348837209303</v>
      </c>
      <c r="I228" s="1">
        <v>5230</v>
      </c>
      <c r="J228" s="1">
        <v>4981</v>
      </c>
      <c r="K228" s="1">
        <v>64709</v>
      </c>
      <c r="L228" s="1">
        <v>62095</v>
      </c>
      <c r="M228" s="18">
        <v>0.89</v>
      </c>
      <c r="N228" s="18">
        <v>0.03</v>
      </c>
      <c r="O228" s="18">
        <v>0.97</v>
      </c>
      <c r="P228" s="18">
        <v>0.37</v>
      </c>
      <c r="Q228" s="22">
        <v>0.98</v>
      </c>
      <c r="R228" s="230">
        <v>0</v>
      </c>
      <c r="S228" s="230">
        <v>0</v>
      </c>
      <c r="T228" s="240">
        <v>0</v>
      </c>
      <c r="U228" s="245" t="str">
        <f t="shared" si="14"/>
        <v>Normal</v>
      </c>
      <c r="V228" s="245" t="str">
        <f t="shared" si="15"/>
        <v>Normal</v>
      </c>
      <c r="W228" s="87">
        <f t="shared" si="16"/>
        <v>-0.32222222222222224</v>
      </c>
      <c r="X228" s="87">
        <f t="shared" si="17"/>
        <v>-0.31395348837209303</v>
      </c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</row>
    <row r="229" spans="1:39">
      <c r="A229" s="23">
        <v>44879</v>
      </c>
      <c r="B229" s="121">
        <f>IF(YEAR(Table9[[#This Row],[Date]]) = 2022, WEEKNUM(Table9[[#This Row],[Date]])-13, WEEKNUM(Table9[[#This Row],[Date]])+40)</f>
        <v>34</v>
      </c>
      <c r="C229" s="35" t="s">
        <v>48</v>
      </c>
      <c r="D229" s="35" t="s">
        <v>59</v>
      </c>
      <c r="E229" s="1">
        <v>513</v>
      </c>
      <c r="F229" s="1">
        <v>496</v>
      </c>
      <c r="G229" s="19">
        <v>-0.11245674740484429</v>
      </c>
      <c r="H229" s="19">
        <v>-0.11900532859680284</v>
      </c>
      <c r="I229" s="1">
        <v>5743</v>
      </c>
      <c r="J229" s="1">
        <v>5477</v>
      </c>
      <c r="K229" s="1">
        <v>65222</v>
      </c>
      <c r="L229" s="1">
        <v>62591</v>
      </c>
      <c r="M229" s="18">
        <v>0.88</v>
      </c>
      <c r="N229" s="18">
        <v>0.03</v>
      </c>
      <c r="O229" s="18">
        <v>0.97</v>
      </c>
      <c r="P229" s="18">
        <v>0.67</v>
      </c>
      <c r="Q229" s="22">
        <v>1</v>
      </c>
      <c r="R229" s="230">
        <v>0</v>
      </c>
      <c r="S229" s="230">
        <v>0</v>
      </c>
      <c r="T229" s="240">
        <v>0</v>
      </c>
      <c r="U229" s="245" t="str">
        <f t="shared" si="14"/>
        <v>Normal</v>
      </c>
      <c r="V229" s="245" t="str">
        <f t="shared" si="15"/>
        <v>Normal</v>
      </c>
      <c r="W229" s="87">
        <f t="shared" si="16"/>
        <v>-0.11245674740484429</v>
      </c>
      <c r="X229" s="87">
        <f t="shared" si="17"/>
        <v>-0.11900532859680284</v>
      </c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</row>
    <row r="230" spans="1:39">
      <c r="A230" s="23">
        <v>44880</v>
      </c>
      <c r="B230" s="121">
        <f>IF(YEAR(Table9[[#This Row],[Date]]) = 2022, WEEKNUM(Table9[[#This Row],[Date]])-13, WEEKNUM(Table9[[#This Row],[Date]])+40)</f>
        <v>34</v>
      </c>
      <c r="C230" s="35" t="s">
        <v>49</v>
      </c>
      <c r="D230" s="35" t="s">
        <v>59</v>
      </c>
      <c r="E230" s="1">
        <v>503</v>
      </c>
      <c r="F230" s="1">
        <v>479</v>
      </c>
      <c r="G230" s="19">
        <v>4.791666666666667E-2</v>
      </c>
      <c r="H230" s="19">
        <v>5.7395143487858721E-2</v>
      </c>
      <c r="I230" s="1">
        <v>6246</v>
      </c>
      <c r="J230" s="1">
        <v>5956</v>
      </c>
      <c r="K230" s="1">
        <v>65725</v>
      </c>
      <c r="L230" s="1">
        <v>63070</v>
      </c>
      <c r="M230" s="18">
        <v>0.81</v>
      </c>
      <c r="N230" s="18">
        <v>0.05</v>
      </c>
      <c r="O230" s="18">
        <v>0.95</v>
      </c>
      <c r="P230" s="18">
        <v>0.65</v>
      </c>
      <c r="Q230" s="22">
        <v>1</v>
      </c>
      <c r="R230" s="230">
        <v>0</v>
      </c>
      <c r="S230" s="230">
        <v>0</v>
      </c>
      <c r="T230" s="240">
        <v>0</v>
      </c>
      <c r="U230" s="245" t="str">
        <f t="shared" si="14"/>
        <v>Normal</v>
      </c>
      <c r="V230" s="245" t="str">
        <f t="shared" si="15"/>
        <v>Normal</v>
      </c>
      <c r="W230" s="87">
        <f t="shared" si="16"/>
        <v>4.791666666666667E-2</v>
      </c>
      <c r="X230" s="87">
        <f t="shared" si="17"/>
        <v>5.7395143487858721E-2</v>
      </c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</row>
    <row r="231" spans="1:39">
      <c r="A231" s="23">
        <v>44881</v>
      </c>
      <c r="B231" s="121">
        <f>IF(YEAR(Table9[[#This Row],[Date]]) = 2022, WEEKNUM(Table9[[#This Row],[Date]])-13, WEEKNUM(Table9[[#This Row],[Date]])+40)</f>
        <v>34</v>
      </c>
      <c r="C231" s="35" t="s">
        <v>50</v>
      </c>
      <c r="D231" s="35" t="s">
        <v>59</v>
      </c>
      <c r="E231" s="1">
        <v>527</v>
      </c>
      <c r="F231" s="1">
        <v>497</v>
      </c>
      <c r="G231" s="19">
        <v>7.7709611451942745E-2</v>
      </c>
      <c r="H231" s="19">
        <v>7.1120689655172417E-2</v>
      </c>
      <c r="I231" s="1">
        <v>6773</v>
      </c>
      <c r="J231" s="1">
        <v>6453</v>
      </c>
      <c r="K231" s="1">
        <v>66252</v>
      </c>
      <c r="L231" s="1">
        <v>63567</v>
      </c>
      <c r="M231" s="18">
        <v>0.86</v>
      </c>
      <c r="N231" s="18">
        <v>0.05</v>
      </c>
      <c r="O231" s="18">
        <v>0.95</v>
      </c>
      <c r="P231" s="18">
        <v>0.67</v>
      </c>
      <c r="Q231" s="22">
        <v>1</v>
      </c>
      <c r="R231" s="230">
        <v>0</v>
      </c>
      <c r="S231" s="230">
        <v>0</v>
      </c>
      <c r="T231" s="240">
        <v>0</v>
      </c>
      <c r="U231" s="245" t="str">
        <f t="shared" si="14"/>
        <v>Normal</v>
      </c>
      <c r="V231" s="245" t="str">
        <f t="shared" si="15"/>
        <v>Normal</v>
      </c>
      <c r="W231" s="87">
        <f t="shared" si="16"/>
        <v>7.7709611451942745E-2</v>
      </c>
      <c r="X231" s="87">
        <f t="shared" si="17"/>
        <v>7.1120689655172417E-2</v>
      </c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</row>
    <row r="232" spans="1:39">
      <c r="A232" s="23">
        <v>44882</v>
      </c>
      <c r="B232" s="121">
        <f>IF(YEAR(Table9[[#This Row],[Date]]) = 2022, WEEKNUM(Table9[[#This Row],[Date]])-13, WEEKNUM(Table9[[#This Row],[Date]])+40)</f>
        <v>34</v>
      </c>
      <c r="C232" s="35" t="s">
        <v>51</v>
      </c>
      <c r="D232" s="35" t="s">
        <v>59</v>
      </c>
      <c r="E232" s="1">
        <v>478</v>
      </c>
      <c r="F232" s="1">
        <v>462</v>
      </c>
      <c r="G232" s="19">
        <v>0.19799498746867167</v>
      </c>
      <c r="H232" s="19">
        <v>0.21899736147757257</v>
      </c>
      <c r="I232" s="1">
        <v>7251</v>
      </c>
      <c r="J232" s="1">
        <v>6915</v>
      </c>
      <c r="K232" s="1">
        <v>66730</v>
      </c>
      <c r="L232" s="1">
        <v>64029</v>
      </c>
      <c r="M232" s="18">
        <v>0.89</v>
      </c>
      <c r="N232" s="18">
        <v>0.03</v>
      </c>
      <c r="O232" s="18">
        <v>0.97</v>
      </c>
      <c r="P232" s="18">
        <v>0.75</v>
      </c>
      <c r="Q232" s="22">
        <v>1</v>
      </c>
      <c r="R232" s="230">
        <v>0</v>
      </c>
      <c r="S232" s="230">
        <v>0</v>
      </c>
      <c r="T232" s="240">
        <v>0</v>
      </c>
      <c r="U232" s="245" t="str">
        <f t="shared" si="14"/>
        <v>Normal</v>
      </c>
      <c r="V232" s="245" t="str">
        <f t="shared" si="15"/>
        <v>Normal</v>
      </c>
      <c r="W232" s="87">
        <f t="shared" si="16"/>
        <v>0.19799498746867167</v>
      </c>
      <c r="X232" s="87">
        <f t="shared" si="17"/>
        <v>0.21899736147757257</v>
      </c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</row>
    <row r="233" spans="1:39">
      <c r="A233" s="23">
        <v>44883</v>
      </c>
      <c r="B233" s="121">
        <f>IF(YEAR(Table9[[#This Row],[Date]]) = 2022, WEEKNUM(Table9[[#This Row],[Date]])-13, WEEKNUM(Table9[[#This Row],[Date]])+40)</f>
        <v>34</v>
      </c>
      <c r="C233" s="35" t="s">
        <v>52</v>
      </c>
      <c r="D233" s="35" t="s">
        <v>59</v>
      </c>
      <c r="E233" s="1">
        <v>490</v>
      </c>
      <c r="F233" s="1">
        <v>477</v>
      </c>
      <c r="G233" s="19">
        <v>0.12128146453089245</v>
      </c>
      <c r="H233" s="19">
        <v>0.1357142857142857</v>
      </c>
      <c r="I233" s="1">
        <v>7741</v>
      </c>
      <c r="J233" s="1">
        <v>7392</v>
      </c>
      <c r="K233" s="1">
        <v>67220</v>
      </c>
      <c r="L233" s="1">
        <v>64506</v>
      </c>
      <c r="M233" s="18">
        <v>0.86</v>
      </c>
      <c r="N233" s="18">
        <v>0.03</v>
      </c>
      <c r="O233" s="18">
        <v>0.97</v>
      </c>
      <c r="P233" s="18">
        <v>0.65</v>
      </c>
      <c r="Q233" s="22">
        <v>1</v>
      </c>
      <c r="R233" s="230">
        <v>0</v>
      </c>
      <c r="S233" s="230">
        <v>0</v>
      </c>
      <c r="T233" s="240">
        <v>0</v>
      </c>
      <c r="U233" s="245" t="str">
        <f t="shared" si="14"/>
        <v>Normal</v>
      </c>
      <c r="V233" s="245" t="str">
        <f t="shared" si="15"/>
        <v>Normal</v>
      </c>
      <c r="W233" s="87">
        <f t="shared" si="16"/>
        <v>0.12128146453089245</v>
      </c>
      <c r="X233" s="87">
        <f t="shared" si="17"/>
        <v>0.1357142857142857</v>
      </c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</row>
    <row r="234" spans="1:39">
      <c r="A234" s="23">
        <v>44884</v>
      </c>
      <c r="B234" s="121">
        <f>IF(YEAR(Table9[[#This Row],[Date]]) = 2022, WEEKNUM(Table9[[#This Row],[Date]])-13, WEEKNUM(Table9[[#This Row],[Date]])+40)</f>
        <v>34</v>
      </c>
      <c r="C234" s="35" t="s">
        <v>53</v>
      </c>
      <c r="D234" s="35" t="s">
        <v>59</v>
      </c>
      <c r="E234" s="1">
        <v>371</v>
      </c>
      <c r="F234" s="1">
        <v>364</v>
      </c>
      <c r="G234" s="19">
        <v>0.1557632398753894</v>
      </c>
      <c r="H234" s="19">
        <v>0.17041800643086816</v>
      </c>
      <c r="I234" s="1">
        <v>8112</v>
      </c>
      <c r="J234" s="1">
        <v>7756</v>
      </c>
      <c r="K234" s="1">
        <v>67591</v>
      </c>
      <c r="L234" s="1">
        <v>64870</v>
      </c>
      <c r="M234" s="18">
        <v>0.92</v>
      </c>
      <c r="N234" s="18">
        <v>0.02</v>
      </c>
      <c r="O234" s="18">
        <v>0.98</v>
      </c>
      <c r="P234" s="18">
        <v>0.68</v>
      </c>
      <c r="Q234" s="22">
        <v>1</v>
      </c>
      <c r="R234" s="230">
        <v>0</v>
      </c>
      <c r="S234" s="230">
        <v>0</v>
      </c>
      <c r="T234" s="240">
        <v>0</v>
      </c>
      <c r="U234" s="245" t="str">
        <f t="shared" si="14"/>
        <v>Normal</v>
      </c>
      <c r="V234" s="245" t="str">
        <f t="shared" si="15"/>
        <v>Normal</v>
      </c>
      <c r="W234" s="87">
        <f t="shared" si="16"/>
        <v>0.1557632398753894</v>
      </c>
      <c r="X234" s="87">
        <f t="shared" si="17"/>
        <v>0.17041800643086816</v>
      </c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</row>
    <row r="235" spans="1:39">
      <c r="A235" s="23">
        <v>44885</v>
      </c>
      <c r="B235" s="121">
        <f>IF(YEAR(Table9[[#This Row],[Date]]) = 2022, WEEKNUM(Table9[[#This Row],[Date]])-13, WEEKNUM(Table9[[#This Row],[Date]])+40)</f>
        <v>35</v>
      </c>
      <c r="C235" s="35" t="s">
        <v>47</v>
      </c>
      <c r="D235" s="35" t="s">
        <v>59</v>
      </c>
      <c r="E235" s="1">
        <v>77</v>
      </c>
      <c r="F235" s="1">
        <v>73</v>
      </c>
      <c r="G235" s="19">
        <f>IFERROR((Table9[[#This Row],[Calls Off]]-E228)/E228,0)</f>
        <v>0.26229508196721313</v>
      </c>
      <c r="H235" s="19">
        <f>IFERROR((Table9[[#This Row],[Calls Ans]]-F228)/F228,0)</f>
        <v>0.23728813559322035</v>
      </c>
      <c r="I235" s="1">
        <f>I234+Table9[[#This Row],[Calls Off]]</f>
        <v>8189</v>
      </c>
      <c r="J235" s="1">
        <f>J234+Table9[[#This Row],[Calls Ans]]</f>
        <v>7829</v>
      </c>
      <c r="K235" s="1">
        <f>K234+Table9[[#This Row],[Calls Off]]</f>
        <v>67668</v>
      </c>
      <c r="L235" s="1">
        <f>L234+Table9[[#This Row],[Calls Ans]]</f>
        <v>64943</v>
      </c>
      <c r="M235" s="18">
        <v>0.88</v>
      </c>
      <c r="N235" s="18">
        <v>0.05</v>
      </c>
      <c r="O235" s="18">
        <v>0.95</v>
      </c>
      <c r="P235" s="18">
        <v>0.51</v>
      </c>
      <c r="Q235" s="22">
        <v>1</v>
      </c>
      <c r="R235" s="230">
        <v>0</v>
      </c>
      <c r="S235" s="230">
        <v>0</v>
      </c>
      <c r="T235" s="243">
        <v>0</v>
      </c>
      <c r="U235" s="246" t="str">
        <f t="shared" si="14"/>
        <v>Normal</v>
      </c>
      <c r="V235" s="246" t="str">
        <f t="shared" si="15"/>
        <v>Normal</v>
      </c>
      <c r="W235" s="87">
        <f t="shared" si="16"/>
        <v>0.26229508196721313</v>
      </c>
      <c r="X235" s="87">
        <f t="shared" si="17"/>
        <v>0.23728813559322035</v>
      </c>
    </row>
    <row r="236" spans="1:39">
      <c r="A236" s="23">
        <v>44886</v>
      </c>
      <c r="B236" s="121">
        <f>IF(YEAR(Table9[[#This Row],[Date]]) = 2022, WEEKNUM(Table9[[#This Row],[Date]])-13, WEEKNUM(Table9[[#This Row],[Date]])+40)</f>
        <v>35</v>
      </c>
      <c r="C236" s="35" t="s">
        <v>48</v>
      </c>
      <c r="D236" s="35" t="s">
        <v>59</v>
      </c>
      <c r="E236" s="1">
        <v>669</v>
      </c>
      <c r="F236" s="1">
        <v>636</v>
      </c>
      <c r="G236" s="19">
        <f>IFERROR((Table9[[#This Row],[Calls Off]]-E229)/E229,0)</f>
        <v>0.30409356725146197</v>
      </c>
      <c r="H236" s="19">
        <f>IFERROR((Table9[[#This Row],[Calls Ans]]-F229)/F229,0)</f>
        <v>0.28225806451612906</v>
      </c>
      <c r="I236" s="1">
        <f>I235+Table9[[#This Row],[Calls Off]]</f>
        <v>8858</v>
      </c>
      <c r="J236" s="1">
        <f>J235+Table9[[#This Row],[Calls Ans]]</f>
        <v>8465</v>
      </c>
      <c r="K236" s="1">
        <f>K235+Table9[[#This Row],[Calls Off]]</f>
        <v>68337</v>
      </c>
      <c r="L236" s="1">
        <f>L235+Table9[[#This Row],[Calls Ans]]</f>
        <v>65579</v>
      </c>
      <c r="M236" s="18">
        <v>0.77</v>
      </c>
      <c r="N236" s="18">
        <v>0.05</v>
      </c>
      <c r="O236" s="18">
        <v>0.95</v>
      </c>
      <c r="P236" s="18">
        <v>0.83</v>
      </c>
      <c r="Q236" s="22">
        <v>1</v>
      </c>
      <c r="R236" s="230">
        <v>0</v>
      </c>
      <c r="S236" s="230">
        <v>0</v>
      </c>
      <c r="T236" s="243">
        <v>0</v>
      </c>
      <c r="U236" s="246" t="str">
        <f t="shared" si="14"/>
        <v>Normal</v>
      </c>
      <c r="V236" s="246" t="str">
        <f t="shared" si="15"/>
        <v>Normal</v>
      </c>
      <c r="W236" s="87">
        <f t="shared" si="16"/>
        <v>0.30409356725146197</v>
      </c>
      <c r="X236" s="87">
        <f t="shared" si="17"/>
        <v>0.28225806451612906</v>
      </c>
      <c r="AK236" s="50"/>
      <c r="AL236" s="50"/>
      <c r="AM236" s="50"/>
    </row>
    <row r="237" spans="1:39">
      <c r="A237" s="23">
        <v>44887</v>
      </c>
      <c r="B237" s="121">
        <f>IF(YEAR(Table9[[#This Row],[Date]]) = 2022, WEEKNUM(Table9[[#This Row],[Date]])-13, WEEKNUM(Table9[[#This Row],[Date]])+40)</f>
        <v>35</v>
      </c>
      <c r="C237" s="35" t="s">
        <v>49</v>
      </c>
      <c r="D237" s="35" t="s">
        <v>59</v>
      </c>
      <c r="E237" s="1">
        <v>510</v>
      </c>
      <c r="F237" s="1">
        <v>469</v>
      </c>
      <c r="G237" s="19">
        <f>IFERROR((Table9[[#This Row],[Calls Off]]-E230)/E230,0)</f>
        <v>1.3916500994035786E-2</v>
      </c>
      <c r="H237" s="19">
        <f>IFERROR((Table9[[#This Row],[Calls Ans]]-F230)/F230,0)</f>
        <v>-2.0876826722338204E-2</v>
      </c>
      <c r="I237" s="1">
        <f>I236+Table9[[#This Row],[Calls Off]]</f>
        <v>9368</v>
      </c>
      <c r="J237" s="1">
        <f>J236+Table9[[#This Row],[Calls Ans]]</f>
        <v>8934</v>
      </c>
      <c r="K237" s="1">
        <f>K236+Table9[[#This Row],[Calls Off]]</f>
        <v>68847</v>
      </c>
      <c r="L237" s="1">
        <f>L236+Table9[[#This Row],[Calls Ans]]</f>
        <v>66048</v>
      </c>
      <c r="M237" s="18">
        <v>0.74</v>
      </c>
      <c r="N237" s="18">
        <v>0.08</v>
      </c>
      <c r="O237" s="18">
        <v>0.92</v>
      </c>
      <c r="P237" s="18">
        <v>0.65</v>
      </c>
      <c r="Q237" s="22">
        <v>1</v>
      </c>
      <c r="R237" s="230">
        <v>0</v>
      </c>
      <c r="S237" s="230">
        <v>0</v>
      </c>
      <c r="T237" s="243">
        <v>0</v>
      </c>
      <c r="U237" s="246" t="str">
        <f t="shared" si="14"/>
        <v>Normal</v>
      </c>
      <c r="V237" s="246" t="str">
        <f t="shared" si="15"/>
        <v>Normal</v>
      </c>
      <c r="W237" s="87">
        <f t="shared" si="16"/>
        <v>1.3916500994035786E-2</v>
      </c>
      <c r="X237" s="87">
        <f t="shared" si="17"/>
        <v>-2.0876826722338204E-2</v>
      </c>
    </row>
    <row r="238" spans="1:39">
      <c r="A238" s="23">
        <v>44888</v>
      </c>
      <c r="B238" s="121">
        <f>IF(YEAR(Table9[[#This Row],[Date]]) = 2022, WEEKNUM(Table9[[#This Row],[Date]])-13, WEEKNUM(Table9[[#This Row],[Date]])+40)</f>
        <v>35</v>
      </c>
      <c r="C238" s="35" t="s">
        <v>50</v>
      </c>
      <c r="D238" s="35" t="s">
        <v>59</v>
      </c>
      <c r="E238" s="1">
        <v>534</v>
      </c>
      <c r="F238" s="1">
        <v>517</v>
      </c>
      <c r="G238" s="19">
        <f>IFERROR((Table9[[#This Row],[Calls Off]]-E231)/E231,0)</f>
        <v>1.3282732447817837E-2</v>
      </c>
      <c r="H238" s="19">
        <f>IFERROR((Table9[[#This Row],[Calls Ans]]-F231)/F231,0)</f>
        <v>4.0241448692152917E-2</v>
      </c>
      <c r="I238" s="1">
        <f>I237+Table9[[#This Row],[Calls Off]]</f>
        <v>9902</v>
      </c>
      <c r="J238" s="1">
        <f>J237+Table9[[#This Row],[Calls Ans]]</f>
        <v>9451</v>
      </c>
      <c r="K238" s="1">
        <f>K237+Table9[[#This Row],[Calls Off]]</f>
        <v>69381</v>
      </c>
      <c r="L238" s="1">
        <f>L237+Table9[[#This Row],[Calls Ans]]</f>
        <v>66565</v>
      </c>
      <c r="M238" s="18">
        <v>0.89</v>
      </c>
      <c r="N238" s="18">
        <v>0.03</v>
      </c>
      <c r="O238" s="18">
        <v>0.97</v>
      </c>
      <c r="P238" s="18">
        <v>0.74</v>
      </c>
      <c r="Q238" s="22">
        <v>1</v>
      </c>
      <c r="R238" s="230">
        <v>0</v>
      </c>
      <c r="S238" s="230">
        <v>0</v>
      </c>
      <c r="T238" s="243">
        <v>0</v>
      </c>
      <c r="U238" s="246" t="str">
        <f t="shared" si="14"/>
        <v>Normal</v>
      </c>
      <c r="V238" s="246" t="str">
        <f t="shared" si="15"/>
        <v>Normal</v>
      </c>
      <c r="W238" s="87">
        <f t="shared" si="16"/>
        <v>1.3282732447817837E-2</v>
      </c>
      <c r="X238" s="87">
        <f t="shared" si="17"/>
        <v>4.0241448692152917E-2</v>
      </c>
    </row>
    <row r="239" spans="1:39">
      <c r="A239" s="23">
        <v>44889</v>
      </c>
      <c r="B239" s="121">
        <f>IF(YEAR(Table9[[#This Row],[Date]]) = 2022, WEEKNUM(Table9[[#This Row],[Date]])-13, WEEKNUM(Table9[[#This Row],[Date]])+40)</f>
        <v>35</v>
      </c>
      <c r="C239" s="35" t="s">
        <v>51</v>
      </c>
      <c r="D239" s="35" t="s">
        <v>59</v>
      </c>
      <c r="E239" s="1">
        <v>685</v>
      </c>
      <c r="F239" s="1">
        <v>645</v>
      </c>
      <c r="G239" s="19">
        <f>IFERROR((Table9[[#This Row],[Calls Off]]-E232)/E232,0)</f>
        <v>0.43305439330543932</v>
      </c>
      <c r="H239" s="19">
        <f>IFERROR((Table9[[#This Row],[Calls Ans]]-F232)/F232,0)</f>
        <v>0.39610389610389612</v>
      </c>
      <c r="I239" s="1">
        <f>I238+Table9[[#This Row],[Calls Off]]</f>
        <v>10587</v>
      </c>
      <c r="J239" s="1">
        <f>J238+Table9[[#This Row],[Calls Ans]]</f>
        <v>10096</v>
      </c>
      <c r="K239" s="1">
        <f>K238+Table9[[#This Row],[Calls Off]]</f>
        <v>70066</v>
      </c>
      <c r="L239" s="1">
        <f>L238+Table9[[#This Row],[Calls Ans]]</f>
        <v>67210</v>
      </c>
      <c r="M239" s="18">
        <v>0.82</v>
      </c>
      <c r="N239" s="18">
        <v>0.06</v>
      </c>
      <c r="O239" s="18">
        <v>0.94</v>
      </c>
      <c r="P239" s="18">
        <v>0.93</v>
      </c>
      <c r="Q239" s="22">
        <v>1</v>
      </c>
      <c r="R239" s="230">
        <v>0</v>
      </c>
      <c r="S239" s="230">
        <v>0</v>
      </c>
      <c r="T239" s="243">
        <v>0</v>
      </c>
      <c r="U239" s="246" t="str">
        <f t="shared" si="14"/>
        <v>Outlier</v>
      </c>
      <c r="V239" s="246" t="str">
        <f t="shared" si="15"/>
        <v>Normal</v>
      </c>
      <c r="W239" s="87">
        <f t="shared" si="16"/>
        <v>0.43305439330543932</v>
      </c>
      <c r="X239" s="87">
        <f t="shared" si="17"/>
        <v>0.39610389610389612</v>
      </c>
    </row>
    <row r="240" spans="1:39">
      <c r="A240" s="23">
        <v>44890</v>
      </c>
      <c r="B240" s="121">
        <f>IF(YEAR(Table9[[#This Row],[Date]]) = 2022, WEEKNUM(Table9[[#This Row],[Date]])-13, WEEKNUM(Table9[[#This Row],[Date]])+40)</f>
        <v>35</v>
      </c>
      <c r="C240" s="35" t="s">
        <v>52</v>
      </c>
      <c r="D240" s="35" t="s">
        <v>59</v>
      </c>
      <c r="E240" s="1">
        <v>1492</v>
      </c>
      <c r="F240" s="1">
        <v>918</v>
      </c>
      <c r="G240" s="19">
        <f>IFERROR((Table9[[#This Row],[Calls Off]]-E233)/E233,0)</f>
        <v>2.0448979591836736</v>
      </c>
      <c r="H240" s="19">
        <f>IFERROR((Table9[[#This Row],[Calls Ans]]-F233)/F233,0)</f>
        <v>0.92452830188679247</v>
      </c>
      <c r="I240" s="1">
        <f>I239+Table9[[#This Row],[Calls Off]]</f>
        <v>12079</v>
      </c>
      <c r="J240" s="1">
        <f>J239+Table9[[#This Row],[Calls Ans]]</f>
        <v>11014</v>
      </c>
      <c r="K240" s="1">
        <f>K239+Table9[[#This Row],[Calls Off]]</f>
        <v>71558</v>
      </c>
      <c r="L240" s="1">
        <f>L239+Table9[[#This Row],[Calls Ans]]</f>
        <v>68128</v>
      </c>
      <c r="M240" s="18">
        <v>0.21</v>
      </c>
      <c r="N240" s="18">
        <v>0.39</v>
      </c>
      <c r="O240" s="18">
        <v>0.61</v>
      </c>
      <c r="P240" s="18">
        <v>1.17</v>
      </c>
      <c r="Q240" s="22">
        <v>0.98</v>
      </c>
      <c r="R240" s="230">
        <v>0</v>
      </c>
      <c r="S240" s="230">
        <v>0</v>
      </c>
      <c r="T240" s="243">
        <v>0</v>
      </c>
      <c r="U240" s="246" t="str">
        <f t="shared" si="14"/>
        <v>Outlier</v>
      </c>
      <c r="V240" s="246" t="str">
        <f t="shared" si="15"/>
        <v>Outlier</v>
      </c>
      <c r="W240" s="87">
        <f t="shared" si="16"/>
        <v>3.8370656823366094E-2</v>
      </c>
      <c r="X240" s="87">
        <f t="shared" si="17"/>
        <v>0.92452830188679247</v>
      </c>
    </row>
    <row r="241" spans="1:39">
      <c r="A241" s="23">
        <v>44891</v>
      </c>
      <c r="B241" s="121">
        <f>IF(YEAR(Table9[[#This Row],[Date]]) = 2022, WEEKNUM(Table9[[#This Row],[Date]])-13, WEEKNUM(Table9[[#This Row],[Date]])+40)</f>
        <v>35</v>
      </c>
      <c r="C241" s="35" t="s">
        <v>53</v>
      </c>
      <c r="D241" s="35" t="s">
        <v>59</v>
      </c>
      <c r="E241" s="1">
        <v>761</v>
      </c>
      <c r="F241" s="1">
        <v>686</v>
      </c>
      <c r="G241" s="19">
        <f>IFERROR((Table9[[#This Row],[Calls Off]]-E234)/E234,0)</f>
        <v>1.0512129380053907</v>
      </c>
      <c r="H241" s="19">
        <f>IFERROR((Table9[[#This Row],[Calls Ans]]-F234)/F234,0)</f>
        <v>0.88461538461538458</v>
      </c>
      <c r="I241" s="1">
        <f>I240+Table9[[#This Row],[Calls Off]]</f>
        <v>12840</v>
      </c>
      <c r="J241" s="1">
        <f>J240+Table9[[#This Row],[Calls Ans]]</f>
        <v>11700</v>
      </c>
      <c r="K241" s="1">
        <f>K240+Table9[[#This Row],[Calls Off]]</f>
        <v>72319</v>
      </c>
      <c r="L241" s="1">
        <f>L240+Table9[[#This Row],[Calls Ans]]</f>
        <v>68814</v>
      </c>
      <c r="M241" s="18">
        <v>0.77</v>
      </c>
      <c r="N241" s="18">
        <v>0.1</v>
      </c>
      <c r="O241" s="18">
        <v>0.9</v>
      </c>
      <c r="P241" s="18">
        <v>1.17</v>
      </c>
      <c r="Q241" s="22">
        <v>1</v>
      </c>
      <c r="R241" s="230">
        <v>0</v>
      </c>
      <c r="S241" s="230">
        <v>0</v>
      </c>
      <c r="T241" s="243">
        <v>0</v>
      </c>
      <c r="U241" s="246" t="str">
        <f t="shared" si="14"/>
        <v>Outlier</v>
      </c>
      <c r="V241" s="246" t="str">
        <f t="shared" si="15"/>
        <v>Outlier</v>
      </c>
      <c r="W241" s="87">
        <f t="shared" si="16"/>
        <v>1.0512129380053907</v>
      </c>
      <c r="X241" s="87">
        <f t="shared" si="17"/>
        <v>0.88461538461538458</v>
      </c>
    </row>
    <row r="242" spans="1:39">
      <c r="A242" s="23">
        <v>44892</v>
      </c>
      <c r="B242" s="121">
        <f>IF(YEAR(Table9[[#This Row],[Date]]) = 2022, WEEKNUM(Table9[[#This Row],[Date]])-13, WEEKNUM(Table9[[#This Row],[Date]])+40)</f>
        <v>36</v>
      </c>
      <c r="C242" s="35" t="s">
        <v>47</v>
      </c>
      <c r="D242" s="35" t="s">
        <v>59</v>
      </c>
      <c r="E242" s="1">
        <v>158</v>
      </c>
      <c r="F242" s="1">
        <v>151</v>
      </c>
      <c r="G242" s="19">
        <f>IFERROR((Table9[[#This Row],[Calls Off]]-E235)/E235,0)</f>
        <v>1.051948051948052</v>
      </c>
      <c r="H242" s="19">
        <f>IFERROR((Table9[[#This Row],[Calls Ans]]-F235)/F235,0)</f>
        <v>1.0684931506849316</v>
      </c>
      <c r="I242" s="1">
        <f>I241+Table9[[#This Row],[Calls Off]]</f>
        <v>12998</v>
      </c>
      <c r="J242" s="1">
        <f>J241+Table9[[#This Row],[Calls Ans]]</f>
        <v>11851</v>
      </c>
      <c r="K242" s="1">
        <f>K241+Table9[[#This Row],[Calls Off]]</f>
        <v>72477</v>
      </c>
      <c r="L242" s="1">
        <f>L241+Table9[[#This Row],[Calls Ans]]</f>
        <v>68965</v>
      </c>
      <c r="M242" s="18">
        <v>0.91</v>
      </c>
      <c r="N242" s="18">
        <v>0.04</v>
      </c>
      <c r="O242" s="18">
        <v>0.96</v>
      </c>
      <c r="P242" s="18">
        <v>0.48</v>
      </c>
      <c r="Q242" s="22">
        <v>1</v>
      </c>
      <c r="R242" s="230">
        <v>0</v>
      </c>
      <c r="S242" s="230">
        <v>0</v>
      </c>
      <c r="T242" s="243">
        <v>0</v>
      </c>
      <c r="U242" s="246" t="str">
        <f t="shared" si="14"/>
        <v>Outlier</v>
      </c>
      <c r="V242" s="246" t="str">
        <f t="shared" si="15"/>
        <v>Outlier</v>
      </c>
      <c r="W242" s="87">
        <f t="shared" si="16"/>
        <v>1.051948051948052</v>
      </c>
      <c r="X242" s="87">
        <f t="shared" si="17"/>
        <v>1.0684931506849316</v>
      </c>
    </row>
    <row r="243" spans="1:39">
      <c r="A243" s="23">
        <v>44893</v>
      </c>
      <c r="B243" s="121">
        <f>IF(YEAR(Table9[[#This Row],[Date]]) = 2022, WEEKNUM(Table9[[#This Row],[Date]])-13, WEEKNUM(Table9[[#This Row],[Date]])+40)</f>
        <v>36</v>
      </c>
      <c r="C243" s="35" t="s">
        <v>48</v>
      </c>
      <c r="D243" s="35" t="s">
        <v>59</v>
      </c>
      <c r="E243" s="1">
        <v>1876</v>
      </c>
      <c r="F243" s="1">
        <v>845</v>
      </c>
      <c r="G243" s="19">
        <f>IFERROR((Table9[[#This Row],[Calls Off]]-E236)/E236,0)</f>
        <v>1.804185351270553</v>
      </c>
      <c r="H243" s="19">
        <f>IFERROR((Table9[[#This Row],[Calls Ans]]-F236)/F236,0)</f>
        <v>0.32861635220125784</v>
      </c>
      <c r="I243" s="1">
        <f>I242+Table9[[#This Row],[Calls Off]]</f>
        <v>14874</v>
      </c>
      <c r="J243" s="1">
        <f>J242+Table9[[#This Row],[Calls Ans]]</f>
        <v>12696</v>
      </c>
      <c r="K243" s="1">
        <f>K242+Table9[[#This Row],[Calls Off]]</f>
        <v>74353</v>
      </c>
      <c r="L243" s="1">
        <f>L242+Table9[[#This Row],[Calls Ans]]</f>
        <v>69810</v>
      </c>
      <c r="M243" s="18">
        <v>0.03</v>
      </c>
      <c r="N243" s="18">
        <v>0.55000000000000004</v>
      </c>
      <c r="O243" s="18">
        <v>0.45</v>
      </c>
      <c r="P243" s="18">
        <v>1.26</v>
      </c>
      <c r="Q243" s="22">
        <v>1</v>
      </c>
      <c r="R243" s="230">
        <v>0</v>
      </c>
      <c r="S243" s="230">
        <v>0</v>
      </c>
      <c r="T243" s="243">
        <v>0</v>
      </c>
      <c r="U243" s="246" t="str">
        <f t="shared" si="14"/>
        <v>Outlier</v>
      </c>
      <c r="V243" s="246" t="str">
        <f t="shared" si="15"/>
        <v>Normal</v>
      </c>
      <c r="W243" s="87">
        <f t="shared" si="16"/>
        <v>3.8370656823366094E-2</v>
      </c>
      <c r="X243" s="87">
        <f t="shared" si="17"/>
        <v>0.32861635220125784</v>
      </c>
    </row>
    <row r="244" spans="1:39">
      <c r="A244" s="23">
        <v>44894</v>
      </c>
      <c r="B244" s="121">
        <f>IF(YEAR(Table9[[#This Row],[Date]]) = 2022, WEEKNUM(Table9[[#This Row],[Date]])-13, WEEKNUM(Table9[[#This Row],[Date]])+40)</f>
        <v>36</v>
      </c>
      <c r="C244" s="35" t="s">
        <v>49</v>
      </c>
      <c r="D244" s="35" t="s">
        <v>59</v>
      </c>
      <c r="E244" s="1">
        <v>1344</v>
      </c>
      <c r="F244" s="1">
        <v>766</v>
      </c>
      <c r="G244" s="19">
        <f>IFERROR((Table9[[#This Row],[Calls Off]]-E237)/E237,0)</f>
        <v>1.6352941176470588</v>
      </c>
      <c r="H244" s="19">
        <f>IFERROR((Table9[[#This Row],[Calls Ans]]-F237)/F237,0)</f>
        <v>0.63326226012793174</v>
      </c>
      <c r="I244" s="1">
        <f>I243+Table9[[#This Row],[Calls Off]]</f>
        <v>16218</v>
      </c>
      <c r="J244" s="1">
        <f>J243+Table9[[#This Row],[Calls Ans]]</f>
        <v>13462</v>
      </c>
      <c r="K244" s="1">
        <f>K243+Table9[[#This Row],[Calls Off]]</f>
        <v>75697</v>
      </c>
      <c r="L244" s="1">
        <f>L243+Table9[[#This Row],[Calls Ans]]</f>
        <v>70576</v>
      </c>
      <c r="M244" s="18">
        <v>0.11</v>
      </c>
      <c r="N244" s="18">
        <v>0.43</v>
      </c>
      <c r="O244" s="18">
        <v>0.56999999999999995</v>
      </c>
      <c r="P244" s="18">
        <v>1.59</v>
      </c>
      <c r="Q244" s="22">
        <v>1</v>
      </c>
      <c r="R244" s="230">
        <v>0</v>
      </c>
      <c r="S244" s="230">
        <v>0</v>
      </c>
      <c r="T244" s="243">
        <v>0</v>
      </c>
      <c r="U244" s="246" t="str">
        <f t="shared" si="14"/>
        <v>Outlier</v>
      </c>
      <c r="V244" s="246" t="str">
        <f t="shared" si="15"/>
        <v>Outlier</v>
      </c>
      <c r="W244" s="87">
        <f t="shared" si="16"/>
        <v>3.8370656823366094E-2</v>
      </c>
      <c r="X244" s="87">
        <f t="shared" si="17"/>
        <v>0.63326226012793174</v>
      </c>
    </row>
    <row r="245" spans="1:39">
      <c r="A245" s="23">
        <v>44895</v>
      </c>
      <c r="B245" s="121">
        <f>IF(YEAR(Table9[[#This Row],[Date]]) = 2022, WEEKNUM(Table9[[#This Row],[Date]])-13, WEEKNUM(Table9[[#This Row],[Date]])+40)</f>
        <v>36</v>
      </c>
      <c r="C245" s="35" t="s">
        <v>50</v>
      </c>
      <c r="D245" s="35" t="s">
        <v>59</v>
      </c>
      <c r="E245" s="1">
        <v>1365</v>
      </c>
      <c r="F245" s="1">
        <v>759</v>
      </c>
      <c r="G245" s="19">
        <f>IFERROR((Table9[[#This Row],[Calls Off]]-E238)/E238,0)</f>
        <v>1.5561797752808988</v>
      </c>
      <c r="H245" s="19">
        <f>IFERROR((Table9[[#This Row],[Calls Ans]]-F238)/F238,0)</f>
        <v>0.46808510638297873</v>
      </c>
      <c r="I245" s="1">
        <f>I244+Table9[[#This Row],[Calls Off]]</f>
        <v>17583</v>
      </c>
      <c r="J245" s="1">
        <f>J244+Table9[[#This Row],[Calls Ans]]</f>
        <v>14221</v>
      </c>
      <c r="K245" s="1">
        <f>K244+Table9[[#This Row],[Calls Off]]</f>
        <v>77062</v>
      </c>
      <c r="L245" s="1">
        <f>L244+Table9[[#This Row],[Calls Ans]]</f>
        <v>71335</v>
      </c>
      <c r="M245" s="18">
        <v>7.0000000000000007E-2</v>
      </c>
      <c r="N245" s="18">
        <v>0.44</v>
      </c>
      <c r="O245" s="18">
        <v>0.56000000000000005</v>
      </c>
      <c r="P245" s="18">
        <v>1.58</v>
      </c>
      <c r="Q245" s="22">
        <v>0.99</v>
      </c>
      <c r="R245" s="230">
        <v>0</v>
      </c>
      <c r="S245" s="230">
        <v>0</v>
      </c>
      <c r="T245" s="243">
        <v>0</v>
      </c>
      <c r="U245" s="246" t="str">
        <f t="shared" si="14"/>
        <v>Outlier</v>
      </c>
      <c r="V245" s="246" t="str">
        <f t="shared" si="15"/>
        <v>Outlier</v>
      </c>
      <c r="W245" s="87">
        <f t="shared" si="16"/>
        <v>3.8370656823366094E-2</v>
      </c>
      <c r="X245" s="87">
        <f t="shared" si="17"/>
        <v>0.46808510638297873</v>
      </c>
    </row>
    <row r="246" spans="1:39" s="49" customFormat="1">
      <c r="A246" s="77">
        <v>44896</v>
      </c>
      <c r="B246" s="303">
        <f>IF(YEAR(Table9[[#This Row],[Date]]) = 2022, WEEKNUM(Table9[[#This Row],[Date]])-13, WEEKNUM(Table9[[#This Row],[Date]])+40)</f>
        <v>36</v>
      </c>
      <c r="C246" s="78" t="s">
        <v>51</v>
      </c>
      <c r="D246" s="78" t="s">
        <v>59</v>
      </c>
      <c r="E246" s="68">
        <v>1085</v>
      </c>
      <c r="F246" s="68">
        <v>658</v>
      </c>
      <c r="G246" s="148">
        <f>IFERROR((Table9[[#This Row],[Calls Off]]-E239)/E239,0)</f>
        <v>0.58394160583941601</v>
      </c>
      <c r="H246" s="148">
        <f>IFERROR((Table9[[#This Row],[Calls Ans]]-F239)/F239,0)</f>
        <v>2.0155038759689922E-2</v>
      </c>
      <c r="I246" s="68">
        <f>Table9[[#This Row],[Calls Off]]</f>
        <v>1085</v>
      </c>
      <c r="J246" s="68">
        <f>Table9[[#This Row],[Calls Ans]]</f>
        <v>658</v>
      </c>
      <c r="K246" s="68">
        <f>K245+Table9[[#This Row],[Calls Off]]</f>
        <v>78147</v>
      </c>
      <c r="L246" s="68">
        <f>L245+Table9[[#This Row],[Calls Ans]]</f>
        <v>71993</v>
      </c>
      <c r="M246" s="2">
        <v>0.16</v>
      </c>
      <c r="N246" s="2">
        <v>0.39</v>
      </c>
      <c r="O246" s="2">
        <v>0.61</v>
      </c>
      <c r="P246" s="2">
        <v>0.14000000000000001</v>
      </c>
      <c r="Q246" s="12">
        <v>1</v>
      </c>
      <c r="R246" s="230">
        <v>0</v>
      </c>
      <c r="S246" s="230">
        <v>0</v>
      </c>
      <c r="T246" s="244">
        <v>0</v>
      </c>
      <c r="U246" s="246" t="str">
        <f t="shared" si="14"/>
        <v>Outlier</v>
      </c>
      <c r="V246" s="246" t="str">
        <f t="shared" si="15"/>
        <v>Normal</v>
      </c>
      <c r="W246" s="87">
        <f t="shared" si="16"/>
        <v>0.58394160583941601</v>
      </c>
      <c r="X246" s="87">
        <f t="shared" si="17"/>
        <v>2.0155038759689922E-2</v>
      </c>
      <c r="Y246" s="237"/>
      <c r="Z246" s="237"/>
      <c r="AA246" s="237"/>
      <c r="AB246" s="237"/>
      <c r="AC246" s="237"/>
      <c r="AD246" s="237"/>
      <c r="AE246" s="237"/>
      <c r="AF246" s="237"/>
      <c r="AG246" s="237"/>
      <c r="AH246" s="237"/>
      <c r="AI246" s="237"/>
      <c r="AJ246" s="237"/>
      <c r="AK246"/>
      <c r="AL246"/>
      <c r="AM246"/>
    </row>
    <row r="247" spans="1:39">
      <c r="A247" s="23">
        <v>44897</v>
      </c>
      <c r="B247" s="121">
        <f>IF(YEAR(Table9[[#This Row],[Date]]) = 2022, WEEKNUM(Table9[[#This Row],[Date]])-13, WEEKNUM(Table9[[#This Row],[Date]])+40)</f>
        <v>36</v>
      </c>
      <c r="C247" s="35" t="s">
        <v>52</v>
      </c>
      <c r="D247" s="35" t="s">
        <v>59</v>
      </c>
      <c r="E247" s="1">
        <v>904</v>
      </c>
      <c r="F247" s="1">
        <v>638</v>
      </c>
      <c r="G247" s="19">
        <f>IFERROR((Table9[[#This Row],[Calls Off]]-E240)/E240,0)</f>
        <v>-0.3941018766756032</v>
      </c>
      <c r="H247" s="19">
        <f>IFERROR((Table9[[#This Row],[Calls Ans]]-F240)/F240,0)</f>
        <v>-0.30501089324618735</v>
      </c>
      <c r="I247" s="1">
        <f>Table9[[#This Row],[Calls Off]]+I246</f>
        <v>1989</v>
      </c>
      <c r="J247" s="1">
        <f>Table9[[#This Row],[Calls Ans]]+J246</f>
        <v>1296</v>
      </c>
      <c r="K247" s="1">
        <f>K246+Table9[[#This Row],[Calls Off]]</f>
        <v>79051</v>
      </c>
      <c r="L247" s="1">
        <f>L246+Table9[[#This Row],[Calls Ans]]</f>
        <v>72631</v>
      </c>
      <c r="M247" s="18">
        <v>0.28999999999999998</v>
      </c>
      <c r="N247" s="18">
        <v>0.23</v>
      </c>
      <c r="O247" s="18">
        <v>0.77</v>
      </c>
      <c r="P247" s="18">
        <v>1.36</v>
      </c>
      <c r="Q247" s="22">
        <v>1</v>
      </c>
      <c r="R247" s="230">
        <v>0</v>
      </c>
      <c r="S247" s="230">
        <v>0</v>
      </c>
      <c r="T247" s="243">
        <v>0</v>
      </c>
      <c r="U247" s="246" t="str">
        <f t="shared" si="14"/>
        <v>Normal</v>
      </c>
      <c r="V247" s="246" t="str">
        <f t="shared" si="15"/>
        <v>Normal</v>
      </c>
      <c r="W247" s="87">
        <f t="shared" si="16"/>
        <v>-0.3941018766756032</v>
      </c>
      <c r="X247" s="87">
        <f t="shared" si="17"/>
        <v>-0.30501089324618735</v>
      </c>
    </row>
    <row r="248" spans="1:39">
      <c r="A248" s="23">
        <v>44898</v>
      </c>
      <c r="B248" s="121">
        <f>IF(YEAR(Table9[[#This Row],[Date]]) = 2022, WEEKNUM(Table9[[#This Row],[Date]])-13, WEEKNUM(Table9[[#This Row],[Date]])+40)</f>
        <v>36</v>
      </c>
      <c r="C248" s="35" t="s">
        <v>53</v>
      </c>
      <c r="D248" s="35" t="s">
        <v>59</v>
      </c>
      <c r="E248" s="1">
        <v>728</v>
      </c>
      <c r="F248" s="1">
        <v>542</v>
      </c>
      <c r="G248" s="19">
        <f>IFERROR((Table9[[#This Row],[Calls Off]]-E241)/E241,0)</f>
        <v>-4.3363994743758211E-2</v>
      </c>
      <c r="H248" s="19">
        <f>IFERROR((Table9[[#This Row],[Calls Ans]]-F241)/F241,0)</f>
        <v>-0.2099125364431487</v>
      </c>
      <c r="I248" s="1">
        <f>Table9[[#This Row],[Calls Off]]+I247</f>
        <v>2717</v>
      </c>
      <c r="J248" s="1">
        <f>Table9[[#This Row],[Calls Ans]]+J247</f>
        <v>1838</v>
      </c>
      <c r="K248" s="1">
        <f>K247+Table9[[#This Row],[Calls Off]]</f>
        <v>79779</v>
      </c>
      <c r="L248" s="1">
        <f>L247+Table9[[#This Row],[Calls Ans]]</f>
        <v>73173</v>
      </c>
      <c r="M248" s="18">
        <v>0.39</v>
      </c>
      <c r="N248" s="18">
        <v>0.25</v>
      </c>
      <c r="O248" s="18">
        <v>0.75</v>
      </c>
      <c r="P248" s="18">
        <v>1.22</v>
      </c>
      <c r="Q248" s="22">
        <v>1</v>
      </c>
      <c r="R248" s="230">
        <v>0</v>
      </c>
      <c r="S248" s="230">
        <v>0</v>
      </c>
      <c r="T248" s="243">
        <v>0</v>
      </c>
      <c r="U248" s="246" t="str">
        <f t="shared" si="14"/>
        <v>Normal</v>
      </c>
      <c r="V248" s="246" t="str">
        <f t="shared" si="15"/>
        <v>Normal</v>
      </c>
      <c r="W248" s="87">
        <f t="shared" si="16"/>
        <v>-4.3363994743758211E-2</v>
      </c>
      <c r="X248" s="87">
        <f t="shared" si="17"/>
        <v>-0.2099125364431487</v>
      </c>
    </row>
    <row r="249" spans="1:39">
      <c r="A249" s="23">
        <v>44899</v>
      </c>
      <c r="B249" s="121">
        <f>IF(YEAR(Table9[[#This Row],[Date]]) = 2022, WEEKNUM(Table9[[#This Row],[Date]])-13, WEEKNUM(Table9[[#This Row],[Date]])+40)</f>
        <v>37</v>
      </c>
      <c r="C249" s="35" t="s">
        <v>47</v>
      </c>
      <c r="D249" s="35" t="s">
        <v>59</v>
      </c>
      <c r="E249" s="1">
        <v>104</v>
      </c>
      <c r="F249" s="1">
        <v>78</v>
      </c>
      <c r="G249" s="19">
        <f>IFERROR((Table9[[#This Row],[Calls Off]]-E242)/E242,0)</f>
        <v>-0.34177215189873417</v>
      </c>
      <c r="H249" s="19">
        <f>IFERROR((Table9[[#This Row],[Calls Ans]]-F242)/F242,0)</f>
        <v>-0.48344370860927155</v>
      </c>
      <c r="I249" s="1">
        <f>Table9[[#This Row],[Calls Off]]+I248</f>
        <v>2821</v>
      </c>
      <c r="J249" s="1">
        <f>Table9[[#This Row],[Calls Ans]]+J248</f>
        <v>1916</v>
      </c>
      <c r="K249" s="1">
        <f>K248+Table9[[#This Row],[Calls Off]]</f>
        <v>79883</v>
      </c>
      <c r="L249" s="1">
        <f>L248+Table9[[#This Row],[Calls Ans]]</f>
        <v>73251</v>
      </c>
      <c r="M249" s="18">
        <v>0.75</v>
      </c>
      <c r="N249" s="18">
        <v>0.06</v>
      </c>
      <c r="O249" s="18">
        <v>0.94</v>
      </c>
      <c r="P249" s="18">
        <v>0.56000000000000005</v>
      </c>
      <c r="Q249" s="22">
        <v>0.99</v>
      </c>
      <c r="R249" s="230">
        <v>0</v>
      </c>
      <c r="S249" s="230">
        <v>0</v>
      </c>
      <c r="T249" s="243">
        <v>0</v>
      </c>
      <c r="U249" s="246" t="str">
        <f t="shared" si="14"/>
        <v>Normal</v>
      </c>
      <c r="V249" s="246" t="str">
        <f t="shared" si="15"/>
        <v>Outlier</v>
      </c>
      <c r="W249" s="87">
        <f t="shared" si="16"/>
        <v>-0.34177215189873417</v>
      </c>
      <c r="X249" s="87">
        <f t="shared" si="17"/>
        <v>-0.48344370860927155</v>
      </c>
    </row>
    <row r="250" spans="1:39">
      <c r="A250" s="23">
        <v>44900</v>
      </c>
      <c r="B250" s="121">
        <f>IF(YEAR(Table9[[#This Row],[Date]]) = 2022, WEEKNUM(Table9[[#This Row],[Date]])-13, WEEKNUM(Table9[[#This Row],[Date]])+40)</f>
        <v>37</v>
      </c>
      <c r="C250" s="35" t="s">
        <v>48</v>
      </c>
      <c r="D250" s="35" t="s">
        <v>59</v>
      </c>
      <c r="E250" s="1">
        <v>960</v>
      </c>
      <c r="F250" s="1">
        <v>647</v>
      </c>
      <c r="G250" s="19">
        <f>IFERROR((Table9[[#This Row],[Calls Off]]-E243)/E243,0)</f>
        <v>-0.48827292110874199</v>
      </c>
      <c r="H250" s="19">
        <f>IFERROR((Table9[[#This Row],[Calls Ans]]-F243)/F243,0)</f>
        <v>-0.23431952662721894</v>
      </c>
      <c r="I250" s="1">
        <f>Table9[[#This Row],[Calls Off]]+I249</f>
        <v>3781</v>
      </c>
      <c r="J250" s="1">
        <f>Table9[[#This Row],[Calls Ans]]+J249</f>
        <v>2563</v>
      </c>
      <c r="K250" s="1">
        <f>K249+Table9[[#This Row],[Calls Off]]</f>
        <v>80843</v>
      </c>
      <c r="L250" s="1">
        <f>L249+Table9[[#This Row],[Calls Ans]]</f>
        <v>73898</v>
      </c>
      <c r="M250" s="18">
        <v>0.26</v>
      </c>
      <c r="N250" s="18">
        <v>0.33</v>
      </c>
      <c r="O250" s="18">
        <v>0.67</v>
      </c>
      <c r="P250" s="18">
        <v>1.41</v>
      </c>
      <c r="Q250" s="22">
        <v>1</v>
      </c>
      <c r="R250" s="230">
        <v>0</v>
      </c>
      <c r="S250" s="230">
        <v>0</v>
      </c>
      <c r="T250" s="243">
        <v>0</v>
      </c>
      <c r="U250" s="246" t="str">
        <f t="shared" si="14"/>
        <v>Outlier</v>
      </c>
      <c r="V250" s="246" t="str">
        <f t="shared" si="15"/>
        <v>Normal</v>
      </c>
      <c r="W250" s="87">
        <f t="shared" si="16"/>
        <v>-0.48827292110874199</v>
      </c>
      <c r="X250" s="87">
        <f t="shared" si="17"/>
        <v>-0.23431952662721894</v>
      </c>
    </row>
    <row r="251" spans="1:39">
      <c r="A251" s="23">
        <v>44901</v>
      </c>
      <c r="B251" s="121">
        <f>IF(YEAR(Table9[[#This Row],[Date]]) = 2022, WEEKNUM(Table9[[#This Row],[Date]])-13, WEEKNUM(Table9[[#This Row],[Date]])+40)</f>
        <v>37</v>
      </c>
      <c r="C251" s="35" t="s">
        <v>49</v>
      </c>
      <c r="D251" s="35" t="s">
        <v>59</v>
      </c>
      <c r="E251" s="1">
        <v>894</v>
      </c>
      <c r="F251" s="1">
        <v>613</v>
      </c>
      <c r="G251" s="19">
        <f>IFERROR((Table9[[#This Row],[Calls Off]]-E244)/E244,0)</f>
        <v>-0.33482142857142855</v>
      </c>
      <c r="H251" s="19">
        <f>IFERROR((Table9[[#This Row],[Calls Ans]]-F244)/F244,0)</f>
        <v>-0.19973890339425587</v>
      </c>
      <c r="I251" s="1">
        <f>Table9[[#This Row],[Calls Off]]+I250</f>
        <v>4675</v>
      </c>
      <c r="J251" s="1">
        <f>Table9[[#This Row],[Calls Ans]]+J250</f>
        <v>3176</v>
      </c>
      <c r="K251" s="1">
        <f>K250+Table9[[#This Row],[Calls Off]]</f>
        <v>81737</v>
      </c>
      <c r="L251" s="1">
        <f>L250+Table9[[#This Row],[Calls Ans]]</f>
        <v>74511</v>
      </c>
      <c r="M251" s="18">
        <v>0.31</v>
      </c>
      <c r="N251" s="18">
        <v>0.24</v>
      </c>
      <c r="O251" s="18">
        <v>0.76</v>
      </c>
      <c r="P251" s="18">
        <v>1.34</v>
      </c>
      <c r="Q251" s="22">
        <v>1</v>
      </c>
      <c r="R251" s="230">
        <v>0</v>
      </c>
      <c r="S251" s="230">
        <v>0</v>
      </c>
      <c r="T251" s="243">
        <v>0</v>
      </c>
      <c r="U251" s="246" t="str">
        <f t="shared" si="14"/>
        <v>Normal</v>
      </c>
      <c r="V251" s="246" t="str">
        <f t="shared" si="15"/>
        <v>Normal</v>
      </c>
      <c r="W251" s="87">
        <f t="shared" si="16"/>
        <v>-0.33482142857142855</v>
      </c>
      <c r="X251" s="87">
        <f t="shared" si="17"/>
        <v>-0.19973890339425587</v>
      </c>
    </row>
    <row r="252" spans="1:39">
      <c r="A252" s="23">
        <v>44902</v>
      </c>
      <c r="B252" s="121">
        <f>IF(YEAR(Table9[[#This Row],[Date]]) = 2022, WEEKNUM(Table9[[#This Row],[Date]])-13, WEEKNUM(Table9[[#This Row],[Date]])+40)</f>
        <v>37</v>
      </c>
      <c r="C252" s="35" t="s">
        <v>50</v>
      </c>
      <c r="D252" s="35" t="s">
        <v>59</v>
      </c>
      <c r="E252" s="1">
        <v>847</v>
      </c>
      <c r="F252" s="1">
        <v>460</v>
      </c>
      <c r="G252" s="19">
        <f>IFERROR((Table9[[#This Row],[Calls Off]]-E245)/E245,0)</f>
        <v>-0.37948717948717947</v>
      </c>
      <c r="H252" s="19">
        <f>IFERROR((Table9[[#This Row],[Calls Ans]]-F245)/F245,0)</f>
        <v>-0.39393939393939392</v>
      </c>
      <c r="I252" s="1">
        <f>Table9[[#This Row],[Calls Off]]+I251</f>
        <v>5522</v>
      </c>
      <c r="J252" s="1">
        <f>Table9[[#This Row],[Calls Ans]]+J251</f>
        <v>3636</v>
      </c>
      <c r="K252" s="1">
        <f>K251+Table9[[#This Row],[Calls Off]]</f>
        <v>82584</v>
      </c>
      <c r="L252" s="1">
        <f>L251+Table9[[#This Row],[Calls Ans]]</f>
        <v>74971</v>
      </c>
      <c r="M252" s="18">
        <v>0.09</v>
      </c>
      <c r="N252" s="18">
        <v>0.46</v>
      </c>
      <c r="O252" s="18">
        <v>0.54</v>
      </c>
      <c r="P252" s="18">
        <v>1.36</v>
      </c>
      <c r="Q252" s="22">
        <v>0.99</v>
      </c>
      <c r="R252" s="230">
        <v>0</v>
      </c>
      <c r="S252" s="230">
        <v>0</v>
      </c>
      <c r="T252" s="243">
        <v>0</v>
      </c>
      <c r="U252" s="246" t="str">
        <f t="shared" si="14"/>
        <v>Normal</v>
      </c>
      <c r="V252" s="246" t="str">
        <f t="shared" si="15"/>
        <v>Normal</v>
      </c>
      <c r="W252" s="87">
        <f t="shared" si="16"/>
        <v>-0.37948717948717947</v>
      </c>
      <c r="X252" s="87">
        <f t="shared" si="17"/>
        <v>-0.39393939393939392</v>
      </c>
    </row>
    <row r="253" spans="1:39">
      <c r="A253" s="23">
        <v>44903</v>
      </c>
      <c r="B253" s="121">
        <f>IF(YEAR(Table9[[#This Row],[Date]]) = 2022, WEEKNUM(Table9[[#This Row],[Date]])-13, WEEKNUM(Table9[[#This Row],[Date]])+40)</f>
        <v>37</v>
      </c>
      <c r="C253" s="35" t="s">
        <v>51</v>
      </c>
      <c r="D253" s="35" t="s">
        <v>59</v>
      </c>
      <c r="E253" s="1">
        <v>722</v>
      </c>
      <c r="F253" s="1">
        <v>560</v>
      </c>
      <c r="G253" s="19">
        <f>IFERROR((Table9[[#This Row],[Calls Off]]-E246)/E246,0)</f>
        <v>-0.33456221198156683</v>
      </c>
      <c r="H253" s="19">
        <f>IFERROR((Table9[[#This Row],[Calls Ans]]-F246)/F246,0)</f>
        <v>-0.14893617021276595</v>
      </c>
      <c r="I253" s="1">
        <f>Table9[[#This Row],[Calls Off]]+I252</f>
        <v>6244</v>
      </c>
      <c r="J253" s="1">
        <f>Table9[[#This Row],[Calls Ans]]+J252</f>
        <v>4196</v>
      </c>
      <c r="K253" s="1">
        <f>K252+Table9[[#This Row],[Calls Off]]</f>
        <v>83306</v>
      </c>
      <c r="L253" s="1">
        <f>L252+Table9[[#This Row],[Calls Ans]]</f>
        <v>75531</v>
      </c>
      <c r="M253" s="18">
        <v>0.36</v>
      </c>
      <c r="N253" s="18">
        <v>0.22</v>
      </c>
      <c r="O253" s="18">
        <v>0.78</v>
      </c>
      <c r="P253" s="18">
        <v>1.21</v>
      </c>
      <c r="Q253" s="22">
        <v>1</v>
      </c>
      <c r="R253" s="230">
        <v>0</v>
      </c>
      <c r="S253" s="230">
        <v>0</v>
      </c>
      <c r="T253" s="243">
        <v>0</v>
      </c>
      <c r="U253" s="246" t="str">
        <f t="shared" si="14"/>
        <v>Normal</v>
      </c>
      <c r="V253" s="246" t="str">
        <f t="shared" si="15"/>
        <v>Normal</v>
      </c>
      <c r="W253" s="87">
        <f t="shared" si="16"/>
        <v>-0.33456221198156683</v>
      </c>
      <c r="X253" s="87">
        <f t="shared" si="17"/>
        <v>-0.14893617021276595</v>
      </c>
    </row>
    <row r="254" spans="1:39">
      <c r="A254" s="23">
        <v>44904</v>
      </c>
      <c r="B254" s="121">
        <f>IF(YEAR(Table9[[#This Row],[Date]]) = 2022, WEEKNUM(Table9[[#This Row],[Date]])-13, WEEKNUM(Table9[[#This Row],[Date]])+40)</f>
        <v>37</v>
      </c>
      <c r="C254" s="35" t="s">
        <v>52</v>
      </c>
      <c r="D254" s="35" t="s">
        <v>59</v>
      </c>
      <c r="E254" s="1">
        <v>697</v>
      </c>
      <c r="F254" s="1">
        <v>601</v>
      </c>
      <c r="G254" s="19">
        <f>IFERROR((Table9[[#This Row],[Calls Off]]-E247)/E247,0)</f>
        <v>-0.22898230088495575</v>
      </c>
      <c r="H254" s="19">
        <f>IFERROR((Table9[[#This Row],[Calls Ans]]-F247)/F247,0)</f>
        <v>-5.7993730407523508E-2</v>
      </c>
      <c r="I254" s="1">
        <f>Table9[[#This Row],[Calls Off]]+I253</f>
        <v>6941</v>
      </c>
      <c r="J254" s="1">
        <f>Table9[[#This Row],[Calls Ans]]+J253</f>
        <v>4797</v>
      </c>
      <c r="K254" s="1">
        <f>K253+Table9[[#This Row],[Calls Off]]</f>
        <v>84003</v>
      </c>
      <c r="L254" s="1">
        <f>L253+Table9[[#This Row],[Calls Ans]]</f>
        <v>76132</v>
      </c>
      <c r="M254" s="18">
        <v>0.5</v>
      </c>
      <c r="N254" s="18">
        <v>0.14000000000000001</v>
      </c>
      <c r="O254" s="18">
        <v>0.86</v>
      </c>
      <c r="P254" s="18">
        <v>1.1299999999999999</v>
      </c>
      <c r="Q254" s="22">
        <v>1</v>
      </c>
      <c r="R254" s="230">
        <v>0</v>
      </c>
      <c r="S254" s="230">
        <v>0</v>
      </c>
      <c r="T254" s="240">
        <v>3</v>
      </c>
      <c r="U254" s="245" t="str">
        <f t="shared" si="14"/>
        <v>Normal</v>
      </c>
      <c r="V254" s="245" t="str">
        <f t="shared" si="15"/>
        <v>Normal</v>
      </c>
      <c r="W254" s="87">
        <f t="shared" si="16"/>
        <v>-0.22898230088495575</v>
      </c>
      <c r="X254" s="87">
        <f t="shared" si="17"/>
        <v>-5.7993730407523508E-2</v>
      </c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</row>
    <row r="255" spans="1:39">
      <c r="A255" s="23">
        <v>44905</v>
      </c>
      <c r="B255" s="121">
        <f>IF(YEAR(Table9[[#This Row],[Date]]) = 2022, WEEKNUM(Table9[[#This Row],[Date]])-13, WEEKNUM(Table9[[#This Row],[Date]])+40)</f>
        <v>37</v>
      </c>
      <c r="C255" s="35" t="s">
        <v>53</v>
      </c>
      <c r="D255" s="35" t="s">
        <v>59</v>
      </c>
      <c r="E255" s="1">
        <v>505</v>
      </c>
      <c r="F255" s="1">
        <v>414</v>
      </c>
      <c r="G255" s="19">
        <f>IFERROR((Table9[[#This Row],[Calls Off]]-E248)/E248,0)</f>
        <v>-0.30631868131868134</v>
      </c>
      <c r="H255" s="19">
        <f>IFERROR((Table9[[#This Row],[Calls Ans]]-F248)/F248,0)</f>
        <v>-0.23616236162361623</v>
      </c>
      <c r="I255" s="1">
        <f>Table9[[#This Row],[Calls Off]]+I254</f>
        <v>7446</v>
      </c>
      <c r="J255" s="1">
        <f>Table9[[#This Row],[Calls Ans]]+J254</f>
        <v>5211</v>
      </c>
      <c r="K255" s="1">
        <f>K254+Table9[[#This Row],[Calls Off]]</f>
        <v>84508</v>
      </c>
      <c r="L255" s="1">
        <f>L254+Table9[[#This Row],[Calls Ans]]</f>
        <v>76546</v>
      </c>
      <c r="M255" s="18">
        <v>0.56000000000000005</v>
      </c>
      <c r="N255" s="18">
        <v>0.18</v>
      </c>
      <c r="O255" s="18">
        <v>0.82</v>
      </c>
      <c r="P255" s="18">
        <v>1.17</v>
      </c>
      <c r="Q255" s="22">
        <v>1</v>
      </c>
      <c r="R255" s="230">
        <v>0</v>
      </c>
      <c r="S255" s="230">
        <v>0</v>
      </c>
      <c r="T255" s="240">
        <v>3</v>
      </c>
      <c r="U255" s="245" t="str">
        <f t="shared" si="14"/>
        <v>Normal</v>
      </c>
      <c r="V255" s="245" t="str">
        <f t="shared" si="15"/>
        <v>Normal</v>
      </c>
      <c r="W255" s="87">
        <f t="shared" si="16"/>
        <v>-0.30631868131868134</v>
      </c>
      <c r="X255" s="87">
        <f t="shared" si="17"/>
        <v>-0.23616236162361623</v>
      </c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</row>
    <row r="256" spans="1:39">
      <c r="A256" s="23">
        <v>44906</v>
      </c>
      <c r="B256" s="121">
        <f>IF(YEAR(Table9[[#This Row],[Date]]) = 2022, WEEKNUM(Table9[[#This Row],[Date]])-13, WEEKNUM(Table9[[#This Row],[Date]])+40)</f>
        <v>38</v>
      </c>
      <c r="C256" s="35" t="s">
        <v>47</v>
      </c>
      <c r="D256" s="35" t="s">
        <v>59</v>
      </c>
      <c r="E256" s="1">
        <v>127</v>
      </c>
      <c r="F256" s="1">
        <v>120</v>
      </c>
      <c r="G256" s="19">
        <f>IFERROR((Table9[[#This Row],[Calls Off]]-E249)/E249,0)</f>
        <v>0.22115384615384615</v>
      </c>
      <c r="H256" s="19">
        <f>IFERROR((Table9[[#This Row],[Calls Ans]]-F249)/F249,0)</f>
        <v>0.53846153846153844</v>
      </c>
      <c r="I256" s="1">
        <f>Table9[[#This Row],[Calls Off]]+I255</f>
        <v>7573</v>
      </c>
      <c r="J256" s="1">
        <f>Table9[[#This Row],[Calls Ans]]+J255</f>
        <v>5331</v>
      </c>
      <c r="K256" s="1">
        <f>K255+Table9[[#This Row],[Calls Off]]</f>
        <v>84635</v>
      </c>
      <c r="L256" s="1">
        <f>L255+Table9[[#This Row],[Calls Ans]]</f>
        <v>76666</v>
      </c>
      <c r="M256" s="18">
        <v>0.84</v>
      </c>
      <c r="N256" s="18">
        <v>0.06</v>
      </c>
      <c r="O256" s="18">
        <v>0.94</v>
      </c>
      <c r="P256" s="18">
        <v>0.61</v>
      </c>
      <c r="Q256" s="22">
        <v>1</v>
      </c>
      <c r="R256" s="230">
        <v>0</v>
      </c>
      <c r="S256" s="230">
        <v>0</v>
      </c>
      <c r="T256" s="240">
        <v>3</v>
      </c>
      <c r="U256" s="245" t="str">
        <f t="shared" si="14"/>
        <v>Normal</v>
      </c>
      <c r="V256" s="245" t="str">
        <f t="shared" si="15"/>
        <v>Outlier</v>
      </c>
      <c r="W256" s="87">
        <f t="shared" si="16"/>
        <v>0.22115384615384615</v>
      </c>
      <c r="X256" s="87">
        <f t="shared" si="17"/>
        <v>0.53846153846153844</v>
      </c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</row>
    <row r="257" spans="1:39">
      <c r="A257" s="23">
        <v>44907</v>
      </c>
      <c r="B257" s="121">
        <f>IF(YEAR(Table9[[#This Row],[Date]]) = 2022, WEEKNUM(Table9[[#This Row],[Date]])-13, WEEKNUM(Table9[[#This Row],[Date]])+40)</f>
        <v>38</v>
      </c>
      <c r="C257" s="35" t="s">
        <v>48</v>
      </c>
      <c r="D257" s="35" t="s">
        <v>59</v>
      </c>
      <c r="E257" s="1">
        <v>911</v>
      </c>
      <c r="F257" s="1">
        <v>688</v>
      </c>
      <c r="G257" s="87">
        <f>IFERROR((Table9[[#This Row],[Calls Off]]-E250)/E250,0)</f>
        <v>-5.1041666666666666E-2</v>
      </c>
      <c r="H257" s="87">
        <f>IFERROR((Table9[[#This Row],[Calls Ans]]-F250)/F250,0)</f>
        <v>6.3369397217928905E-2</v>
      </c>
      <c r="I257" s="1">
        <f>Table9[[#This Row],[Calls Off]]+I256</f>
        <v>8484</v>
      </c>
      <c r="J257" s="1">
        <f>Table9[[#This Row],[Calls Ans]]+J256</f>
        <v>6019</v>
      </c>
      <c r="K257" s="1">
        <f>K256+Table9[[#This Row],[Calls Off]]</f>
        <v>85546</v>
      </c>
      <c r="L257" s="1">
        <f>L256+Table9[[#This Row],[Calls Ans]]</f>
        <v>77354</v>
      </c>
      <c r="M257" s="18">
        <v>0.4</v>
      </c>
      <c r="N257" s="18">
        <v>0.24</v>
      </c>
      <c r="O257" s="18">
        <v>0.76</v>
      </c>
      <c r="P257" s="18">
        <v>1.1100000000000001</v>
      </c>
      <c r="Q257" s="22">
        <v>1</v>
      </c>
      <c r="R257" s="230">
        <v>0</v>
      </c>
      <c r="S257" s="230">
        <v>0</v>
      </c>
      <c r="T257" s="240">
        <v>4</v>
      </c>
      <c r="U257" s="245" t="str">
        <f t="shared" si="14"/>
        <v>Normal</v>
      </c>
      <c r="V257" s="245" t="str">
        <f t="shared" si="15"/>
        <v>Normal</v>
      </c>
      <c r="W257" s="87">
        <f t="shared" si="16"/>
        <v>-5.1041666666666666E-2</v>
      </c>
      <c r="X257" s="87">
        <f t="shared" si="17"/>
        <v>6.3369397217928905E-2</v>
      </c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</row>
    <row r="258" spans="1:39">
      <c r="A258" s="23">
        <v>44908</v>
      </c>
      <c r="B258" s="121">
        <f>IF(YEAR(Table9[[#This Row],[Date]]) = 2022, WEEKNUM(Table9[[#This Row],[Date]])-13, WEEKNUM(Table9[[#This Row],[Date]])+40)</f>
        <v>38</v>
      </c>
      <c r="C258" s="35" t="s">
        <v>49</v>
      </c>
      <c r="D258" s="35" t="s">
        <v>59</v>
      </c>
      <c r="E258" s="1">
        <v>915</v>
      </c>
      <c r="F258" s="1">
        <v>722</v>
      </c>
      <c r="G258" s="87">
        <f>IFERROR((Table9[[#This Row],[Calls Off]]-E251)/E251,0)</f>
        <v>2.3489932885906041E-2</v>
      </c>
      <c r="H258" s="87">
        <f>IFERROR((Table9[[#This Row],[Calls Ans]]-F251)/F251,0)</f>
        <v>0.17781402936378465</v>
      </c>
      <c r="I258" s="1">
        <f>Table9[[#This Row],[Calls Off]]+I257</f>
        <v>9399</v>
      </c>
      <c r="J258" s="1">
        <f>Table9[[#This Row],[Calls Ans]]+J257</f>
        <v>6741</v>
      </c>
      <c r="K258" s="1">
        <f>K257+Table9[[#This Row],[Calls Off]]</f>
        <v>86461</v>
      </c>
      <c r="L258" s="1">
        <f>L257+Table9[[#This Row],[Calls Ans]]</f>
        <v>78076</v>
      </c>
      <c r="M258" s="18">
        <v>0.44</v>
      </c>
      <c r="N258" s="18">
        <v>0.21</v>
      </c>
      <c r="O258" s="18">
        <v>0.79</v>
      </c>
      <c r="P258" s="18">
        <v>1.79</v>
      </c>
      <c r="Q258" s="22">
        <v>0.99</v>
      </c>
      <c r="R258" s="230">
        <v>0</v>
      </c>
      <c r="S258" s="230">
        <v>0</v>
      </c>
      <c r="T258" s="240">
        <v>4</v>
      </c>
      <c r="U258" s="245" t="str">
        <f t="shared" si="14"/>
        <v>Normal</v>
      </c>
      <c r="V258" s="245" t="str">
        <f t="shared" si="15"/>
        <v>Normal</v>
      </c>
      <c r="W258" s="87">
        <f t="shared" si="16"/>
        <v>2.3489932885906041E-2</v>
      </c>
      <c r="X258" s="87">
        <f t="shared" si="17"/>
        <v>0.17781402936378465</v>
      </c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L258">
        <f>AVERAGEIF(Q1:Q366,"&lt;&gt;0")</f>
        <v>0.99832786885245983</v>
      </c>
    </row>
    <row r="259" spans="1:39">
      <c r="A259" s="23">
        <v>44909</v>
      </c>
      <c r="B259" s="121">
        <f>IF(YEAR(Table9[[#This Row],[Date]]) = 2022, WEEKNUM(Table9[[#This Row],[Date]])-13, WEEKNUM(Table9[[#This Row],[Date]])+40)</f>
        <v>38</v>
      </c>
      <c r="C259" s="35" t="s">
        <v>50</v>
      </c>
      <c r="D259" s="35" t="s">
        <v>59</v>
      </c>
      <c r="E259" s="1">
        <v>768</v>
      </c>
      <c r="F259" s="1">
        <v>623</v>
      </c>
      <c r="G259" s="87">
        <f>IFERROR((Table9[[#This Row],[Calls Off]]-E252)/E252,0)</f>
        <v>-9.3270365997638729E-2</v>
      </c>
      <c r="H259" s="87">
        <f>IFERROR((Table9[[#This Row],[Calls Ans]]-F252)/F252,0)</f>
        <v>0.35434782608695653</v>
      </c>
      <c r="I259" s="1">
        <f>Table9[[#This Row],[Calls Off]]+I258</f>
        <v>10167</v>
      </c>
      <c r="J259" s="1">
        <f>Table9[[#This Row],[Calls Ans]]+J258</f>
        <v>7364</v>
      </c>
      <c r="K259" s="1">
        <f>K258+Table9[[#This Row],[Calls Off]]</f>
        <v>87229</v>
      </c>
      <c r="L259" s="1">
        <f>L258+Table9[[#This Row],[Calls Ans]]</f>
        <v>78699</v>
      </c>
      <c r="M259" s="18">
        <v>0.4</v>
      </c>
      <c r="N259" s="18">
        <v>0.18</v>
      </c>
      <c r="O259" s="18">
        <v>0.82</v>
      </c>
      <c r="P259" s="18">
        <v>1.32</v>
      </c>
      <c r="Q259" s="22">
        <v>1</v>
      </c>
      <c r="R259" s="230">
        <v>0</v>
      </c>
      <c r="S259" s="230">
        <v>0</v>
      </c>
      <c r="T259" s="240">
        <v>4</v>
      </c>
      <c r="U259" s="245" t="str">
        <f t="shared" ref="U259:U322" si="18">IF(OR(G259&lt;$AA$5,G259&gt;$AB$5), "Outlier", "Normal")</f>
        <v>Normal</v>
      </c>
      <c r="V259" s="245" t="str">
        <f t="shared" ref="V259:V322" si="19">IF(OR(H259&lt;$AA$6,H259&gt;$AB$6), "Outlier", "Normal")</f>
        <v>Normal</v>
      </c>
      <c r="W259" s="87">
        <f t="shared" ref="W259:W322" si="20">IF(U259="Normal",$G259,IF($G259&lt;150%, $G259, $AA$9))</f>
        <v>-9.3270365997638729E-2</v>
      </c>
      <c r="X259" s="87">
        <f t="shared" ref="X259:X322" si="21">IF(V259="Normal",$H259,IF($H259&lt;150%, $H259, $AE$9))</f>
        <v>0.35434782608695653</v>
      </c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</row>
    <row r="260" spans="1:39">
      <c r="A260" s="23">
        <v>44910</v>
      </c>
      <c r="B260" s="121">
        <f>IF(YEAR(Table9[[#This Row],[Date]]) = 2022, WEEKNUM(Table9[[#This Row],[Date]])-13, WEEKNUM(Table9[[#This Row],[Date]])+40)</f>
        <v>38</v>
      </c>
      <c r="C260" s="35" t="s">
        <v>51</v>
      </c>
      <c r="D260" s="35" t="s">
        <v>59</v>
      </c>
      <c r="E260" s="1">
        <v>780</v>
      </c>
      <c r="F260" s="1">
        <v>640</v>
      </c>
      <c r="G260" s="87">
        <f>IFERROR((Table9[[#This Row],[Calls Off]]-E253)/E253,0)</f>
        <v>8.0332409972299165E-2</v>
      </c>
      <c r="H260" s="87">
        <f>IFERROR((Table9[[#This Row],[Calls Ans]]-F253)/F253,0)</f>
        <v>0.14285714285714285</v>
      </c>
      <c r="I260" s="1">
        <f>Table9[[#This Row],[Calls Off]]+I259</f>
        <v>10947</v>
      </c>
      <c r="J260" s="1">
        <f>Table9[[#This Row],[Calls Ans]]+J259</f>
        <v>8004</v>
      </c>
      <c r="K260" s="1">
        <f>K259+Table9[[#This Row],[Calls Off]]</f>
        <v>88009</v>
      </c>
      <c r="L260" s="1">
        <f>L259+Table9[[#This Row],[Calls Ans]]</f>
        <v>79339</v>
      </c>
      <c r="M260" s="18">
        <v>0.51</v>
      </c>
      <c r="N260" s="18">
        <v>0.18</v>
      </c>
      <c r="O260" s="18">
        <v>0.82</v>
      </c>
      <c r="P260" s="18">
        <v>1.4</v>
      </c>
      <c r="Q260" s="22">
        <v>1</v>
      </c>
      <c r="R260" s="230">
        <v>0</v>
      </c>
      <c r="S260" s="230">
        <v>0</v>
      </c>
      <c r="T260" s="240">
        <v>4</v>
      </c>
      <c r="U260" s="245" t="str">
        <f t="shared" si="18"/>
        <v>Normal</v>
      </c>
      <c r="V260" s="245" t="str">
        <f t="shared" si="19"/>
        <v>Normal</v>
      </c>
      <c r="W260" s="87">
        <f t="shared" si="20"/>
        <v>8.0332409972299165E-2</v>
      </c>
      <c r="X260" s="87">
        <f t="shared" si="21"/>
        <v>0.14285714285714285</v>
      </c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</row>
    <row r="261" spans="1:39">
      <c r="A261" s="23">
        <v>44911</v>
      </c>
      <c r="B261" s="121">
        <f>IF(YEAR(Table9[[#This Row],[Date]]) = 2022, WEEKNUM(Table9[[#This Row],[Date]])-13, WEEKNUM(Table9[[#This Row],[Date]])+40)</f>
        <v>38</v>
      </c>
      <c r="C261" s="35" t="s">
        <v>52</v>
      </c>
      <c r="D261" s="35" t="s">
        <v>59</v>
      </c>
      <c r="E261" s="1">
        <v>667</v>
      </c>
      <c r="F261" s="1">
        <v>561</v>
      </c>
      <c r="G261" s="87">
        <f>IFERROR((Table9[[#This Row],[Calls Off]]-E254)/E254,0)</f>
        <v>-4.3041606886657105E-2</v>
      </c>
      <c r="H261" s="87">
        <f>IFERROR((Table9[[#This Row],[Calls Ans]]-F254)/F254,0)</f>
        <v>-6.6555740432612309E-2</v>
      </c>
      <c r="I261" s="1">
        <f>Table9[[#This Row],[Calls Off]]+I260</f>
        <v>11614</v>
      </c>
      <c r="J261" s="1">
        <f>Table9[[#This Row],[Calls Ans]]+J260</f>
        <v>8565</v>
      </c>
      <c r="K261" s="1">
        <f>K260+Table9[[#This Row],[Calls Off]]</f>
        <v>88676</v>
      </c>
      <c r="L261" s="1">
        <f>L260+Table9[[#This Row],[Calls Ans]]</f>
        <v>79900</v>
      </c>
      <c r="M261" s="18">
        <v>0.59</v>
      </c>
      <c r="N261" s="18">
        <v>0.16</v>
      </c>
      <c r="O261" s="18">
        <v>0.84</v>
      </c>
      <c r="P261" s="18">
        <v>1.19</v>
      </c>
      <c r="Q261" s="22">
        <v>1</v>
      </c>
      <c r="R261" s="230">
        <v>0</v>
      </c>
      <c r="S261" s="230">
        <v>0</v>
      </c>
      <c r="T261" s="240">
        <v>4</v>
      </c>
      <c r="U261" s="245" t="str">
        <f t="shared" si="18"/>
        <v>Normal</v>
      </c>
      <c r="V261" s="245" t="str">
        <f t="shared" si="19"/>
        <v>Normal</v>
      </c>
      <c r="W261" s="87">
        <f t="shared" si="20"/>
        <v>-4.3041606886657105E-2</v>
      </c>
      <c r="X261" s="87">
        <f t="shared" si="21"/>
        <v>-6.6555740432612309E-2</v>
      </c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</row>
    <row r="262" spans="1:39">
      <c r="A262" s="23">
        <v>44912</v>
      </c>
      <c r="B262" s="121">
        <f>IF(YEAR(Table9[[#This Row],[Date]]) = 2022, WEEKNUM(Table9[[#This Row],[Date]])-13, WEEKNUM(Table9[[#This Row],[Date]])+40)</f>
        <v>38</v>
      </c>
      <c r="C262" s="35" t="s">
        <v>53</v>
      </c>
      <c r="D262" s="35" t="s">
        <v>59</v>
      </c>
      <c r="E262" s="1">
        <v>523</v>
      </c>
      <c r="F262" s="1">
        <v>376</v>
      </c>
      <c r="G262" s="87">
        <f>IFERROR((Table9[[#This Row],[Calls Off]]-E255)/E255,0)</f>
        <v>3.5643564356435641E-2</v>
      </c>
      <c r="H262" s="87">
        <f>IFERROR((Table9[[#This Row],[Calls Ans]]-F255)/F255,0)</f>
        <v>-9.1787439613526575E-2</v>
      </c>
      <c r="I262" s="1">
        <f>Table9[[#This Row],[Calls Off]]+I261</f>
        <v>12137</v>
      </c>
      <c r="J262" s="1">
        <f>Table9[[#This Row],[Calls Ans]]+J261</f>
        <v>8941</v>
      </c>
      <c r="K262" s="1">
        <f>K261+Table9[[#This Row],[Calls Off]]</f>
        <v>89199</v>
      </c>
      <c r="L262" s="1">
        <f>L261+Table9[[#This Row],[Calls Ans]]</f>
        <v>80276</v>
      </c>
      <c r="M262" s="18">
        <v>0.38</v>
      </c>
      <c r="N262" s="18">
        <v>0.28000000000000003</v>
      </c>
      <c r="O262" s="18">
        <v>0.72</v>
      </c>
      <c r="P262" s="18">
        <v>1.06</v>
      </c>
      <c r="Q262" s="22">
        <v>1</v>
      </c>
      <c r="R262" s="230">
        <v>0</v>
      </c>
      <c r="S262" s="230">
        <v>0</v>
      </c>
      <c r="T262" s="240">
        <v>3</v>
      </c>
      <c r="U262" s="245" t="str">
        <f t="shared" si="18"/>
        <v>Normal</v>
      </c>
      <c r="V262" s="245" t="str">
        <f t="shared" si="19"/>
        <v>Normal</v>
      </c>
      <c r="W262" s="87">
        <f t="shared" si="20"/>
        <v>3.5643564356435641E-2</v>
      </c>
      <c r="X262" s="87">
        <f t="shared" si="21"/>
        <v>-9.1787439613526575E-2</v>
      </c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</row>
    <row r="263" spans="1:39">
      <c r="A263" s="23">
        <v>44913</v>
      </c>
      <c r="B263" s="121">
        <f>IF(YEAR(Table9[[#This Row],[Date]]) = 2022, WEEKNUM(Table9[[#This Row],[Date]])-13, WEEKNUM(Table9[[#This Row],[Date]])+40)</f>
        <v>39</v>
      </c>
      <c r="C263" s="35" t="s">
        <v>47</v>
      </c>
      <c r="D263" s="35" t="s">
        <v>59</v>
      </c>
      <c r="E263" s="1">
        <v>156</v>
      </c>
      <c r="F263" s="1">
        <v>148</v>
      </c>
      <c r="G263" s="87">
        <f>IFERROR((Table9[[#This Row],[Calls Off]]-E256)/E256,0)</f>
        <v>0.2283464566929134</v>
      </c>
      <c r="H263" s="87">
        <f>IFERROR((Table9[[#This Row],[Calls Ans]]-F256)/F256,0)</f>
        <v>0.23333333333333334</v>
      </c>
      <c r="I263" s="1">
        <f>Table9[[#This Row],[Calls Off]]+I262</f>
        <v>12293</v>
      </c>
      <c r="J263" s="1">
        <f>Table9[[#This Row],[Calls Ans]]+J262</f>
        <v>9089</v>
      </c>
      <c r="K263" s="1">
        <f>K262+Table9[[#This Row],[Calls Off]]</f>
        <v>89355</v>
      </c>
      <c r="L263" s="1">
        <f>L262+Table9[[#This Row],[Calls Ans]]</f>
        <v>80424</v>
      </c>
      <c r="M263" s="18">
        <v>0.85</v>
      </c>
      <c r="N263" s="18">
        <v>0.05</v>
      </c>
      <c r="O263" s="18">
        <v>0.95</v>
      </c>
      <c r="P263" s="18">
        <v>0.5</v>
      </c>
      <c r="Q263" s="22">
        <v>0.99</v>
      </c>
      <c r="R263" s="230">
        <v>0</v>
      </c>
      <c r="S263" s="230">
        <v>0</v>
      </c>
      <c r="T263" s="240">
        <v>3</v>
      </c>
      <c r="U263" s="245" t="str">
        <f t="shared" si="18"/>
        <v>Normal</v>
      </c>
      <c r="V263" s="245" t="str">
        <f t="shared" si="19"/>
        <v>Normal</v>
      </c>
      <c r="W263" s="87">
        <f t="shared" si="20"/>
        <v>0.2283464566929134</v>
      </c>
      <c r="X263" s="87">
        <f t="shared" si="21"/>
        <v>0.23333333333333334</v>
      </c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</row>
    <row r="264" spans="1:39">
      <c r="A264" s="23">
        <v>44914</v>
      </c>
      <c r="B264" s="121">
        <f>IF(YEAR(Table9[[#This Row],[Date]]) = 2022, WEEKNUM(Table9[[#This Row],[Date]])-13, WEEKNUM(Table9[[#This Row],[Date]])+40)</f>
        <v>39</v>
      </c>
      <c r="C264" s="97" t="s">
        <v>48</v>
      </c>
      <c r="D264" s="35" t="s">
        <v>59</v>
      </c>
      <c r="E264" s="38">
        <v>969</v>
      </c>
      <c r="F264" s="38">
        <v>706</v>
      </c>
      <c r="G264" s="87">
        <f>IFERROR((Table9[[#This Row],[Calls Off]]-E257)/E257,0)</f>
        <v>6.3666300768386391E-2</v>
      </c>
      <c r="H264" s="87">
        <f>IFERROR((Table9[[#This Row],[Calls Ans]]-F257)/F257,0)</f>
        <v>2.616279069767442E-2</v>
      </c>
      <c r="I264" s="1">
        <f>Table9[[#This Row],[Calls Off]]+I263</f>
        <v>13262</v>
      </c>
      <c r="J264" s="1">
        <f>Table9[[#This Row],[Calls Ans]]+J263</f>
        <v>9795</v>
      </c>
      <c r="K264" s="1">
        <f>K263+Table9[[#This Row],[Calls Off]]</f>
        <v>90324</v>
      </c>
      <c r="L264" s="1">
        <f>L263+Table9[[#This Row],[Calls Ans]]</f>
        <v>81130</v>
      </c>
      <c r="M264" s="48">
        <v>0.5</v>
      </c>
      <c r="N264" s="48">
        <v>0.27</v>
      </c>
      <c r="O264" s="48">
        <v>0.73</v>
      </c>
      <c r="P264" s="48">
        <v>1.41</v>
      </c>
      <c r="Q264" s="149">
        <v>1</v>
      </c>
      <c r="R264" s="230">
        <v>0</v>
      </c>
      <c r="S264" s="230">
        <v>0</v>
      </c>
      <c r="T264" s="240">
        <v>4</v>
      </c>
      <c r="U264" s="245" t="str">
        <f t="shared" si="18"/>
        <v>Normal</v>
      </c>
      <c r="V264" s="245" t="str">
        <f t="shared" si="19"/>
        <v>Normal</v>
      </c>
      <c r="W264" s="87">
        <f t="shared" si="20"/>
        <v>6.3666300768386391E-2</v>
      </c>
      <c r="X264" s="87">
        <f t="shared" si="21"/>
        <v>2.616279069767442E-2</v>
      </c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49"/>
      <c r="AL264" s="49"/>
      <c r="AM264" s="49"/>
    </row>
    <row r="265" spans="1:39">
      <c r="A265" s="23">
        <v>44915</v>
      </c>
      <c r="B265" s="121">
        <f>IF(YEAR(Table9[[#This Row],[Date]]) = 2022, WEEKNUM(Table9[[#This Row],[Date]])-13, WEEKNUM(Table9[[#This Row],[Date]])+40)</f>
        <v>39</v>
      </c>
      <c r="C265" s="97" t="s">
        <v>49</v>
      </c>
      <c r="D265" s="35" t="s">
        <v>59</v>
      </c>
      <c r="E265" s="38">
        <v>799</v>
      </c>
      <c r="F265" s="38">
        <v>606</v>
      </c>
      <c r="G265" s="87">
        <f>IFERROR((Table9[[#This Row],[Calls Off]]-E258)/E258,0)</f>
        <v>-0.126775956284153</v>
      </c>
      <c r="H265" s="87">
        <f>IFERROR((Table9[[#This Row],[Calls Ans]]-F258)/F258,0)</f>
        <v>-0.16066481994459833</v>
      </c>
      <c r="I265" s="1">
        <f>Table9[[#This Row],[Calls Off]]+I264</f>
        <v>14061</v>
      </c>
      <c r="J265" s="1">
        <f>Table9[[#This Row],[Calls Ans]]+J264</f>
        <v>10401</v>
      </c>
      <c r="K265" s="1">
        <f>K264+Table9[[#This Row],[Calls Off]]</f>
        <v>91123</v>
      </c>
      <c r="L265" s="1">
        <f>L264+Table9[[#This Row],[Calls Ans]]</f>
        <v>81736</v>
      </c>
      <c r="M265" s="48">
        <v>0.44</v>
      </c>
      <c r="N265" s="48">
        <v>0.24</v>
      </c>
      <c r="O265" s="48">
        <v>0.76</v>
      </c>
      <c r="P265" s="48">
        <v>0.92</v>
      </c>
      <c r="Q265" s="149">
        <v>1</v>
      </c>
      <c r="R265" s="230">
        <v>0</v>
      </c>
      <c r="S265" s="230">
        <v>0</v>
      </c>
      <c r="T265" s="240">
        <v>4</v>
      </c>
      <c r="U265" s="245" t="str">
        <f t="shared" si="18"/>
        <v>Normal</v>
      </c>
      <c r="V265" s="245" t="str">
        <f t="shared" si="19"/>
        <v>Normal</v>
      </c>
      <c r="W265" s="87">
        <f t="shared" si="20"/>
        <v>-0.126775956284153</v>
      </c>
      <c r="X265" s="87">
        <f t="shared" si="21"/>
        <v>-0.16066481994459833</v>
      </c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</row>
    <row r="266" spans="1:39">
      <c r="A266" s="23">
        <v>44916</v>
      </c>
      <c r="B266" s="121">
        <f>IF(YEAR(Table9[[#This Row],[Date]]) = 2022, WEEKNUM(Table9[[#This Row],[Date]])-13, WEEKNUM(Table9[[#This Row],[Date]])+40)</f>
        <v>39</v>
      </c>
      <c r="C266" s="35" t="s">
        <v>50</v>
      </c>
      <c r="D266" s="35" t="s">
        <v>59</v>
      </c>
      <c r="E266" s="1">
        <v>822</v>
      </c>
      <c r="F266" s="1">
        <v>579</v>
      </c>
      <c r="G266" s="87">
        <f>IFERROR((Table9[[#This Row],[Calls Off]]-E259)/E259,0)</f>
        <v>7.03125E-2</v>
      </c>
      <c r="H266" s="87">
        <f>IFERROR((Table9[[#This Row],[Calls Ans]]-F259)/F259,0)</f>
        <v>-7.0626003210272875E-2</v>
      </c>
      <c r="I266" s="1">
        <f>Table9[[#This Row],[Calls Off]]+I265</f>
        <v>14883</v>
      </c>
      <c r="J266" s="1">
        <f>Table9[[#This Row],[Calls Ans]]+J265</f>
        <v>10980</v>
      </c>
      <c r="K266" s="1">
        <f>K265+Table9[[#This Row],[Calls Off]]</f>
        <v>91945</v>
      </c>
      <c r="L266" s="1">
        <f>L265+Table9[[#This Row],[Calls Ans]]</f>
        <v>82315</v>
      </c>
      <c r="M266" s="18">
        <v>0.31</v>
      </c>
      <c r="N266" s="18">
        <v>0.3</v>
      </c>
      <c r="O266" s="18">
        <v>0.7</v>
      </c>
      <c r="P266" s="18">
        <v>1.08</v>
      </c>
      <c r="Q266" s="22">
        <v>0.99</v>
      </c>
      <c r="R266" s="230">
        <v>0</v>
      </c>
      <c r="S266" s="230">
        <v>0</v>
      </c>
      <c r="T266" s="240">
        <v>4</v>
      </c>
      <c r="U266" s="245" t="str">
        <f t="shared" si="18"/>
        <v>Normal</v>
      </c>
      <c r="V266" s="245" t="str">
        <f t="shared" si="19"/>
        <v>Normal</v>
      </c>
      <c r="W266" s="87">
        <f t="shared" si="20"/>
        <v>7.03125E-2</v>
      </c>
      <c r="X266" s="87">
        <f t="shared" si="21"/>
        <v>-7.0626003210272875E-2</v>
      </c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</row>
    <row r="267" spans="1:39">
      <c r="A267" s="23">
        <v>44917</v>
      </c>
      <c r="B267" s="121">
        <f>IF(YEAR(Table9[[#This Row],[Date]]) = 2022, WEEKNUM(Table9[[#This Row],[Date]])-13, WEEKNUM(Table9[[#This Row],[Date]])+40)</f>
        <v>39</v>
      </c>
      <c r="C267" s="35" t="s">
        <v>51</v>
      </c>
      <c r="D267" s="35" t="s">
        <v>59</v>
      </c>
      <c r="E267" s="1">
        <v>769</v>
      </c>
      <c r="F267" s="1">
        <v>623</v>
      </c>
      <c r="G267" s="87">
        <f>IFERROR((Table9[[#This Row],[Calls Off]]-E260)/E260,0)</f>
        <v>-1.4102564102564103E-2</v>
      </c>
      <c r="H267" s="87">
        <f>IFERROR((Table9[[#This Row],[Calls Ans]]-F260)/F260,0)</f>
        <v>-2.6562499999999999E-2</v>
      </c>
      <c r="I267" s="1">
        <f>Table9[[#This Row],[Calls Off]]+I266</f>
        <v>15652</v>
      </c>
      <c r="J267" s="1">
        <f>Table9[[#This Row],[Calls Ans]]+J266</f>
        <v>11603</v>
      </c>
      <c r="K267" s="1">
        <f>K266+Table9[[#This Row],[Calls Off]]</f>
        <v>92714</v>
      </c>
      <c r="L267" s="1">
        <f>L266+Table9[[#This Row],[Calls Ans]]</f>
        <v>82938</v>
      </c>
      <c r="M267" s="18">
        <v>0.47</v>
      </c>
      <c r="N267" s="18">
        <v>0.19</v>
      </c>
      <c r="O267" s="18">
        <v>0.81</v>
      </c>
      <c r="P267" s="18">
        <v>1.19</v>
      </c>
      <c r="Q267" s="22">
        <v>1</v>
      </c>
      <c r="R267" s="230">
        <v>0</v>
      </c>
      <c r="S267" s="230">
        <v>0</v>
      </c>
      <c r="T267" s="240">
        <v>4</v>
      </c>
      <c r="U267" s="245" t="str">
        <f t="shared" si="18"/>
        <v>Normal</v>
      </c>
      <c r="V267" s="245" t="str">
        <f t="shared" si="19"/>
        <v>Normal</v>
      </c>
      <c r="W267" s="87">
        <f t="shared" si="20"/>
        <v>-1.4102564102564103E-2</v>
      </c>
      <c r="X267" s="87">
        <f t="shared" si="21"/>
        <v>-2.6562499999999999E-2</v>
      </c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</row>
    <row r="268" spans="1:39">
      <c r="A268" s="23">
        <v>44918</v>
      </c>
      <c r="B268" s="121">
        <f>IF(YEAR(Table9[[#This Row],[Date]]) = 2022, WEEKNUM(Table9[[#This Row],[Date]])-13, WEEKNUM(Table9[[#This Row],[Date]])+40)</f>
        <v>39</v>
      </c>
      <c r="C268" s="35" t="s">
        <v>52</v>
      </c>
      <c r="D268" s="35" t="s">
        <v>59</v>
      </c>
      <c r="E268" s="1">
        <v>756</v>
      </c>
      <c r="F268" s="1">
        <v>597</v>
      </c>
      <c r="G268" s="87">
        <f>IFERROR((Table9[[#This Row],[Calls Off]]-E261)/E261,0)</f>
        <v>0.13343328335832083</v>
      </c>
      <c r="H268" s="87">
        <f>IFERROR((Table9[[#This Row],[Calls Ans]]-F261)/F261,0)</f>
        <v>6.4171122994652413E-2</v>
      </c>
      <c r="I268" s="1">
        <f>Table9[[#This Row],[Calls Off]]+I267</f>
        <v>16408</v>
      </c>
      <c r="J268" s="1">
        <f>Table9[[#This Row],[Calls Ans]]+J267</f>
        <v>12200</v>
      </c>
      <c r="K268" s="1">
        <f>K267+Table9[[#This Row],[Calls Off]]</f>
        <v>93470</v>
      </c>
      <c r="L268" s="1">
        <f>L267+Table9[[#This Row],[Calls Ans]]</f>
        <v>83535</v>
      </c>
      <c r="M268" s="18">
        <v>0.46</v>
      </c>
      <c r="N268" s="18">
        <v>0.21</v>
      </c>
      <c r="O268" s="18">
        <v>0.79</v>
      </c>
      <c r="P268" s="18">
        <v>1.18</v>
      </c>
      <c r="Q268" s="22">
        <v>1</v>
      </c>
      <c r="R268" s="230">
        <v>0</v>
      </c>
      <c r="S268" s="230">
        <v>0</v>
      </c>
      <c r="T268" s="240">
        <v>4</v>
      </c>
      <c r="U268" s="245" t="str">
        <f t="shared" si="18"/>
        <v>Normal</v>
      </c>
      <c r="V268" s="245" t="str">
        <f t="shared" si="19"/>
        <v>Normal</v>
      </c>
      <c r="W268" s="87">
        <f t="shared" si="20"/>
        <v>0.13343328335832083</v>
      </c>
      <c r="X268" s="87">
        <f t="shared" si="21"/>
        <v>6.4171122994652413E-2</v>
      </c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</row>
    <row r="269" spans="1:39">
      <c r="A269" s="23">
        <v>44919</v>
      </c>
      <c r="B269" s="121">
        <f>IF(YEAR(Table9[[#This Row],[Date]]) = 2022, WEEKNUM(Table9[[#This Row],[Date]])-13, WEEKNUM(Table9[[#This Row],[Date]])+40)</f>
        <v>39</v>
      </c>
      <c r="C269" s="35" t="s">
        <v>53</v>
      </c>
      <c r="D269" s="35" t="s">
        <v>59</v>
      </c>
      <c r="E269" s="1">
        <v>342</v>
      </c>
      <c r="F269" s="1">
        <v>306</v>
      </c>
      <c r="G269" s="87">
        <f>IFERROR((Table9[[#This Row],[Calls Off]]-E262)/E262,0)</f>
        <v>-0.34608030592734224</v>
      </c>
      <c r="H269" s="87">
        <f>IFERROR((Table9[[#This Row],[Calls Ans]]-F262)/F262,0)</f>
        <v>-0.18617021276595744</v>
      </c>
      <c r="I269" s="1">
        <f>Table9[[#This Row],[Calls Off]]+I268</f>
        <v>16750</v>
      </c>
      <c r="J269" s="1">
        <f>Table9[[#This Row],[Calls Ans]]+J268</f>
        <v>12506</v>
      </c>
      <c r="K269" s="1">
        <f>K268+Table9[[#This Row],[Calls Off]]</f>
        <v>93812</v>
      </c>
      <c r="L269" s="1">
        <f>L268+Table9[[#This Row],[Calls Ans]]</f>
        <v>83841</v>
      </c>
      <c r="M269" s="18">
        <v>0.66</v>
      </c>
      <c r="N269" s="18">
        <v>0.11</v>
      </c>
      <c r="O269" s="18">
        <v>0.89</v>
      </c>
      <c r="P269" s="18">
        <v>0.66</v>
      </c>
      <c r="Q269" s="22">
        <v>0.99</v>
      </c>
      <c r="R269" s="230">
        <v>0</v>
      </c>
      <c r="S269" s="230">
        <v>0</v>
      </c>
      <c r="T269" s="240">
        <v>3</v>
      </c>
      <c r="U269" s="245" t="str">
        <f t="shared" si="18"/>
        <v>Normal</v>
      </c>
      <c r="V269" s="245" t="str">
        <f t="shared" si="19"/>
        <v>Normal</v>
      </c>
      <c r="W269" s="87">
        <f t="shared" si="20"/>
        <v>-0.34608030592734224</v>
      </c>
      <c r="X269" s="87">
        <f t="shared" si="21"/>
        <v>-0.18617021276595744</v>
      </c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</row>
    <row r="270" spans="1:39">
      <c r="A270" s="23">
        <v>44920</v>
      </c>
      <c r="B270" s="121">
        <f>IF(YEAR(Table9[[#This Row],[Date]]) = 2022, WEEKNUM(Table9[[#This Row],[Date]])-13, WEEKNUM(Table9[[#This Row],[Date]])+40)</f>
        <v>40</v>
      </c>
      <c r="C270" s="35" t="s">
        <v>47</v>
      </c>
      <c r="D270" s="35" t="s">
        <v>59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8">
        <v>0</v>
      </c>
      <c r="N270" s="18">
        <v>0</v>
      </c>
      <c r="O270" s="18">
        <v>0</v>
      </c>
      <c r="P270" s="18">
        <v>0</v>
      </c>
      <c r="Q270" s="22">
        <v>0</v>
      </c>
      <c r="R270" s="230">
        <v>0</v>
      </c>
      <c r="S270" s="230">
        <v>0</v>
      </c>
      <c r="T270" s="240">
        <v>0</v>
      </c>
      <c r="U270" s="245" t="str">
        <f t="shared" si="18"/>
        <v>Normal</v>
      </c>
      <c r="V270" s="245" t="str">
        <f t="shared" si="19"/>
        <v>Normal</v>
      </c>
      <c r="W270" s="87">
        <f t="shared" si="20"/>
        <v>0</v>
      </c>
      <c r="X270" s="87">
        <f t="shared" si="21"/>
        <v>0</v>
      </c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</row>
    <row r="271" spans="1:39">
      <c r="A271" s="23">
        <v>44921</v>
      </c>
      <c r="B271" s="121">
        <f>IF(YEAR(Table9[[#This Row],[Date]]) = 2022, WEEKNUM(Table9[[#This Row],[Date]])-13, WEEKNUM(Table9[[#This Row],[Date]])+40)</f>
        <v>40</v>
      </c>
      <c r="C271" s="35" t="s">
        <v>63</v>
      </c>
      <c r="D271" s="35" t="s">
        <v>59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18">
        <v>0</v>
      </c>
      <c r="O271" s="18">
        <v>0</v>
      </c>
      <c r="P271" s="18">
        <v>0</v>
      </c>
      <c r="Q271" s="22">
        <v>0</v>
      </c>
      <c r="R271" s="230">
        <v>0</v>
      </c>
      <c r="S271" s="230">
        <v>0</v>
      </c>
      <c r="T271" s="240">
        <v>0</v>
      </c>
      <c r="U271" s="245" t="str">
        <f t="shared" si="18"/>
        <v>Normal</v>
      </c>
      <c r="V271" s="245" t="str">
        <f t="shared" si="19"/>
        <v>Normal</v>
      </c>
      <c r="W271" s="87">
        <f t="shared" si="20"/>
        <v>0</v>
      </c>
      <c r="X271" s="87">
        <f t="shared" si="21"/>
        <v>0</v>
      </c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</row>
    <row r="272" spans="1:39">
      <c r="A272" s="23">
        <v>44922</v>
      </c>
      <c r="B272" s="121">
        <f>IF(YEAR(Table9[[#This Row],[Date]]) = 2022, WEEKNUM(Table9[[#This Row],[Date]])-13, WEEKNUM(Table9[[#This Row],[Date]])+40)</f>
        <v>40</v>
      </c>
      <c r="C272" s="35" t="s">
        <v>63</v>
      </c>
      <c r="D272" s="35" t="s">
        <v>59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8">
        <v>0</v>
      </c>
      <c r="N272" s="18">
        <v>0</v>
      </c>
      <c r="O272" s="18">
        <v>0</v>
      </c>
      <c r="P272" s="18">
        <v>0</v>
      </c>
      <c r="Q272" s="22">
        <v>0</v>
      </c>
      <c r="R272" s="230">
        <v>0</v>
      </c>
      <c r="S272" s="230">
        <v>0</v>
      </c>
      <c r="T272" s="240">
        <v>0</v>
      </c>
      <c r="U272" s="245" t="str">
        <f t="shared" si="18"/>
        <v>Normal</v>
      </c>
      <c r="V272" s="245" t="str">
        <f t="shared" si="19"/>
        <v>Normal</v>
      </c>
      <c r="W272" s="87">
        <f t="shared" si="20"/>
        <v>0</v>
      </c>
      <c r="X272" s="87">
        <f t="shared" si="21"/>
        <v>0</v>
      </c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</row>
    <row r="273" spans="1:46">
      <c r="A273" s="23">
        <v>44923</v>
      </c>
      <c r="B273" s="121">
        <f>IF(YEAR(Table9[[#This Row],[Date]]) = 2022, WEEKNUM(Table9[[#This Row],[Date]])-13, WEEKNUM(Table9[[#This Row],[Date]])+40)</f>
        <v>40</v>
      </c>
      <c r="C273" s="35" t="s">
        <v>50</v>
      </c>
      <c r="D273" s="35" t="s">
        <v>59</v>
      </c>
      <c r="E273" s="1">
        <v>655</v>
      </c>
      <c r="F273" s="1">
        <v>574</v>
      </c>
      <c r="G273" s="87">
        <f>IFERROR((Table9[[#This Row],[Calls Off]]-E266)/E266,0)</f>
        <v>-0.20316301703163017</v>
      </c>
      <c r="H273" s="87">
        <f>IFERROR((Table9[[#This Row],[Calls Ans]]-F266)/F266,0)</f>
        <v>-8.6355785837651123E-3</v>
      </c>
      <c r="I273" s="1">
        <f>Table9[[#This Row],[Calls Off]]+I269</f>
        <v>17405</v>
      </c>
      <c r="J273" s="1">
        <f>Table9[[#This Row],[Calls Ans]]+J269</f>
        <v>13080</v>
      </c>
      <c r="K273" s="1">
        <f>K269+Table9[[#This Row],[Calls Off]]</f>
        <v>94467</v>
      </c>
      <c r="L273" s="1">
        <f>L269+Table9[[#This Row],[Calls Ans]]</f>
        <v>84415</v>
      </c>
      <c r="M273" s="18">
        <v>0.56000000000000005</v>
      </c>
      <c r="N273" s="18">
        <v>0.12</v>
      </c>
      <c r="O273" s="18">
        <v>0.88</v>
      </c>
      <c r="P273" s="18">
        <v>0.92</v>
      </c>
      <c r="Q273" s="22">
        <v>1</v>
      </c>
      <c r="R273" s="230">
        <v>0</v>
      </c>
      <c r="S273" s="230">
        <v>0</v>
      </c>
      <c r="T273" s="240">
        <v>4</v>
      </c>
      <c r="U273" s="245" t="str">
        <f t="shared" si="18"/>
        <v>Normal</v>
      </c>
      <c r="V273" s="245" t="str">
        <f t="shared" si="19"/>
        <v>Normal</v>
      </c>
      <c r="W273" s="87">
        <f t="shared" si="20"/>
        <v>-0.20316301703163017</v>
      </c>
      <c r="X273" s="87">
        <f t="shared" si="21"/>
        <v>-8.6355785837651123E-3</v>
      </c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</row>
    <row r="274" spans="1:46">
      <c r="A274" s="23">
        <v>44924</v>
      </c>
      <c r="B274" s="121">
        <f>IF(YEAR(Table9[[#This Row],[Date]]) = 2022, WEEKNUM(Table9[[#This Row],[Date]])-13, WEEKNUM(Table9[[#This Row],[Date]])+40)</f>
        <v>40</v>
      </c>
      <c r="C274" s="35" t="s">
        <v>51</v>
      </c>
      <c r="D274" s="35" t="s">
        <v>59</v>
      </c>
      <c r="E274" s="1">
        <v>503</v>
      </c>
      <c r="F274" s="1">
        <v>290</v>
      </c>
      <c r="G274" s="87">
        <f>IFERROR((Table9[[#This Row],[Calls Off]]-E267)/E267,0)</f>
        <v>-0.34590377113133941</v>
      </c>
      <c r="H274" s="87">
        <f>IFERROR((Table9[[#This Row],[Calls Ans]]-F267)/F267,0)</f>
        <v>-0.5345104333868379</v>
      </c>
      <c r="I274" s="1">
        <f>Table9[[#This Row],[Calls Off]]+I273</f>
        <v>17908</v>
      </c>
      <c r="J274" s="1">
        <f>Table9[[#This Row],[Calls Ans]]+J273</f>
        <v>13370</v>
      </c>
      <c r="K274" s="1">
        <f>K273+Table9[[#This Row],[Calls Off]]</f>
        <v>94970</v>
      </c>
      <c r="L274" s="1">
        <f>L273+Table9[[#This Row],[Calls Ans]]</f>
        <v>84705</v>
      </c>
      <c r="M274" s="18">
        <v>0.45</v>
      </c>
      <c r="N274" s="18">
        <v>0.22</v>
      </c>
      <c r="O274" s="18">
        <v>0.78</v>
      </c>
      <c r="P274" s="18">
        <v>1.1200000000000001</v>
      </c>
      <c r="Q274" s="22">
        <v>0.96</v>
      </c>
      <c r="R274" s="230">
        <v>0</v>
      </c>
      <c r="S274" s="230">
        <v>0</v>
      </c>
      <c r="T274" s="240">
        <v>3</v>
      </c>
      <c r="U274" s="245" t="str">
        <f t="shared" si="18"/>
        <v>Normal</v>
      </c>
      <c r="V274" s="245" t="str">
        <f t="shared" si="19"/>
        <v>Outlier</v>
      </c>
      <c r="W274" s="87">
        <f t="shared" si="20"/>
        <v>-0.34590377113133941</v>
      </c>
      <c r="X274" s="87">
        <f t="shared" si="21"/>
        <v>-0.5345104333868379</v>
      </c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</row>
    <row r="275" spans="1:46">
      <c r="A275" s="23">
        <v>44925</v>
      </c>
      <c r="B275" s="121">
        <f>IF(YEAR(Table9[[#This Row],[Date]]) = 2022, WEEKNUM(Table9[[#This Row],[Date]])-13, WEEKNUM(Table9[[#This Row],[Date]])+40)</f>
        <v>40</v>
      </c>
      <c r="C275" s="35" t="s">
        <v>52</v>
      </c>
      <c r="D275" s="35" t="s">
        <v>59</v>
      </c>
      <c r="E275" s="1">
        <v>441</v>
      </c>
      <c r="F275" s="1">
        <v>382</v>
      </c>
      <c r="G275" s="87">
        <f>IFERROR((Table9[[#This Row],[Calls Off]]-E268)/E268,0)</f>
        <v>-0.41666666666666669</v>
      </c>
      <c r="H275" s="87">
        <f>IFERROR((Table9[[#This Row],[Calls Ans]]-F268)/F268,0)</f>
        <v>-0.36013400335008378</v>
      </c>
      <c r="I275" s="1">
        <f>Table9[[#This Row],[Calls Off]]+I274</f>
        <v>18349</v>
      </c>
      <c r="J275" s="1">
        <f>Table9[[#This Row],[Calls Ans]]+J274</f>
        <v>13752</v>
      </c>
      <c r="K275" s="1">
        <f>K274+Table9[[#This Row],[Calls Off]]</f>
        <v>95411</v>
      </c>
      <c r="L275" s="1">
        <f>L274+Table9[[#This Row],[Calls Ans]]</f>
        <v>85087</v>
      </c>
      <c r="M275" s="18">
        <v>0.55000000000000004</v>
      </c>
      <c r="N275" s="18">
        <v>0.13</v>
      </c>
      <c r="O275" s="18">
        <v>0.87</v>
      </c>
      <c r="P275" s="18">
        <v>1.18</v>
      </c>
      <c r="Q275" s="22">
        <v>0.96</v>
      </c>
      <c r="R275" s="230">
        <v>0</v>
      </c>
      <c r="S275" s="230">
        <v>0</v>
      </c>
      <c r="T275" s="240">
        <v>3</v>
      </c>
      <c r="U275" s="245" t="str">
        <f t="shared" si="18"/>
        <v>Normal</v>
      </c>
      <c r="V275" s="245" t="str">
        <f t="shared" si="19"/>
        <v>Normal</v>
      </c>
      <c r="W275" s="87">
        <f t="shared" si="20"/>
        <v>-0.41666666666666669</v>
      </c>
      <c r="X275" s="87">
        <f t="shared" si="21"/>
        <v>-0.36013400335008378</v>
      </c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</row>
    <row r="276" spans="1:46">
      <c r="A276" s="23">
        <v>44926</v>
      </c>
      <c r="B276" s="121">
        <f>IF(YEAR(Table9[[#This Row],[Date]]) = 2022, WEEKNUM(Table9[[#This Row],[Date]])-13, WEEKNUM(Table9[[#This Row],[Date]])+40)</f>
        <v>40</v>
      </c>
      <c r="C276" s="35" t="s">
        <v>53</v>
      </c>
      <c r="D276" s="35" t="s">
        <v>59</v>
      </c>
      <c r="E276" s="1">
        <v>236</v>
      </c>
      <c r="F276" s="1">
        <v>216</v>
      </c>
      <c r="G276" s="87">
        <f>IFERROR((Table9[[#This Row],[Calls Off]]-E269)/E269,0)</f>
        <v>-0.30994152046783624</v>
      </c>
      <c r="H276" s="87">
        <f>IFERROR((Table9[[#This Row],[Calls Ans]]-F269)/F269,0)</f>
        <v>-0.29411764705882354</v>
      </c>
      <c r="I276" s="1">
        <f>Table9[[#This Row],[Calls Off]]+I275</f>
        <v>18585</v>
      </c>
      <c r="J276" s="1">
        <f>Table9[[#This Row],[Calls Ans]]+J275</f>
        <v>13968</v>
      </c>
      <c r="K276" s="1">
        <f>K275+Table9[[#This Row],[Calls Off]]</f>
        <v>95647</v>
      </c>
      <c r="L276" s="1">
        <f>L275+Table9[[#This Row],[Calls Ans]]</f>
        <v>85303</v>
      </c>
      <c r="M276" s="18">
        <v>0.68</v>
      </c>
      <c r="N276" s="18">
        <v>0.08</v>
      </c>
      <c r="O276" s="18">
        <v>0.92</v>
      </c>
      <c r="P276" s="18">
        <v>0.83</v>
      </c>
      <c r="Q276" s="22">
        <v>1</v>
      </c>
      <c r="R276" s="230">
        <v>0</v>
      </c>
      <c r="S276" s="230">
        <v>0</v>
      </c>
      <c r="T276" s="240">
        <v>3</v>
      </c>
      <c r="U276" s="245" t="str">
        <f t="shared" si="18"/>
        <v>Normal</v>
      </c>
      <c r="V276" s="245" t="str">
        <f t="shared" si="19"/>
        <v>Normal</v>
      </c>
      <c r="W276" s="87">
        <f t="shared" si="20"/>
        <v>-0.30994152046783624</v>
      </c>
      <c r="X276" s="87">
        <f t="shared" si="21"/>
        <v>-0.29411764705882354</v>
      </c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</row>
    <row r="277" spans="1:46">
      <c r="A277" s="23">
        <v>44927</v>
      </c>
      <c r="B277" s="121">
        <f>IF(YEAR(Table9[[#This Row],[Date]]) = 2022, WEEKNUM(Table9[[#This Row],[Date]])-13, WEEKNUM(Table9[[#This Row],[Date]])+40)</f>
        <v>41</v>
      </c>
      <c r="C277" s="35" t="s">
        <v>47</v>
      </c>
      <c r="D277" s="35" t="s">
        <v>59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8">
        <v>0</v>
      </c>
      <c r="N277" s="18">
        <v>0</v>
      </c>
      <c r="O277" s="18">
        <v>0</v>
      </c>
      <c r="P277" s="18">
        <v>0</v>
      </c>
      <c r="Q277" s="22">
        <v>0</v>
      </c>
      <c r="R277" s="230">
        <v>0</v>
      </c>
      <c r="S277" s="230">
        <v>0</v>
      </c>
      <c r="T277" s="240">
        <v>0</v>
      </c>
      <c r="U277" s="245" t="str">
        <f t="shared" si="18"/>
        <v>Normal</v>
      </c>
      <c r="V277" s="245" t="str">
        <f t="shared" si="19"/>
        <v>Normal</v>
      </c>
      <c r="W277" s="87">
        <f t="shared" si="20"/>
        <v>0</v>
      </c>
      <c r="X277" s="87">
        <f t="shared" si="21"/>
        <v>0</v>
      </c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</row>
    <row r="278" spans="1:46">
      <c r="A278" s="23">
        <v>44928</v>
      </c>
      <c r="B278" s="121">
        <f>IF(YEAR(Table9[[#This Row],[Date]]) = 2022, WEEKNUM(Table9[[#This Row],[Date]])-13, WEEKNUM(Table9[[#This Row],[Date]])+40)</f>
        <v>41</v>
      </c>
      <c r="C278" s="35" t="s">
        <v>63</v>
      </c>
      <c r="D278" s="35" t="s">
        <v>59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8">
        <v>0</v>
      </c>
      <c r="N278" s="18">
        <v>0</v>
      </c>
      <c r="O278" s="18">
        <v>0</v>
      </c>
      <c r="P278" s="18">
        <v>0</v>
      </c>
      <c r="Q278" s="22">
        <v>0</v>
      </c>
      <c r="R278" s="230">
        <v>0</v>
      </c>
      <c r="S278" s="230">
        <v>0</v>
      </c>
      <c r="T278" s="240">
        <v>0</v>
      </c>
      <c r="U278" s="245" t="str">
        <f t="shared" si="18"/>
        <v>Normal</v>
      </c>
      <c r="V278" s="245" t="str">
        <f t="shared" si="19"/>
        <v>Normal</v>
      </c>
      <c r="W278" s="87">
        <f t="shared" si="20"/>
        <v>0</v>
      </c>
      <c r="X278" s="87">
        <f t="shared" si="21"/>
        <v>0</v>
      </c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</row>
    <row r="279" spans="1:46">
      <c r="A279" s="23">
        <v>44929</v>
      </c>
      <c r="B279" s="121">
        <f>IF(YEAR(Table9[[#This Row],[Date]]) = 2022, WEEKNUM(Table9[[#This Row],[Date]])-13, WEEKNUM(Table9[[#This Row],[Date]])+40)</f>
        <v>41</v>
      </c>
      <c r="C279" s="35" t="s">
        <v>49</v>
      </c>
      <c r="D279" s="35" t="s">
        <v>59</v>
      </c>
      <c r="E279" s="1">
        <v>542</v>
      </c>
      <c r="F279" s="1">
        <v>375</v>
      </c>
      <c r="G279" s="87">
        <f>IFERROR((Table9[[#This Row],[Calls Off]]-E272)/E272,0)</f>
        <v>0</v>
      </c>
      <c r="H279" s="87">
        <f>IFERROR((Table9[[#This Row],[Calls Ans]]-F272)/F272,0)</f>
        <v>0</v>
      </c>
      <c r="I279" s="1">
        <f>Table9[[#This Row],[Calls Off]]</f>
        <v>542</v>
      </c>
      <c r="J279" s="1">
        <f>Table9[[#This Row],[Calls Ans]]</f>
        <v>375</v>
      </c>
      <c r="K279" s="1">
        <f>K276+Table9[[#This Row],[Calls Off]]</f>
        <v>96189</v>
      </c>
      <c r="L279" s="1">
        <f>L276+Table9[[#This Row],[Calls Ans]]</f>
        <v>85678</v>
      </c>
      <c r="M279" s="18">
        <v>0.36</v>
      </c>
      <c r="N279" s="18">
        <v>0.31</v>
      </c>
      <c r="O279" s="18">
        <v>0.69</v>
      </c>
      <c r="P279" s="18">
        <v>0.82</v>
      </c>
      <c r="Q279" s="22">
        <v>0.99</v>
      </c>
      <c r="R279" s="230">
        <v>126</v>
      </c>
      <c r="S279" s="230">
        <v>0</v>
      </c>
      <c r="T279" s="240">
        <v>3</v>
      </c>
      <c r="U279" s="245" t="str">
        <f t="shared" si="18"/>
        <v>Normal</v>
      </c>
      <c r="V279" s="245" t="str">
        <f t="shared" si="19"/>
        <v>Normal</v>
      </c>
      <c r="W279" s="87">
        <f t="shared" si="20"/>
        <v>0</v>
      </c>
      <c r="X279" s="87">
        <f t="shared" si="21"/>
        <v>0</v>
      </c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P279">
        <f>MINUTE(Table9[[#This Row],[AHT]])</f>
        <v>0</v>
      </c>
      <c r="AQ279">
        <f>SECOND(Table9[[#This Row],[AHT]])</f>
        <v>0</v>
      </c>
      <c r="AT279">
        <v>126</v>
      </c>
    </row>
    <row r="280" spans="1:46">
      <c r="A280" s="23">
        <v>44930</v>
      </c>
      <c r="B280" s="121">
        <f>IF(YEAR(Table9[[#This Row],[Date]]) = 2022, WEEKNUM(Table9[[#This Row],[Date]])-13, WEEKNUM(Table9[[#This Row],[Date]])+40)</f>
        <v>41</v>
      </c>
      <c r="C280" s="35" t="s">
        <v>50</v>
      </c>
      <c r="D280" s="35" t="s">
        <v>59</v>
      </c>
      <c r="E280" s="1">
        <v>421</v>
      </c>
      <c r="F280" s="1">
        <v>328</v>
      </c>
      <c r="G280" s="87">
        <f>IFERROR((Table9[[#This Row],[Calls Off]]-E273)/E273,0)</f>
        <v>-0.35725190839694654</v>
      </c>
      <c r="H280" s="87">
        <f>IFERROR((Table9[[#This Row],[Calls Ans]]-F273)/F273,0)</f>
        <v>-0.42857142857142855</v>
      </c>
      <c r="I280" s="1">
        <f>Table9[[#This Row],[Calls Off]]+I279</f>
        <v>963</v>
      </c>
      <c r="J280" s="1">
        <f>Table9[[#This Row],[Calls Ans]]+J279</f>
        <v>703</v>
      </c>
      <c r="K280" s="1">
        <f>K279+Table9[[#This Row],[Calls Off]]</f>
        <v>96610</v>
      </c>
      <c r="L280" s="1">
        <f>L279+Table9[[#This Row],[Calls Ans]]</f>
        <v>86006</v>
      </c>
      <c r="M280" s="18">
        <v>0.49</v>
      </c>
      <c r="N280" s="18">
        <v>0.22</v>
      </c>
      <c r="O280" s="18">
        <v>0.78</v>
      </c>
      <c r="P280" s="18">
        <v>1.07</v>
      </c>
      <c r="Q280" s="22">
        <v>1</v>
      </c>
      <c r="R280" s="230">
        <v>182</v>
      </c>
      <c r="S280" s="230">
        <v>0</v>
      </c>
      <c r="T280" s="240">
        <v>3</v>
      </c>
      <c r="U280" s="245" t="str">
        <f t="shared" si="18"/>
        <v>Normal</v>
      </c>
      <c r="V280" s="245" t="str">
        <f t="shared" si="19"/>
        <v>Normal</v>
      </c>
      <c r="W280" s="87">
        <f t="shared" si="20"/>
        <v>-0.35725190839694654</v>
      </c>
      <c r="X280" s="87">
        <f t="shared" si="21"/>
        <v>-0.42857142857142855</v>
      </c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P280">
        <f>MINUTE(Table9[[#This Row],[AHT]])</f>
        <v>0</v>
      </c>
      <c r="AQ280">
        <f>SECOND(Table9[[#This Row],[AHT]])</f>
        <v>0</v>
      </c>
      <c r="AT280">
        <v>182</v>
      </c>
    </row>
    <row r="281" spans="1:46">
      <c r="A281" s="23">
        <v>44931</v>
      </c>
      <c r="B281" s="121">
        <f>IF(YEAR(Table9[[#This Row],[Date]]) = 2022, WEEKNUM(Table9[[#This Row],[Date]])-13, WEEKNUM(Table9[[#This Row],[Date]])+40)</f>
        <v>41</v>
      </c>
      <c r="C281" s="35" t="s">
        <v>51</v>
      </c>
      <c r="D281" s="35" t="s">
        <v>59</v>
      </c>
      <c r="E281" s="1">
        <v>353</v>
      </c>
      <c r="F281" s="1">
        <v>312</v>
      </c>
      <c r="G281" s="87">
        <f>IFERROR((Table9[[#This Row],[Calls Off]]-E274)/E274,0)</f>
        <v>-0.29821073558648109</v>
      </c>
      <c r="H281" s="87">
        <f>IFERROR((Table9[[#This Row],[Calls Ans]]-F274)/F274,0)</f>
        <v>7.586206896551724E-2</v>
      </c>
      <c r="I281" s="1">
        <f>Table9[[#This Row],[Calls Off]]+I280</f>
        <v>1316</v>
      </c>
      <c r="J281" s="1">
        <f>Table9[[#This Row],[Calls Ans]]+J280</f>
        <v>1015</v>
      </c>
      <c r="K281" s="1">
        <f>K280+Table9[[#This Row],[Calls Off]]</f>
        <v>96963</v>
      </c>
      <c r="L281" s="1">
        <f>L280+Table9[[#This Row],[Calls Ans]]</f>
        <v>86318</v>
      </c>
      <c r="M281" s="18">
        <v>0.7</v>
      </c>
      <c r="N281" s="18">
        <v>0.22</v>
      </c>
      <c r="O281" s="18">
        <v>0.78</v>
      </c>
      <c r="P281" s="18">
        <v>0.96</v>
      </c>
      <c r="Q281" s="22">
        <v>0.99</v>
      </c>
      <c r="R281" s="230">
        <v>153</v>
      </c>
      <c r="S281" s="230">
        <v>0</v>
      </c>
      <c r="T281" s="240">
        <v>3</v>
      </c>
      <c r="U281" s="245" t="str">
        <f t="shared" si="18"/>
        <v>Normal</v>
      </c>
      <c r="V281" s="245" t="str">
        <f t="shared" si="19"/>
        <v>Normal</v>
      </c>
      <c r="W281" s="87">
        <f t="shared" si="20"/>
        <v>-0.29821073558648109</v>
      </c>
      <c r="X281" s="87">
        <f t="shared" si="21"/>
        <v>7.586206896551724E-2</v>
      </c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P281">
        <f>MINUTE(Table9[[#This Row],[AHT]])</f>
        <v>0</v>
      </c>
      <c r="AQ281">
        <f>SECOND(Table9[[#This Row],[AHT]])</f>
        <v>0</v>
      </c>
      <c r="AT281">
        <v>153</v>
      </c>
    </row>
    <row r="282" spans="1:46">
      <c r="A282" s="23">
        <v>44932</v>
      </c>
      <c r="B282" s="121">
        <f>IF(YEAR(Table9[[#This Row],[Date]]) = 2022, WEEKNUM(Table9[[#This Row],[Date]])-13, WEEKNUM(Table9[[#This Row],[Date]])+40)</f>
        <v>41</v>
      </c>
      <c r="C282" s="35" t="s">
        <v>52</v>
      </c>
      <c r="D282" s="35" t="s">
        <v>59</v>
      </c>
      <c r="E282" s="1">
        <v>315</v>
      </c>
      <c r="F282" s="1">
        <v>288</v>
      </c>
      <c r="G282" s="87">
        <f>IFERROR((Table9[[#This Row],[Calls Off]]-E275)/E275,0)</f>
        <v>-0.2857142857142857</v>
      </c>
      <c r="H282" s="87">
        <f>IFERROR((Table9[[#This Row],[Calls Ans]]-F275)/F275,0)</f>
        <v>-0.24607329842931938</v>
      </c>
      <c r="I282" s="1">
        <f>Table9[[#This Row],[Calls Off]]+I281</f>
        <v>1631</v>
      </c>
      <c r="J282" s="1">
        <f>Table9[[#This Row],[Calls Ans]]+J281</f>
        <v>1303</v>
      </c>
      <c r="K282" s="1">
        <f>K281+Table9[[#This Row],[Calls Off]]</f>
        <v>97278</v>
      </c>
      <c r="L282" s="1">
        <f>L281+Table9[[#This Row],[Calls Ans]]</f>
        <v>86606</v>
      </c>
      <c r="M282" s="18">
        <v>0.74</v>
      </c>
      <c r="N282" s="18">
        <v>0.09</v>
      </c>
      <c r="O282" s="18">
        <v>0.91</v>
      </c>
      <c r="P282" s="18">
        <v>0.9</v>
      </c>
      <c r="Q282" s="22">
        <v>0.99</v>
      </c>
      <c r="R282" s="230">
        <v>157</v>
      </c>
      <c r="S282" s="230">
        <v>0</v>
      </c>
      <c r="T282" s="240">
        <v>3</v>
      </c>
      <c r="U282" s="245" t="str">
        <f t="shared" si="18"/>
        <v>Normal</v>
      </c>
      <c r="V282" s="245" t="str">
        <f t="shared" si="19"/>
        <v>Normal</v>
      </c>
      <c r="W282" s="87">
        <f t="shared" si="20"/>
        <v>-0.2857142857142857</v>
      </c>
      <c r="X282" s="87">
        <f t="shared" si="21"/>
        <v>-0.24607329842931938</v>
      </c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P282">
        <f>MINUTE(Table9[[#This Row],[AHT]])</f>
        <v>0</v>
      </c>
      <c r="AQ282">
        <f>SECOND(Table9[[#This Row],[AHT]])</f>
        <v>0</v>
      </c>
      <c r="AT282">
        <v>157</v>
      </c>
    </row>
    <row r="283" spans="1:46">
      <c r="A283" s="23">
        <v>44933</v>
      </c>
      <c r="B283" s="121">
        <f>IF(YEAR(Table9[[#This Row],[Date]]) = 2022, WEEKNUM(Table9[[#This Row],[Date]])-13, WEEKNUM(Table9[[#This Row],[Date]])+40)</f>
        <v>41</v>
      </c>
      <c r="C283" s="35" t="s">
        <v>53</v>
      </c>
      <c r="D283" s="35" t="s">
        <v>59</v>
      </c>
      <c r="E283" s="1">
        <v>249</v>
      </c>
      <c r="F283" s="1">
        <v>234</v>
      </c>
      <c r="G283" s="87">
        <f>IFERROR((Table9[[#This Row],[Calls Off]]-E276)/E276,0)</f>
        <v>5.5084745762711863E-2</v>
      </c>
      <c r="H283" s="87">
        <f>IFERROR((Table9[[#This Row],[Calls Ans]]-F276)/F276,0)</f>
        <v>8.3333333333333329E-2</v>
      </c>
      <c r="I283" s="1">
        <f>Table9[[#This Row],[Calls Off]]+I282</f>
        <v>1880</v>
      </c>
      <c r="J283" s="1">
        <f>Table9[[#This Row],[Calls Ans]]+J282</f>
        <v>1537</v>
      </c>
      <c r="K283" s="1">
        <f>K282+Table9[[#This Row],[Calls Off]]</f>
        <v>97527</v>
      </c>
      <c r="L283" s="1">
        <f>L282+Table9[[#This Row],[Calls Ans]]</f>
        <v>86840</v>
      </c>
      <c r="M283" s="18">
        <v>0.8</v>
      </c>
      <c r="N283" s="18">
        <v>0.06</v>
      </c>
      <c r="O283" s="18">
        <v>0.94</v>
      </c>
      <c r="P283" s="18">
        <v>0.57999999999999996</v>
      </c>
      <c r="Q283" s="22">
        <v>0.98</v>
      </c>
      <c r="R283" s="230">
        <v>122</v>
      </c>
      <c r="S283" s="230">
        <v>0</v>
      </c>
      <c r="T283" s="240">
        <v>3</v>
      </c>
      <c r="U283" s="245" t="str">
        <f t="shared" si="18"/>
        <v>Normal</v>
      </c>
      <c r="V283" s="245" t="str">
        <f t="shared" si="19"/>
        <v>Normal</v>
      </c>
      <c r="W283" s="87">
        <f t="shared" si="20"/>
        <v>5.5084745762711863E-2</v>
      </c>
      <c r="X283" s="87">
        <f t="shared" si="21"/>
        <v>8.3333333333333329E-2</v>
      </c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P283">
        <f>MINUTE(Table9[[#This Row],[AHT]])</f>
        <v>0</v>
      </c>
      <c r="AQ283">
        <f>SECOND(Table9[[#This Row],[AHT]])</f>
        <v>0</v>
      </c>
      <c r="AT283">
        <v>122</v>
      </c>
    </row>
    <row r="284" spans="1:46">
      <c r="A284" s="23">
        <v>44934</v>
      </c>
      <c r="B284" s="121">
        <f>IF(YEAR(Table9[[#This Row],[Date]]) = 2022, WEEKNUM(Table9[[#This Row],[Date]])-13, WEEKNUM(Table9[[#This Row],[Date]])+40)</f>
        <v>42</v>
      </c>
      <c r="C284" s="35" t="s">
        <v>47</v>
      </c>
      <c r="D284" s="35" t="s">
        <v>59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8">
        <v>0</v>
      </c>
      <c r="N284" s="18">
        <v>0</v>
      </c>
      <c r="O284" s="18">
        <v>0</v>
      </c>
      <c r="P284" s="18">
        <v>0</v>
      </c>
      <c r="Q284" s="22">
        <v>0</v>
      </c>
      <c r="R284" s="230">
        <v>0</v>
      </c>
      <c r="S284" s="230">
        <v>0</v>
      </c>
      <c r="T284" s="240">
        <v>0</v>
      </c>
      <c r="U284" s="245" t="str">
        <f t="shared" si="18"/>
        <v>Normal</v>
      </c>
      <c r="V284" s="245" t="str">
        <f t="shared" si="19"/>
        <v>Normal</v>
      </c>
      <c r="W284" s="87">
        <f t="shared" si="20"/>
        <v>0</v>
      </c>
      <c r="X284" s="87">
        <f t="shared" si="21"/>
        <v>0</v>
      </c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P284">
        <f>MINUTE(Table9[[#This Row],[AHT]])</f>
        <v>0</v>
      </c>
      <c r="AQ284">
        <f>SECOND(Table9[[#This Row],[AHT]])</f>
        <v>0</v>
      </c>
      <c r="AT284">
        <v>0</v>
      </c>
    </row>
    <row r="285" spans="1:46">
      <c r="A285" s="23">
        <v>44935</v>
      </c>
      <c r="B285" s="121">
        <f>IF(YEAR(Table9[[#This Row],[Date]]) = 2022, WEEKNUM(Table9[[#This Row],[Date]])-13, WEEKNUM(Table9[[#This Row],[Date]])+40)</f>
        <v>42</v>
      </c>
      <c r="C285" s="35" t="s">
        <v>48</v>
      </c>
      <c r="D285" s="35" t="s">
        <v>59</v>
      </c>
      <c r="E285" s="1">
        <v>401</v>
      </c>
      <c r="F285" s="1">
        <v>377</v>
      </c>
      <c r="G285" s="87">
        <f>IFERROR((Table9[[#This Row],[Calls Off]]-E278)/E278,0)</f>
        <v>0</v>
      </c>
      <c r="H285" s="87">
        <f>IFERROR((Table9[[#This Row],[Calls Ans]]-F278)/F278,0)</f>
        <v>0</v>
      </c>
      <c r="I285" s="1">
        <f>Table9[[#This Row],[Calls Off]]+I283</f>
        <v>2281</v>
      </c>
      <c r="J285" s="1">
        <f>Table9[[#This Row],[Calls Ans]]+J283</f>
        <v>1914</v>
      </c>
      <c r="K285" s="1">
        <f>K283+Table9[[#This Row],[Calls Off]]</f>
        <v>97928</v>
      </c>
      <c r="L285" s="1">
        <f>L283+Table9[[#This Row],[Calls Ans]]</f>
        <v>87217</v>
      </c>
      <c r="M285" s="18">
        <v>0.82</v>
      </c>
      <c r="N285" s="18">
        <v>0.06</v>
      </c>
      <c r="O285" s="18">
        <v>0.94</v>
      </c>
      <c r="P285" s="18">
        <v>0.65</v>
      </c>
      <c r="Q285" s="22">
        <v>0.99</v>
      </c>
      <c r="R285" s="230">
        <v>96</v>
      </c>
      <c r="S285" s="230">
        <v>0</v>
      </c>
      <c r="T285" s="240">
        <v>4</v>
      </c>
      <c r="U285" s="245" t="str">
        <f t="shared" si="18"/>
        <v>Normal</v>
      </c>
      <c r="V285" s="245" t="str">
        <f t="shared" si="19"/>
        <v>Normal</v>
      </c>
      <c r="W285" s="87">
        <f t="shared" si="20"/>
        <v>0</v>
      </c>
      <c r="X285" s="87">
        <f t="shared" si="21"/>
        <v>0</v>
      </c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P285">
        <f>MINUTE(Table9[[#This Row],[AHT]])</f>
        <v>0</v>
      </c>
      <c r="AQ285">
        <f>SECOND(Table9[[#This Row],[AHT]])</f>
        <v>0</v>
      </c>
      <c r="AT285">
        <v>96</v>
      </c>
    </row>
    <row r="286" spans="1:46">
      <c r="A286" s="23">
        <v>44936</v>
      </c>
      <c r="B286" s="121">
        <f>IF(YEAR(Table9[[#This Row],[Date]]) = 2022, WEEKNUM(Table9[[#This Row],[Date]])-13, WEEKNUM(Table9[[#This Row],[Date]])+40)</f>
        <v>42</v>
      </c>
      <c r="C286" s="35" t="s">
        <v>49</v>
      </c>
      <c r="D286" s="35" t="s">
        <v>59</v>
      </c>
      <c r="E286" s="1">
        <v>407</v>
      </c>
      <c r="F286" s="1">
        <v>372</v>
      </c>
      <c r="G286" s="87">
        <f>IFERROR((Table9[[#This Row],[Calls Off]]-E279)/E279,0)</f>
        <v>-0.24907749077490776</v>
      </c>
      <c r="H286" s="87">
        <f>IFERROR((Table9[[#This Row],[Calls Ans]]-F279)/F279,0)</f>
        <v>-8.0000000000000002E-3</v>
      </c>
      <c r="I286" s="1">
        <f>Table9[[#This Row],[Calls Off]]+I285</f>
        <v>2688</v>
      </c>
      <c r="J286" s="1">
        <f>Table9[[#This Row],[Calls Ans]]+J285</f>
        <v>2286</v>
      </c>
      <c r="K286" s="1">
        <f>K285+Table9[[#This Row],[Calls Off]]</f>
        <v>98335</v>
      </c>
      <c r="L286" s="1">
        <f>L285+Table9[[#This Row],[Calls Ans]]</f>
        <v>87589</v>
      </c>
      <c r="M286" s="18">
        <v>0.81</v>
      </c>
      <c r="N286" s="18">
        <v>0.09</v>
      </c>
      <c r="O286" s="18">
        <v>0.91</v>
      </c>
      <c r="P286" s="18">
        <v>0.76</v>
      </c>
      <c r="Q286" s="22">
        <v>0.99</v>
      </c>
      <c r="R286" s="230">
        <v>112</v>
      </c>
      <c r="S286" s="230">
        <v>0</v>
      </c>
      <c r="T286" s="240">
        <v>4</v>
      </c>
      <c r="U286" s="245" t="str">
        <f t="shared" si="18"/>
        <v>Normal</v>
      </c>
      <c r="V286" s="245" t="str">
        <f t="shared" si="19"/>
        <v>Normal</v>
      </c>
      <c r="W286" s="87">
        <f t="shared" si="20"/>
        <v>-0.24907749077490776</v>
      </c>
      <c r="X286" s="87">
        <f t="shared" si="21"/>
        <v>-8.0000000000000002E-3</v>
      </c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P286">
        <f>MINUTE(Table9[[#This Row],[AHT]])</f>
        <v>0</v>
      </c>
      <c r="AQ286">
        <f>SECOND(Table9[[#This Row],[AHT]])</f>
        <v>0</v>
      </c>
      <c r="AT286">
        <v>112</v>
      </c>
    </row>
    <row r="287" spans="1:46">
      <c r="A287" s="23">
        <v>44937</v>
      </c>
      <c r="B287" s="121">
        <f>IF(YEAR(Table9[[#This Row],[Date]]) = 2022, WEEKNUM(Table9[[#This Row],[Date]])-13, WEEKNUM(Table9[[#This Row],[Date]])+40)</f>
        <v>42</v>
      </c>
      <c r="C287" s="35" t="s">
        <v>50</v>
      </c>
      <c r="D287" s="35" t="s">
        <v>59</v>
      </c>
      <c r="E287" s="1">
        <v>347</v>
      </c>
      <c r="F287" s="1">
        <v>333</v>
      </c>
      <c r="G287" s="87">
        <f>IFERROR((Table9[[#This Row],[Calls Off]]-E280)/E280,0)</f>
        <v>-0.17577197149643706</v>
      </c>
      <c r="H287" s="87">
        <f>IFERROR((Table9[[#This Row],[Calls Ans]]-F280)/F280,0)</f>
        <v>1.524390243902439E-2</v>
      </c>
      <c r="I287" s="1">
        <f>Table9[[#This Row],[Calls Off]]+I286</f>
        <v>3035</v>
      </c>
      <c r="J287" s="1">
        <f>Table9[[#This Row],[Calls Ans]]+J286</f>
        <v>2619</v>
      </c>
      <c r="K287" s="1">
        <f>K286+Table9[[#This Row],[Calls Off]]</f>
        <v>98682</v>
      </c>
      <c r="L287" s="1">
        <f>L286+Table9[[#This Row],[Calls Ans]]</f>
        <v>87922</v>
      </c>
      <c r="M287" s="18">
        <v>0.86</v>
      </c>
      <c r="N287" s="18">
        <v>0.04</v>
      </c>
      <c r="O287" s="18">
        <v>0.96</v>
      </c>
      <c r="P287" s="18">
        <v>0.71</v>
      </c>
      <c r="Q287" s="22">
        <v>1</v>
      </c>
      <c r="R287" s="230">
        <v>102</v>
      </c>
      <c r="S287" s="230">
        <v>0</v>
      </c>
      <c r="T287" s="240">
        <v>4</v>
      </c>
      <c r="U287" s="245" t="str">
        <f t="shared" si="18"/>
        <v>Normal</v>
      </c>
      <c r="V287" s="245" t="str">
        <f t="shared" si="19"/>
        <v>Normal</v>
      </c>
      <c r="W287" s="87">
        <f t="shared" si="20"/>
        <v>-0.17577197149643706</v>
      </c>
      <c r="X287" s="87">
        <f t="shared" si="21"/>
        <v>1.524390243902439E-2</v>
      </c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P287">
        <f>MINUTE(Table9[[#This Row],[AHT]])</f>
        <v>0</v>
      </c>
      <c r="AQ287">
        <f>SECOND(Table9[[#This Row],[AHT]])</f>
        <v>0</v>
      </c>
      <c r="AT287">
        <v>102</v>
      </c>
    </row>
    <row r="288" spans="1:46">
      <c r="A288" s="23">
        <v>44938</v>
      </c>
      <c r="B288" s="121">
        <f>IF(YEAR(Table9[[#This Row],[Date]]) = 2022, WEEKNUM(Table9[[#This Row],[Date]])-13, WEEKNUM(Table9[[#This Row],[Date]])+40)</f>
        <v>42</v>
      </c>
      <c r="C288" s="35" t="s">
        <v>51</v>
      </c>
      <c r="D288" s="35" t="s">
        <v>59</v>
      </c>
      <c r="E288" s="1">
        <v>419</v>
      </c>
      <c r="F288" s="1">
        <v>405</v>
      </c>
      <c r="G288" s="87">
        <f>IFERROR((Table9[[#This Row],[Calls Off]]-E281)/E281,0)</f>
        <v>0.18696883852691218</v>
      </c>
      <c r="H288" s="87">
        <f>IFERROR((Table9[[#This Row],[Calls Ans]]-F281)/F281,0)</f>
        <v>0.29807692307692307</v>
      </c>
      <c r="I288" s="1">
        <f>Table9[[#This Row],[Calls Off]]+I287</f>
        <v>3454</v>
      </c>
      <c r="J288" s="1">
        <f>Table9[[#This Row],[Calls Ans]]+J287</f>
        <v>3024</v>
      </c>
      <c r="K288" s="1">
        <f>K287+Table9[[#This Row],[Calls Off]]</f>
        <v>99101</v>
      </c>
      <c r="L288" s="1">
        <f>L287+Table9[[#This Row],[Calls Ans]]</f>
        <v>88327</v>
      </c>
      <c r="M288" s="18">
        <v>0.76</v>
      </c>
      <c r="N288" s="18">
        <v>0.03</v>
      </c>
      <c r="O288" s="18">
        <v>0.97</v>
      </c>
      <c r="P288" s="18">
        <v>0.74</v>
      </c>
      <c r="Q288" s="22">
        <v>1</v>
      </c>
      <c r="R288" s="230">
        <v>73</v>
      </c>
      <c r="S288" s="230">
        <v>0</v>
      </c>
      <c r="T288" s="240">
        <v>3</v>
      </c>
      <c r="U288" s="245" t="str">
        <f t="shared" si="18"/>
        <v>Normal</v>
      </c>
      <c r="V288" s="245" t="str">
        <f t="shared" si="19"/>
        <v>Normal</v>
      </c>
      <c r="W288" s="87">
        <f t="shared" si="20"/>
        <v>0.18696883852691218</v>
      </c>
      <c r="X288" s="87">
        <f t="shared" si="21"/>
        <v>0.29807692307692307</v>
      </c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P288">
        <f>MINUTE(Table9[[#This Row],[AHT]])</f>
        <v>0</v>
      </c>
      <c r="AQ288">
        <f>SECOND(Table9[[#This Row],[AHT]])</f>
        <v>0</v>
      </c>
      <c r="AT288">
        <v>73</v>
      </c>
    </row>
    <row r="289" spans="1:46">
      <c r="A289" s="23">
        <v>44939</v>
      </c>
      <c r="B289" s="121">
        <f>IF(YEAR(Table9[[#This Row],[Date]]) = 2022, WEEKNUM(Table9[[#This Row],[Date]])-13, WEEKNUM(Table9[[#This Row],[Date]])+40)</f>
        <v>42</v>
      </c>
      <c r="C289" s="35" t="s">
        <v>52</v>
      </c>
      <c r="D289" s="35" t="s">
        <v>59</v>
      </c>
      <c r="E289" s="1">
        <v>415</v>
      </c>
      <c r="F289" s="1">
        <v>379</v>
      </c>
      <c r="G289" s="87">
        <f>IFERROR((Table9[[#This Row],[Calls Off]]-E282)/E282,0)</f>
        <v>0.31746031746031744</v>
      </c>
      <c r="H289" s="87">
        <f>IFERROR((Table9[[#This Row],[Calls Ans]]-F282)/F282,0)</f>
        <v>0.31597222222222221</v>
      </c>
      <c r="I289" s="1">
        <f>Table9[[#This Row],[Calls Off]]+I288</f>
        <v>3869</v>
      </c>
      <c r="J289" s="1">
        <f>Table9[[#This Row],[Calls Ans]]+J288</f>
        <v>3403</v>
      </c>
      <c r="K289" s="1">
        <f>K288+Table9[[#This Row],[Calls Off]]</f>
        <v>99516</v>
      </c>
      <c r="L289" s="1">
        <f>L288+Table9[[#This Row],[Calls Ans]]</f>
        <v>88706</v>
      </c>
      <c r="M289" s="18">
        <v>0.76</v>
      </c>
      <c r="N289" s="18">
        <v>0.09</v>
      </c>
      <c r="O289" s="18">
        <v>0.91</v>
      </c>
      <c r="P289" s="18">
        <v>0.81</v>
      </c>
      <c r="Q289" s="22">
        <v>0.99</v>
      </c>
      <c r="R289" s="230">
        <v>89</v>
      </c>
      <c r="S289" s="230">
        <v>0</v>
      </c>
      <c r="T289" s="240">
        <v>3</v>
      </c>
      <c r="U289" s="245" t="str">
        <f t="shared" si="18"/>
        <v>Normal</v>
      </c>
      <c r="V289" s="245" t="str">
        <f t="shared" si="19"/>
        <v>Normal</v>
      </c>
      <c r="W289" s="87">
        <f t="shared" si="20"/>
        <v>0.31746031746031744</v>
      </c>
      <c r="X289" s="87">
        <f t="shared" si="21"/>
        <v>0.31597222222222221</v>
      </c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P289">
        <f>MINUTE(Table9[[#This Row],[AHT]])</f>
        <v>0</v>
      </c>
      <c r="AQ289">
        <f>SECOND(Table9[[#This Row],[AHT]])</f>
        <v>0</v>
      </c>
      <c r="AT289">
        <v>89</v>
      </c>
    </row>
    <row r="290" spans="1:46">
      <c r="A290" s="23">
        <v>44940</v>
      </c>
      <c r="B290" s="121">
        <f>IF(YEAR(Table9[[#This Row],[Date]]) = 2022, WEEKNUM(Table9[[#This Row],[Date]])-13, WEEKNUM(Table9[[#This Row],[Date]])+40)</f>
        <v>42</v>
      </c>
      <c r="C290" s="35" t="s">
        <v>53</v>
      </c>
      <c r="D290" s="35" t="s">
        <v>59</v>
      </c>
      <c r="E290" s="1">
        <v>273</v>
      </c>
      <c r="F290" s="1">
        <v>251</v>
      </c>
      <c r="G290" s="87">
        <f>IFERROR((Table9[[#This Row],[Calls Off]]-E283)/E283,0)</f>
        <v>9.6385542168674704E-2</v>
      </c>
      <c r="H290" s="87">
        <f>IFERROR((Table9[[#This Row],[Calls Ans]]-F283)/F283,0)</f>
        <v>7.2649572649572655E-2</v>
      </c>
      <c r="I290" s="1">
        <f>Table9[[#This Row],[Calls Off]]+I289</f>
        <v>4142</v>
      </c>
      <c r="J290" s="1">
        <f>Table9[[#This Row],[Calls Ans]]+J289</f>
        <v>3654</v>
      </c>
      <c r="K290" s="1">
        <f>K289+Table9[[#This Row],[Calls Off]]</f>
        <v>99789</v>
      </c>
      <c r="L290" s="1">
        <f>L289+Table9[[#This Row],[Calls Ans]]</f>
        <v>88957</v>
      </c>
      <c r="M290" s="18">
        <v>0.78</v>
      </c>
      <c r="N290" s="18">
        <v>0.08</v>
      </c>
      <c r="O290" s="18">
        <v>0.92</v>
      </c>
      <c r="P290" s="18">
        <v>0.72</v>
      </c>
      <c r="Q290" s="22">
        <v>1</v>
      </c>
      <c r="R290" s="230">
        <v>111</v>
      </c>
      <c r="S290" s="230">
        <v>0</v>
      </c>
      <c r="T290" s="240">
        <v>2</v>
      </c>
      <c r="U290" s="245" t="str">
        <f t="shared" si="18"/>
        <v>Normal</v>
      </c>
      <c r="V290" s="245" t="str">
        <f t="shared" si="19"/>
        <v>Normal</v>
      </c>
      <c r="W290" s="87">
        <f t="shared" si="20"/>
        <v>9.6385542168674704E-2</v>
      </c>
      <c r="X290" s="87">
        <f t="shared" si="21"/>
        <v>7.2649572649572655E-2</v>
      </c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P290">
        <f>MINUTE(Table9[[#This Row],[AHT]])</f>
        <v>0</v>
      </c>
      <c r="AQ290">
        <f>SECOND(Table9[[#This Row],[AHT]])</f>
        <v>0</v>
      </c>
      <c r="AT290">
        <v>111</v>
      </c>
    </row>
    <row r="291" spans="1:46">
      <c r="A291" s="23">
        <v>44941</v>
      </c>
      <c r="B291" s="121">
        <f>IF(YEAR(Table9[[#This Row],[Date]]) = 2022, WEEKNUM(Table9[[#This Row],[Date]])-13, WEEKNUM(Table9[[#This Row],[Date]])+40)</f>
        <v>43</v>
      </c>
      <c r="C291" s="35" t="s">
        <v>47</v>
      </c>
      <c r="D291" s="35" t="s">
        <v>59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18">
        <v>0</v>
      </c>
      <c r="O291" s="18">
        <v>0</v>
      </c>
      <c r="P291" s="18">
        <v>0</v>
      </c>
      <c r="Q291" s="22">
        <v>0</v>
      </c>
      <c r="R291" s="230">
        <v>0</v>
      </c>
      <c r="S291" s="230">
        <v>0</v>
      </c>
      <c r="T291" s="240">
        <v>0</v>
      </c>
      <c r="U291" s="245" t="str">
        <f t="shared" si="18"/>
        <v>Normal</v>
      </c>
      <c r="V291" s="245" t="str">
        <f t="shared" si="19"/>
        <v>Normal</v>
      </c>
      <c r="W291" s="87">
        <f t="shared" si="20"/>
        <v>0</v>
      </c>
      <c r="X291" s="87">
        <f t="shared" si="21"/>
        <v>0</v>
      </c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P291">
        <f>MINUTE(Table9[[#This Row],[AHT]])</f>
        <v>0</v>
      </c>
      <c r="AQ291">
        <f>SECOND(Table9[[#This Row],[AHT]])</f>
        <v>0</v>
      </c>
      <c r="AT291">
        <v>0</v>
      </c>
    </row>
    <row r="292" spans="1:46">
      <c r="A292" s="23">
        <v>44942</v>
      </c>
      <c r="B292" s="121">
        <f>IF(YEAR(Table9[[#This Row],[Date]]) = 2022, WEEKNUM(Table9[[#This Row],[Date]])-13, WEEKNUM(Table9[[#This Row],[Date]])+40)</f>
        <v>43</v>
      </c>
      <c r="C292" s="35" t="s">
        <v>48</v>
      </c>
      <c r="D292" s="35" t="s">
        <v>59</v>
      </c>
      <c r="E292" s="1">
        <v>444</v>
      </c>
      <c r="F292" s="1">
        <v>434</v>
      </c>
      <c r="G292" s="87">
        <f>IFERROR((Table9[[#This Row],[Calls Off]]-E285)/E285,0)</f>
        <v>0.10723192019950124</v>
      </c>
      <c r="H292" s="87">
        <f>IFERROR((Table9[[#This Row],[Calls Ans]]-F285)/F285,0)</f>
        <v>0.15119363395225463</v>
      </c>
      <c r="I292" s="1">
        <f>Table9[[#This Row],[Calls Off]]+I290</f>
        <v>4586</v>
      </c>
      <c r="J292" s="1">
        <f>Table9[[#This Row],[Calls Ans]]+J290</f>
        <v>4088</v>
      </c>
      <c r="K292" s="1">
        <f>K290+Table9[[#This Row],[Calls Off]]</f>
        <v>100233</v>
      </c>
      <c r="L292" s="1">
        <f>L290+Table9[[#This Row],[Calls Ans]]</f>
        <v>89391</v>
      </c>
      <c r="M292" s="18">
        <v>0.9</v>
      </c>
      <c r="N292" s="18">
        <v>0.02</v>
      </c>
      <c r="O292" s="18">
        <v>0.98</v>
      </c>
      <c r="P292" s="18">
        <v>0.66</v>
      </c>
      <c r="Q292" s="22">
        <v>1</v>
      </c>
      <c r="R292" s="230">
        <v>85</v>
      </c>
      <c r="S292" s="230">
        <v>0</v>
      </c>
      <c r="T292" s="240">
        <v>4</v>
      </c>
      <c r="U292" s="245" t="str">
        <f t="shared" si="18"/>
        <v>Normal</v>
      </c>
      <c r="V292" s="245" t="str">
        <f t="shared" si="19"/>
        <v>Normal</v>
      </c>
      <c r="W292" s="87">
        <f t="shared" si="20"/>
        <v>0.10723192019950124</v>
      </c>
      <c r="X292" s="87">
        <f t="shared" si="21"/>
        <v>0.15119363395225463</v>
      </c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P292">
        <f>MINUTE(Table9[[#This Row],[AHT]])</f>
        <v>0</v>
      </c>
      <c r="AQ292">
        <f>SECOND(Table9[[#This Row],[AHT]])</f>
        <v>0</v>
      </c>
      <c r="AT292">
        <v>85</v>
      </c>
    </row>
    <row r="293" spans="1:46">
      <c r="A293" s="23">
        <v>44943</v>
      </c>
      <c r="B293" s="121">
        <f>IF(YEAR(Table9[[#This Row],[Date]]) = 2022, WEEKNUM(Table9[[#This Row],[Date]])-13, WEEKNUM(Table9[[#This Row],[Date]])+40)</f>
        <v>43</v>
      </c>
      <c r="C293" s="35" t="s">
        <v>49</v>
      </c>
      <c r="D293" s="35" t="s">
        <v>59</v>
      </c>
      <c r="E293" s="1">
        <v>257</v>
      </c>
      <c r="F293" s="1">
        <v>248</v>
      </c>
      <c r="G293" s="87">
        <f>IFERROR((Table9[[#This Row],[Calls Off]]-E286)/E286,0)</f>
        <v>-0.36855036855036855</v>
      </c>
      <c r="H293" s="87">
        <f>IFERROR((Table9[[#This Row],[Calls Ans]]-F286)/F286,0)</f>
        <v>-0.33333333333333331</v>
      </c>
      <c r="I293" s="1">
        <f>Table9[[#This Row],[Calls Off]]+I292</f>
        <v>4843</v>
      </c>
      <c r="J293" s="1">
        <f>Table9[[#This Row],[Calls Ans]]+J292</f>
        <v>4336</v>
      </c>
      <c r="K293" s="1">
        <f>K292+Table9[[#This Row],[Calls Off]]</f>
        <v>100490</v>
      </c>
      <c r="L293" s="1">
        <f>L292+Table9[[#This Row],[Calls Ans]]</f>
        <v>89639</v>
      </c>
      <c r="M293" s="18">
        <v>0.9</v>
      </c>
      <c r="N293" s="18">
        <v>0.04</v>
      </c>
      <c r="O293" s="18">
        <v>0.96</v>
      </c>
      <c r="P293" s="18">
        <v>0.56000000000000005</v>
      </c>
      <c r="Q293" s="22">
        <v>1</v>
      </c>
      <c r="R293" s="230">
        <v>80</v>
      </c>
      <c r="S293" s="230">
        <v>0</v>
      </c>
      <c r="T293" s="240">
        <v>3</v>
      </c>
      <c r="U293" s="245" t="str">
        <f t="shared" si="18"/>
        <v>Normal</v>
      </c>
      <c r="V293" s="245" t="str">
        <f t="shared" si="19"/>
        <v>Normal</v>
      </c>
      <c r="W293" s="87">
        <f t="shared" si="20"/>
        <v>-0.36855036855036855</v>
      </c>
      <c r="X293" s="87">
        <f t="shared" si="21"/>
        <v>-0.33333333333333331</v>
      </c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P293">
        <f>MINUTE(Table9[[#This Row],[AHT]])</f>
        <v>0</v>
      </c>
      <c r="AQ293">
        <f>SECOND(Table9[[#This Row],[AHT]])</f>
        <v>0</v>
      </c>
      <c r="AT293">
        <v>80</v>
      </c>
    </row>
    <row r="294" spans="1:46">
      <c r="A294" s="23">
        <v>44944</v>
      </c>
      <c r="B294" s="121">
        <f>IF(YEAR(Table9[[#This Row],[Date]]) = 2022, WEEKNUM(Table9[[#This Row],[Date]])-13, WEEKNUM(Table9[[#This Row],[Date]])+40)</f>
        <v>43</v>
      </c>
      <c r="C294" s="35" t="s">
        <v>50</v>
      </c>
      <c r="D294" s="35" t="s">
        <v>59</v>
      </c>
      <c r="E294" s="1">
        <v>289</v>
      </c>
      <c r="F294" s="1">
        <v>275</v>
      </c>
      <c r="G294" s="87">
        <f>IFERROR((Table9[[#This Row],[Calls Off]]-E287)/E287,0)</f>
        <v>-0.16714697406340057</v>
      </c>
      <c r="H294" s="87">
        <f>IFERROR((Table9[[#This Row],[Calls Ans]]-F287)/F287,0)</f>
        <v>-0.17417417417417416</v>
      </c>
      <c r="I294" s="1">
        <f>Table9[[#This Row],[Calls Off]]+I293</f>
        <v>5132</v>
      </c>
      <c r="J294" s="1">
        <f>Table9[[#This Row],[Calls Ans]]+J293</f>
        <v>4611</v>
      </c>
      <c r="K294" s="1">
        <f>K293+Table9[[#This Row],[Calls Off]]</f>
        <v>100779</v>
      </c>
      <c r="L294" s="1">
        <f>L293+Table9[[#This Row],[Calls Ans]]</f>
        <v>89914</v>
      </c>
      <c r="M294" s="18">
        <v>0.88</v>
      </c>
      <c r="N294" s="18">
        <v>0.04</v>
      </c>
      <c r="O294" s="18">
        <v>0.96</v>
      </c>
      <c r="P294" s="18">
        <v>0.87</v>
      </c>
      <c r="Q294" s="22">
        <v>1</v>
      </c>
      <c r="R294" s="230">
        <v>82</v>
      </c>
      <c r="S294" s="230">
        <v>0</v>
      </c>
      <c r="T294" s="240">
        <v>3</v>
      </c>
      <c r="U294" s="245" t="str">
        <f t="shared" si="18"/>
        <v>Normal</v>
      </c>
      <c r="V294" s="245" t="str">
        <f t="shared" si="19"/>
        <v>Normal</v>
      </c>
      <c r="W294" s="87">
        <f t="shared" si="20"/>
        <v>-0.16714697406340057</v>
      </c>
      <c r="X294" s="87">
        <f t="shared" si="21"/>
        <v>-0.17417417417417416</v>
      </c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P294">
        <f>MINUTE(Table9[[#This Row],[AHT]])</f>
        <v>0</v>
      </c>
      <c r="AQ294">
        <f>SECOND(Table9[[#This Row],[AHT]])</f>
        <v>0</v>
      </c>
      <c r="AT294">
        <v>82</v>
      </c>
    </row>
    <row r="295" spans="1:46">
      <c r="A295" s="23">
        <v>44945</v>
      </c>
      <c r="B295" s="121">
        <f>IF(YEAR(Table9[[#This Row],[Date]]) = 2022, WEEKNUM(Table9[[#This Row],[Date]])-13, WEEKNUM(Table9[[#This Row],[Date]])+40)</f>
        <v>43</v>
      </c>
      <c r="C295" s="35" t="s">
        <v>51</v>
      </c>
      <c r="D295" s="35" t="s">
        <v>59</v>
      </c>
      <c r="E295" s="1">
        <v>262</v>
      </c>
      <c r="F295" s="1">
        <v>248</v>
      </c>
      <c r="G295" s="87">
        <f>IFERROR((Table9[[#This Row],[Calls Off]]-E288)/E288,0)</f>
        <v>-0.37470167064439142</v>
      </c>
      <c r="H295" s="87">
        <f>IFERROR((Table9[[#This Row],[Calls Ans]]-F288)/F288,0)</f>
        <v>-0.38765432098765434</v>
      </c>
      <c r="I295" s="1">
        <f>Table9[[#This Row],[Calls Off]]+I294</f>
        <v>5394</v>
      </c>
      <c r="J295" s="1">
        <f>Table9[[#This Row],[Calls Ans]]+J294</f>
        <v>4859</v>
      </c>
      <c r="K295" s="1">
        <f>K294+Table9[[#This Row],[Calls Off]]</f>
        <v>101041</v>
      </c>
      <c r="L295" s="1">
        <f>L294+Table9[[#This Row],[Calls Ans]]</f>
        <v>90162</v>
      </c>
      <c r="M295" s="18">
        <v>0.83</v>
      </c>
      <c r="N295" s="18">
        <v>0.06</v>
      </c>
      <c r="O295" s="18">
        <v>0.94</v>
      </c>
      <c r="P295" s="18">
        <v>0.87</v>
      </c>
      <c r="Q295" s="22">
        <v>1</v>
      </c>
      <c r="R295" s="230">
        <v>111</v>
      </c>
      <c r="S295" s="230">
        <v>0</v>
      </c>
      <c r="T295" s="240">
        <v>3</v>
      </c>
      <c r="U295" s="245" t="str">
        <f t="shared" si="18"/>
        <v>Normal</v>
      </c>
      <c r="V295" s="245" t="str">
        <f t="shared" si="19"/>
        <v>Normal</v>
      </c>
      <c r="W295" s="87">
        <f t="shared" si="20"/>
        <v>-0.37470167064439142</v>
      </c>
      <c r="X295" s="87">
        <f t="shared" si="21"/>
        <v>-0.38765432098765434</v>
      </c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P295">
        <f>MINUTE(Table9[[#This Row],[AHT]])</f>
        <v>0</v>
      </c>
      <c r="AQ295">
        <f>SECOND(Table9[[#This Row],[AHT]])</f>
        <v>0</v>
      </c>
      <c r="AT295">
        <v>111</v>
      </c>
    </row>
    <row r="296" spans="1:46">
      <c r="A296" s="23">
        <v>44946</v>
      </c>
      <c r="B296" s="121">
        <f>IF(YEAR(Table9[[#This Row],[Date]]) = 2022, WEEKNUM(Table9[[#This Row],[Date]])-13, WEEKNUM(Table9[[#This Row],[Date]])+40)</f>
        <v>43</v>
      </c>
      <c r="C296" s="35" t="s">
        <v>52</v>
      </c>
      <c r="D296" s="35" t="s">
        <v>59</v>
      </c>
      <c r="E296" s="1">
        <v>227</v>
      </c>
      <c r="F296" s="1">
        <v>218</v>
      </c>
      <c r="G296" s="87">
        <f>IFERROR((Table9[[#This Row],[Calls Off]]-E289)/E289,0)</f>
        <v>-0.45301204819277108</v>
      </c>
      <c r="H296" s="87">
        <f>IFERROR((Table9[[#This Row],[Calls Ans]]-F289)/F289,0)</f>
        <v>-0.42480211081794195</v>
      </c>
      <c r="I296" s="1">
        <f>Table9[[#This Row],[Calls Off]]+I295</f>
        <v>5621</v>
      </c>
      <c r="J296" s="1">
        <f>Table9[[#This Row],[Calls Ans]]+J295</f>
        <v>5077</v>
      </c>
      <c r="K296" s="1">
        <f>K295+Table9[[#This Row],[Calls Off]]</f>
        <v>101268</v>
      </c>
      <c r="L296" s="1">
        <f>L295+Table9[[#This Row],[Calls Ans]]</f>
        <v>90380</v>
      </c>
      <c r="M296" s="18">
        <v>0.83</v>
      </c>
      <c r="N296" s="18">
        <v>0.04</v>
      </c>
      <c r="O296" s="18">
        <v>0.96</v>
      </c>
      <c r="P296" s="18">
        <v>0.66</v>
      </c>
      <c r="Q296" s="22">
        <v>1</v>
      </c>
      <c r="R296" s="230">
        <v>92</v>
      </c>
      <c r="S296" s="230">
        <v>0</v>
      </c>
      <c r="T296" s="240">
        <v>3</v>
      </c>
      <c r="U296" s="245" t="str">
        <f t="shared" si="18"/>
        <v>Outlier</v>
      </c>
      <c r="V296" s="245" t="str">
        <f t="shared" si="19"/>
        <v>Normal</v>
      </c>
      <c r="W296" s="87">
        <f t="shared" si="20"/>
        <v>-0.45301204819277108</v>
      </c>
      <c r="X296" s="87">
        <f t="shared" si="21"/>
        <v>-0.42480211081794195</v>
      </c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P296">
        <f>MINUTE(Table9[[#This Row],[AHT]])</f>
        <v>0</v>
      </c>
      <c r="AQ296">
        <f>SECOND(Table9[[#This Row],[AHT]])</f>
        <v>0</v>
      </c>
      <c r="AT296">
        <v>92</v>
      </c>
    </row>
    <row r="297" spans="1:46">
      <c r="A297" s="23">
        <v>44947</v>
      </c>
      <c r="B297" s="121">
        <f>IF(YEAR(Table9[[#This Row],[Date]]) = 2022, WEEKNUM(Table9[[#This Row],[Date]])-13, WEEKNUM(Table9[[#This Row],[Date]])+40)</f>
        <v>43</v>
      </c>
      <c r="C297" s="35" t="s">
        <v>53</v>
      </c>
      <c r="D297" s="35" t="s">
        <v>59</v>
      </c>
      <c r="E297" s="1">
        <v>154</v>
      </c>
      <c r="F297" s="1">
        <v>150</v>
      </c>
      <c r="G297" s="87">
        <f>IFERROR((Table9[[#This Row],[Calls Off]]-E290)/E290,0)</f>
        <v>-0.4358974358974359</v>
      </c>
      <c r="H297" s="87">
        <f>IFERROR((Table9[[#This Row],[Calls Ans]]-F290)/F290,0)</f>
        <v>-0.40239043824701193</v>
      </c>
      <c r="I297" s="1">
        <f>Table9[[#This Row],[Calls Off]]+I296</f>
        <v>5775</v>
      </c>
      <c r="J297" s="1">
        <f>Table9[[#This Row],[Calls Ans]]+J296</f>
        <v>5227</v>
      </c>
      <c r="K297" s="1">
        <f>K296+Table9[[#This Row],[Calls Off]]</f>
        <v>101422</v>
      </c>
      <c r="L297" s="1">
        <f>L296+Table9[[#This Row],[Calls Ans]]</f>
        <v>90530</v>
      </c>
      <c r="M297" s="18">
        <v>0.98</v>
      </c>
      <c r="N297" s="18">
        <v>0.03</v>
      </c>
      <c r="O297" s="18">
        <v>0.97</v>
      </c>
      <c r="P297" s="18">
        <v>0.39</v>
      </c>
      <c r="Q297" s="22">
        <v>1</v>
      </c>
      <c r="R297" s="230">
        <v>109</v>
      </c>
      <c r="S297" s="230">
        <v>0</v>
      </c>
      <c r="T297" s="240">
        <v>4</v>
      </c>
      <c r="U297" s="245" t="str">
        <f t="shared" si="18"/>
        <v>Normal</v>
      </c>
      <c r="V297" s="245" t="str">
        <f t="shared" si="19"/>
        <v>Normal</v>
      </c>
      <c r="W297" s="87">
        <f t="shared" si="20"/>
        <v>-0.4358974358974359</v>
      </c>
      <c r="X297" s="87">
        <f t="shared" si="21"/>
        <v>-0.40239043824701193</v>
      </c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P297">
        <f>MINUTE(Table9[[#This Row],[AHT]])</f>
        <v>0</v>
      </c>
      <c r="AQ297">
        <f>SECOND(Table9[[#This Row],[AHT]])</f>
        <v>0</v>
      </c>
      <c r="AT297">
        <v>109</v>
      </c>
    </row>
    <row r="298" spans="1:46">
      <c r="A298" s="23">
        <v>44948</v>
      </c>
      <c r="B298" s="121">
        <f>IF(YEAR(Table9[[#This Row],[Date]]) = 2022, WEEKNUM(Table9[[#This Row],[Date]])-13, WEEKNUM(Table9[[#This Row],[Date]])+40)</f>
        <v>44</v>
      </c>
      <c r="C298" s="35" t="s">
        <v>47</v>
      </c>
      <c r="D298" s="35" t="s">
        <v>59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8">
        <v>0</v>
      </c>
      <c r="N298" s="18">
        <v>0</v>
      </c>
      <c r="O298" s="18">
        <v>0</v>
      </c>
      <c r="P298" s="18">
        <v>0</v>
      </c>
      <c r="Q298" s="22">
        <v>0</v>
      </c>
      <c r="R298" s="230">
        <v>0</v>
      </c>
      <c r="S298" s="230">
        <v>0</v>
      </c>
      <c r="T298" s="240">
        <v>0</v>
      </c>
      <c r="U298" s="245" t="str">
        <f t="shared" si="18"/>
        <v>Normal</v>
      </c>
      <c r="V298" s="245" t="str">
        <f t="shared" si="19"/>
        <v>Normal</v>
      </c>
      <c r="W298" s="87">
        <f t="shared" si="20"/>
        <v>0</v>
      </c>
      <c r="X298" s="87">
        <f t="shared" si="21"/>
        <v>0</v>
      </c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P298">
        <f>MINUTE(Table9[[#This Row],[AHT]])</f>
        <v>0</v>
      </c>
      <c r="AQ298">
        <f>SECOND(Table9[[#This Row],[AHT]])</f>
        <v>0</v>
      </c>
      <c r="AT298">
        <v>0</v>
      </c>
    </row>
    <row r="299" spans="1:46">
      <c r="A299" s="23">
        <v>44949</v>
      </c>
      <c r="B299" s="121">
        <f>IF(YEAR(Table9[[#This Row],[Date]]) = 2022, WEEKNUM(Table9[[#This Row],[Date]])-13, WEEKNUM(Table9[[#This Row],[Date]])+40)</f>
        <v>44</v>
      </c>
      <c r="C299" s="35" t="s">
        <v>48</v>
      </c>
      <c r="D299" s="35" t="s">
        <v>59</v>
      </c>
      <c r="E299" s="1">
        <v>274</v>
      </c>
      <c r="F299" s="1">
        <v>259</v>
      </c>
      <c r="G299" s="87">
        <f>IFERROR((Table9[[#This Row],[Calls Off]]-E292)/E292,0)</f>
        <v>-0.38288288288288286</v>
      </c>
      <c r="H299" s="87">
        <f>IFERROR((Table9[[#This Row],[Calls Ans]]-F292)/F292,0)</f>
        <v>-0.40322580645161288</v>
      </c>
      <c r="I299" s="1">
        <f>Table9[[#This Row],[Calls Off]]+I297</f>
        <v>6049</v>
      </c>
      <c r="J299" s="1">
        <f>Table9[[#This Row],[Calls Ans]]+J297</f>
        <v>5486</v>
      </c>
      <c r="K299" s="1">
        <f>K297+Table9[[#This Row],[Calls Off]]</f>
        <v>101696</v>
      </c>
      <c r="L299" s="1">
        <f>L297+Table9[[#This Row],[Calls Ans]]</f>
        <v>90789</v>
      </c>
      <c r="M299" s="18">
        <v>0.84</v>
      </c>
      <c r="N299" s="18">
        <v>0.06</v>
      </c>
      <c r="O299" s="18">
        <v>0.94</v>
      </c>
      <c r="P299" s="18">
        <v>0.87</v>
      </c>
      <c r="Q299" s="22">
        <v>1</v>
      </c>
      <c r="R299" s="230">
        <v>80</v>
      </c>
      <c r="S299" s="230">
        <v>0</v>
      </c>
      <c r="T299" s="240">
        <v>3</v>
      </c>
      <c r="U299" s="245" t="str">
        <f t="shared" si="18"/>
        <v>Normal</v>
      </c>
      <c r="V299" s="245" t="str">
        <f t="shared" si="19"/>
        <v>Normal</v>
      </c>
      <c r="W299" s="87">
        <f t="shared" si="20"/>
        <v>-0.38288288288288286</v>
      </c>
      <c r="X299" s="87">
        <f t="shared" si="21"/>
        <v>-0.40322580645161288</v>
      </c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P299">
        <f>MINUTE(Table9[[#This Row],[AHT]])</f>
        <v>0</v>
      </c>
      <c r="AQ299">
        <f>SECOND(Table9[[#This Row],[AHT]])</f>
        <v>0</v>
      </c>
      <c r="AT299">
        <v>80</v>
      </c>
    </row>
    <row r="300" spans="1:46">
      <c r="A300" s="23">
        <v>44950</v>
      </c>
      <c r="B300" s="121">
        <f>IF(YEAR(Table9[[#This Row],[Date]]) = 2022, WEEKNUM(Table9[[#This Row],[Date]])-13, WEEKNUM(Table9[[#This Row],[Date]])+40)</f>
        <v>44</v>
      </c>
      <c r="C300" s="35" t="s">
        <v>49</v>
      </c>
      <c r="D300" s="35" t="s">
        <v>59</v>
      </c>
      <c r="E300" s="1">
        <v>288</v>
      </c>
      <c r="F300" s="1">
        <v>277</v>
      </c>
      <c r="G300" s="87">
        <f>IFERROR((Table9[[#This Row],[Calls Off]]-E293)/E293,0)</f>
        <v>0.12062256809338522</v>
      </c>
      <c r="H300" s="87">
        <f>IFERROR((Table9[[#This Row],[Calls Ans]]-F293)/F293,0)</f>
        <v>0.11693548387096774</v>
      </c>
      <c r="I300" s="1">
        <f>Table9[[#This Row],[Calls Off]]+I299</f>
        <v>6337</v>
      </c>
      <c r="J300" s="1">
        <f>Table9[[#This Row],[Calls Ans]]+J299</f>
        <v>5763</v>
      </c>
      <c r="K300" s="1">
        <f>K299+Table9[[#This Row],[Calls Off]]</f>
        <v>101984</v>
      </c>
      <c r="L300" s="1">
        <f>L299+Table9[[#This Row],[Calls Ans]]</f>
        <v>91066</v>
      </c>
      <c r="M300" s="18">
        <v>0.84</v>
      </c>
      <c r="N300" s="18">
        <v>0.04</v>
      </c>
      <c r="O300" s="18">
        <v>0.96</v>
      </c>
      <c r="P300" s="18">
        <v>0.66</v>
      </c>
      <c r="Q300" s="22">
        <v>1</v>
      </c>
      <c r="R300" s="230">
        <v>58</v>
      </c>
      <c r="S300" s="230">
        <v>0</v>
      </c>
      <c r="T300" s="240">
        <v>4</v>
      </c>
      <c r="U300" s="245" t="str">
        <f t="shared" si="18"/>
        <v>Normal</v>
      </c>
      <c r="V300" s="245" t="str">
        <f t="shared" si="19"/>
        <v>Normal</v>
      </c>
      <c r="W300" s="87">
        <f t="shared" si="20"/>
        <v>0.12062256809338522</v>
      </c>
      <c r="X300" s="87">
        <f t="shared" si="21"/>
        <v>0.11693548387096774</v>
      </c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P300">
        <f>MINUTE(Table9[[#This Row],[AHT]])</f>
        <v>0</v>
      </c>
      <c r="AQ300">
        <f>SECOND(Table9[[#This Row],[AHT]])</f>
        <v>0</v>
      </c>
      <c r="AT300">
        <v>58</v>
      </c>
    </row>
    <row r="301" spans="1:46">
      <c r="A301" s="23">
        <v>44951</v>
      </c>
      <c r="B301" s="121">
        <f>IF(YEAR(Table9[[#This Row],[Date]]) = 2022, WEEKNUM(Table9[[#This Row],[Date]])-13, WEEKNUM(Table9[[#This Row],[Date]])+40)</f>
        <v>44</v>
      </c>
      <c r="C301" s="35" t="s">
        <v>50</v>
      </c>
      <c r="D301" s="35" t="s">
        <v>59</v>
      </c>
      <c r="E301" s="1">
        <v>246</v>
      </c>
      <c r="F301" s="1">
        <v>230</v>
      </c>
      <c r="G301" s="87">
        <f>IFERROR((Table9[[#This Row],[Calls Off]]-E294)/E294,0)</f>
        <v>-0.14878892733564014</v>
      </c>
      <c r="H301" s="87">
        <f>IFERROR((Table9[[#This Row],[Calls Ans]]-F294)/F294,0)</f>
        <v>-0.16363636363636364</v>
      </c>
      <c r="I301" s="1">
        <f>Table9[[#This Row],[Calls Off]]+I300</f>
        <v>6583</v>
      </c>
      <c r="J301" s="1">
        <f>Table9[[#This Row],[Calls Ans]]+J300</f>
        <v>5993</v>
      </c>
      <c r="K301" s="1">
        <f>K300+Table9[[#This Row],[Calls Off]]</f>
        <v>102230</v>
      </c>
      <c r="L301" s="1">
        <f>L300+Table9[[#This Row],[Calls Ans]]</f>
        <v>91296</v>
      </c>
      <c r="M301" s="18">
        <v>0.81</v>
      </c>
      <c r="N301" s="18">
        <v>7.0000000000000007E-2</v>
      </c>
      <c r="O301" s="18">
        <v>0.93</v>
      </c>
      <c r="P301" s="18">
        <v>0.59</v>
      </c>
      <c r="Q301" s="22">
        <v>1</v>
      </c>
      <c r="R301" s="230">
        <v>126</v>
      </c>
      <c r="S301" s="230">
        <v>0</v>
      </c>
      <c r="T301" s="240">
        <v>3</v>
      </c>
      <c r="U301" s="245" t="str">
        <f t="shared" si="18"/>
        <v>Normal</v>
      </c>
      <c r="V301" s="245" t="str">
        <f t="shared" si="19"/>
        <v>Normal</v>
      </c>
      <c r="W301" s="87">
        <f t="shared" si="20"/>
        <v>-0.14878892733564014</v>
      </c>
      <c r="X301" s="87">
        <f t="shared" si="21"/>
        <v>-0.16363636363636364</v>
      </c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P301">
        <f>MINUTE(Table9[[#This Row],[AHT]])</f>
        <v>0</v>
      </c>
      <c r="AQ301">
        <f>SECOND(Table9[[#This Row],[AHT]])</f>
        <v>0</v>
      </c>
      <c r="AT301">
        <v>126</v>
      </c>
    </row>
    <row r="302" spans="1:46">
      <c r="A302" s="23">
        <v>44952</v>
      </c>
      <c r="B302" s="121">
        <f>IF(YEAR(Table9[[#This Row],[Date]]) = 2022, WEEKNUM(Table9[[#This Row],[Date]])-13, WEEKNUM(Table9[[#This Row],[Date]])+40)</f>
        <v>44</v>
      </c>
      <c r="C302" s="35" t="s">
        <v>51</v>
      </c>
      <c r="D302" s="35" t="s">
        <v>59</v>
      </c>
      <c r="E302" s="1">
        <v>250</v>
      </c>
      <c r="F302" s="1">
        <v>244</v>
      </c>
      <c r="G302" s="87">
        <f>IFERROR((Table9[[#This Row],[Calls Off]]-E295)/E295,0)</f>
        <v>-4.5801526717557252E-2</v>
      </c>
      <c r="H302" s="87">
        <f>IFERROR((Table9[[#This Row],[Calls Ans]]-F295)/F295,0)</f>
        <v>-1.6129032258064516E-2</v>
      </c>
      <c r="I302" s="1">
        <f>Table9[[#This Row],[Calls Off]]+I301</f>
        <v>6833</v>
      </c>
      <c r="J302" s="1">
        <f>Table9[[#This Row],[Calls Ans]]+J301</f>
        <v>6237</v>
      </c>
      <c r="K302" s="1">
        <f>K301+Table9[[#This Row],[Calls Off]]</f>
        <v>102480</v>
      </c>
      <c r="L302" s="1">
        <f>L301+Table9[[#This Row],[Calls Ans]]</f>
        <v>91540</v>
      </c>
      <c r="M302" s="18">
        <v>0.97</v>
      </c>
      <c r="N302" s="18">
        <v>0.02</v>
      </c>
      <c r="O302" s="18">
        <v>0.98</v>
      </c>
      <c r="P302" s="18">
        <v>0.77</v>
      </c>
      <c r="Q302" s="22">
        <v>1</v>
      </c>
      <c r="R302" s="230">
        <v>74</v>
      </c>
      <c r="S302" s="230">
        <v>0</v>
      </c>
      <c r="T302" s="240">
        <v>4</v>
      </c>
      <c r="U302" s="245" t="str">
        <f t="shared" si="18"/>
        <v>Normal</v>
      </c>
      <c r="V302" s="245" t="str">
        <f t="shared" si="19"/>
        <v>Normal</v>
      </c>
      <c r="W302" s="87">
        <f t="shared" si="20"/>
        <v>-4.5801526717557252E-2</v>
      </c>
      <c r="X302" s="87">
        <f t="shared" si="21"/>
        <v>-1.6129032258064516E-2</v>
      </c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P302">
        <f>MINUTE(Table9[[#This Row],[AHT]])</f>
        <v>0</v>
      </c>
      <c r="AQ302">
        <f>SECOND(Table9[[#This Row],[AHT]])</f>
        <v>0</v>
      </c>
      <c r="AT302">
        <v>74</v>
      </c>
    </row>
    <row r="303" spans="1:46">
      <c r="A303" s="23">
        <v>44953</v>
      </c>
      <c r="B303" s="121">
        <f>IF(YEAR(Table9[[#This Row],[Date]]) = 2022, WEEKNUM(Table9[[#This Row],[Date]])-13, WEEKNUM(Table9[[#This Row],[Date]])+40)</f>
        <v>44</v>
      </c>
      <c r="C303" s="35" t="s">
        <v>52</v>
      </c>
      <c r="D303" s="35" t="s">
        <v>59</v>
      </c>
      <c r="E303" s="1">
        <v>213</v>
      </c>
      <c r="F303" s="1">
        <v>201</v>
      </c>
      <c r="G303" s="87">
        <f>IFERROR((Table9[[#This Row],[Calls Off]]-E296)/E296,0)</f>
        <v>-6.1674008810572688E-2</v>
      </c>
      <c r="H303" s="87">
        <f>IFERROR((Table9[[#This Row],[Calls Ans]]-F296)/F296,0)</f>
        <v>-7.7981651376146793E-2</v>
      </c>
      <c r="I303" s="1">
        <f>Table9[[#This Row],[Calls Off]]+I302</f>
        <v>7046</v>
      </c>
      <c r="J303" s="1">
        <f>Table9[[#This Row],[Calls Ans]]+J302</f>
        <v>6438</v>
      </c>
      <c r="K303" s="1">
        <f>K302+Table9[[#This Row],[Calls Off]]</f>
        <v>102693</v>
      </c>
      <c r="L303" s="1">
        <f>L302+Table9[[#This Row],[Calls Ans]]</f>
        <v>91741</v>
      </c>
      <c r="M303" s="18">
        <v>0.82</v>
      </c>
      <c r="N303" s="18">
        <v>0.06</v>
      </c>
      <c r="O303" s="18">
        <v>0.94</v>
      </c>
      <c r="P303" s="18">
        <v>0.53</v>
      </c>
      <c r="Q303" s="22">
        <v>1</v>
      </c>
      <c r="R303" s="230">
        <v>102</v>
      </c>
      <c r="S303" s="230">
        <v>0</v>
      </c>
      <c r="T303" s="240">
        <v>3</v>
      </c>
      <c r="U303" s="245" t="str">
        <f t="shared" si="18"/>
        <v>Normal</v>
      </c>
      <c r="V303" s="245" t="str">
        <f t="shared" si="19"/>
        <v>Normal</v>
      </c>
      <c r="W303" s="87">
        <f t="shared" si="20"/>
        <v>-6.1674008810572688E-2</v>
      </c>
      <c r="X303" s="87">
        <f t="shared" si="21"/>
        <v>-7.7981651376146793E-2</v>
      </c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P303">
        <f>MINUTE(Table9[[#This Row],[AHT]])</f>
        <v>0</v>
      </c>
      <c r="AQ303">
        <f>SECOND(Table9[[#This Row],[AHT]])</f>
        <v>0</v>
      </c>
      <c r="AT303">
        <v>102</v>
      </c>
    </row>
    <row r="304" spans="1:46">
      <c r="A304" s="23">
        <v>44954</v>
      </c>
      <c r="B304" s="121">
        <f>IF(YEAR(Table9[[#This Row],[Date]]) = 2022, WEEKNUM(Table9[[#This Row],[Date]])-13, WEEKNUM(Table9[[#This Row],[Date]])+40)</f>
        <v>44</v>
      </c>
      <c r="C304" s="35" t="s">
        <v>53</v>
      </c>
      <c r="D304" s="35" t="s">
        <v>59</v>
      </c>
      <c r="E304" s="1">
        <v>127</v>
      </c>
      <c r="F304" s="1">
        <v>122</v>
      </c>
      <c r="G304" s="87">
        <f>IFERROR((Table9[[#This Row],[Calls Off]]-E297)/E297,0)</f>
        <v>-0.17532467532467533</v>
      </c>
      <c r="H304" s="87">
        <f>IFERROR((Table9[[#This Row],[Calls Ans]]-F297)/F297,0)</f>
        <v>-0.18666666666666668</v>
      </c>
      <c r="I304" s="1">
        <f>Table9[[#This Row],[Calls Off]]+I303</f>
        <v>7173</v>
      </c>
      <c r="J304" s="1">
        <f>Table9[[#This Row],[Calls Ans]]+J303</f>
        <v>6560</v>
      </c>
      <c r="K304" s="1">
        <f>K303+Table9[[#This Row],[Calls Off]]</f>
        <v>102820</v>
      </c>
      <c r="L304" s="1">
        <f>L303+Table9[[#This Row],[Calls Ans]]</f>
        <v>91863</v>
      </c>
      <c r="M304" s="18">
        <v>0.92</v>
      </c>
      <c r="N304" s="18">
        <v>0.04</v>
      </c>
      <c r="O304" s="18">
        <v>0.96</v>
      </c>
      <c r="P304" s="18">
        <v>0.6</v>
      </c>
      <c r="Q304" s="22">
        <v>1</v>
      </c>
      <c r="R304" s="230">
        <v>88</v>
      </c>
      <c r="S304" s="230">
        <v>0</v>
      </c>
      <c r="T304" s="240">
        <v>3</v>
      </c>
      <c r="U304" s="245" t="str">
        <f t="shared" si="18"/>
        <v>Normal</v>
      </c>
      <c r="V304" s="245" t="str">
        <f t="shared" si="19"/>
        <v>Normal</v>
      </c>
      <c r="W304" s="87">
        <f t="shared" si="20"/>
        <v>-0.17532467532467533</v>
      </c>
      <c r="X304" s="87">
        <f t="shared" si="21"/>
        <v>-0.18666666666666668</v>
      </c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P304">
        <f>MINUTE(Table9[[#This Row],[AHT]])</f>
        <v>0</v>
      </c>
      <c r="AQ304">
        <f>SECOND(Table9[[#This Row],[AHT]])</f>
        <v>0</v>
      </c>
      <c r="AT304">
        <v>88</v>
      </c>
    </row>
    <row r="305" spans="1:46">
      <c r="A305" s="23">
        <v>44955</v>
      </c>
      <c r="B305" s="121">
        <f>IF(YEAR(Table9[[#This Row],[Date]]) = 2022, WEEKNUM(Table9[[#This Row],[Date]])-13, WEEKNUM(Table9[[#This Row],[Date]])+40)</f>
        <v>45</v>
      </c>
      <c r="C305" s="35" t="s">
        <v>47</v>
      </c>
      <c r="D305" s="35" t="s">
        <v>59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18">
        <v>0</v>
      </c>
      <c r="O305" s="18">
        <v>0</v>
      </c>
      <c r="P305" s="18">
        <v>0</v>
      </c>
      <c r="Q305" s="22">
        <v>0</v>
      </c>
      <c r="R305" s="230">
        <v>0</v>
      </c>
      <c r="S305" s="230">
        <v>0</v>
      </c>
      <c r="T305" s="240">
        <v>0</v>
      </c>
      <c r="U305" s="245" t="str">
        <f t="shared" si="18"/>
        <v>Normal</v>
      </c>
      <c r="V305" s="245" t="str">
        <f t="shared" si="19"/>
        <v>Normal</v>
      </c>
      <c r="W305" s="87">
        <f t="shared" si="20"/>
        <v>0</v>
      </c>
      <c r="X305" s="87">
        <f t="shared" si="21"/>
        <v>0</v>
      </c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P305">
        <f>MINUTE(Table9[[#This Row],[AHT]])</f>
        <v>0</v>
      </c>
      <c r="AQ305">
        <f>SECOND(Table9[[#This Row],[AHT]])</f>
        <v>0</v>
      </c>
      <c r="AT305">
        <v>0</v>
      </c>
    </row>
    <row r="306" spans="1:46">
      <c r="A306" s="23">
        <v>44956</v>
      </c>
      <c r="B306" s="121">
        <f>IF(YEAR(Table9[[#This Row],[Date]]) = 2022, WEEKNUM(Table9[[#This Row],[Date]])-13, WEEKNUM(Table9[[#This Row],[Date]])+40)</f>
        <v>45</v>
      </c>
      <c r="C306" s="35" t="s">
        <v>48</v>
      </c>
      <c r="D306" s="35" t="s">
        <v>59</v>
      </c>
      <c r="E306" s="1">
        <v>242</v>
      </c>
      <c r="F306" s="1">
        <v>238</v>
      </c>
      <c r="G306" s="87">
        <f>IFERROR((Table9[[#This Row],[Calls Off]]-E299)/E299,0)</f>
        <v>-0.11678832116788321</v>
      </c>
      <c r="H306" s="87">
        <f>IFERROR((Table9[[#This Row],[Calls Ans]]-F299)/F299,0)</f>
        <v>-8.1081081081081086E-2</v>
      </c>
      <c r="I306" s="1">
        <f>Table9[[#This Row],[Calls Off]]+I304</f>
        <v>7415</v>
      </c>
      <c r="J306" s="1">
        <f>Table9[[#This Row],[Calls Ans]]+J304</f>
        <v>6798</v>
      </c>
      <c r="K306" s="1">
        <f>K304+Table9[[#This Row],[Calls Off]]</f>
        <v>103062</v>
      </c>
      <c r="L306" s="1">
        <f>L304+Table9[[#This Row],[Calls Ans]]</f>
        <v>92101</v>
      </c>
      <c r="M306" s="18">
        <v>0.97</v>
      </c>
      <c r="N306" s="18">
        <v>0.02</v>
      </c>
      <c r="O306" s="18">
        <v>0.98</v>
      </c>
      <c r="P306" s="18">
        <v>0.8</v>
      </c>
      <c r="Q306" s="22">
        <v>1</v>
      </c>
      <c r="R306" s="230">
        <v>91</v>
      </c>
      <c r="S306" s="230">
        <v>0</v>
      </c>
      <c r="T306" s="240">
        <v>5</v>
      </c>
      <c r="U306" s="245" t="str">
        <f t="shared" si="18"/>
        <v>Normal</v>
      </c>
      <c r="V306" s="245" t="str">
        <f t="shared" si="19"/>
        <v>Normal</v>
      </c>
      <c r="W306" s="87">
        <f t="shared" si="20"/>
        <v>-0.11678832116788321</v>
      </c>
      <c r="X306" s="87">
        <f t="shared" si="21"/>
        <v>-8.1081081081081086E-2</v>
      </c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P306">
        <f>MINUTE(Table9[[#This Row],[AHT]])</f>
        <v>0</v>
      </c>
      <c r="AQ306">
        <f>SECOND(Table9[[#This Row],[AHT]])</f>
        <v>0</v>
      </c>
      <c r="AT306">
        <v>91</v>
      </c>
    </row>
    <row r="307" spans="1:46" s="50" customFormat="1">
      <c r="A307" s="104">
        <v>44957</v>
      </c>
      <c r="B307" s="304">
        <f>IF(YEAR(Table9[[#This Row],[Date]]) = 2022, WEEKNUM(Table9[[#This Row],[Date]])-13, WEEKNUM(Table9[[#This Row],[Date]])+40)</f>
        <v>45</v>
      </c>
      <c r="C307" s="51" t="s">
        <v>49</v>
      </c>
      <c r="D307" s="51" t="s">
        <v>59</v>
      </c>
      <c r="E307" s="52">
        <v>248</v>
      </c>
      <c r="F307" s="52">
        <v>244</v>
      </c>
      <c r="G307" s="143">
        <f>IFERROR((Table9[[#This Row],[Calls Off]]-E300)/E300,0)</f>
        <v>-0.1388888888888889</v>
      </c>
      <c r="H307" s="143">
        <f>IFERROR((Table9[[#This Row],[Calls Ans]]-F300)/F300,0)</f>
        <v>-0.11913357400722022</v>
      </c>
      <c r="I307" s="52">
        <f>Table9[[#This Row],[Calls Off]]+I306</f>
        <v>7663</v>
      </c>
      <c r="J307" s="52">
        <f>Table9[[#This Row],[Calls Ans]]+J306</f>
        <v>7042</v>
      </c>
      <c r="K307" s="52">
        <f>K306+Table9[[#This Row],[Calls Off]]</f>
        <v>103310</v>
      </c>
      <c r="L307" s="52">
        <f>L306+Table9[[#This Row],[Calls Ans]]</f>
        <v>92345</v>
      </c>
      <c r="M307" s="53">
        <v>0.91</v>
      </c>
      <c r="N307" s="53">
        <v>0.02</v>
      </c>
      <c r="O307" s="53">
        <v>0.98</v>
      </c>
      <c r="P307" s="53">
        <v>0.69</v>
      </c>
      <c r="Q307" s="105">
        <v>1</v>
      </c>
      <c r="R307" s="233">
        <v>116</v>
      </c>
      <c r="S307" s="233">
        <v>0</v>
      </c>
      <c r="T307" s="242">
        <v>5</v>
      </c>
      <c r="U307" s="245" t="str">
        <f t="shared" si="18"/>
        <v>Normal</v>
      </c>
      <c r="V307" s="245" t="str">
        <f t="shared" si="19"/>
        <v>Normal</v>
      </c>
      <c r="W307" s="87">
        <f t="shared" si="20"/>
        <v>-0.1388888888888889</v>
      </c>
      <c r="X307" s="87">
        <f t="shared" si="21"/>
        <v>-0.11913357400722022</v>
      </c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/>
      <c r="AL307"/>
      <c r="AM307"/>
      <c r="AP307">
        <f>MINUTE(Table9[[#This Row],[AHT]])</f>
        <v>0</v>
      </c>
      <c r="AQ307">
        <f>SECOND(Table9[[#This Row],[AHT]])</f>
        <v>0</v>
      </c>
      <c r="AT307">
        <v>116</v>
      </c>
    </row>
    <row r="308" spans="1:46">
      <c r="A308" s="23">
        <v>44958</v>
      </c>
      <c r="B308" s="121">
        <f>IF(YEAR(Table9[[#This Row],[Date]]) = 2022, WEEKNUM(Table9[[#This Row],[Date]])-13, WEEKNUM(Table9[[#This Row],[Date]])+40)</f>
        <v>45</v>
      </c>
      <c r="C308" s="35" t="s">
        <v>50</v>
      </c>
      <c r="D308" s="35" t="s">
        <v>59</v>
      </c>
      <c r="E308" s="1">
        <v>199</v>
      </c>
      <c r="F308" s="1">
        <v>190</v>
      </c>
      <c r="G308" s="87">
        <f>IFERROR((Table9[[#This Row],[Calls Off]]-E301)/E301,0)</f>
        <v>-0.1910569105691057</v>
      </c>
      <c r="H308" s="87">
        <f>IFERROR((Table9[[#This Row],[Calls Ans]]-F301)/F301,0)</f>
        <v>-0.17391304347826086</v>
      </c>
      <c r="I308" s="1">
        <f>Table9[[#This Row],[Calls Off]]</f>
        <v>199</v>
      </c>
      <c r="J308" s="1">
        <f>Table9[[#This Row],[Calls Ans]]</f>
        <v>190</v>
      </c>
      <c r="K308" s="1">
        <f>K307+Table9[[#This Row],[Calls Off]]</f>
        <v>103509</v>
      </c>
      <c r="L308" s="1">
        <f>L307+Table9[[#This Row],[Calls Ans]]</f>
        <v>92535</v>
      </c>
      <c r="M308" s="18">
        <v>0.85</v>
      </c>
      <c r="N308" s="18">
        <v>0.05</v>
      </c>
      <c r="O308" s="18">
        <v>0.95</v>
      </c>
      <c r="P308" s="18">
        <v>0.81</v>
      </c>
      <c r="Q308" s="22">
        <v>1</v>
      </c>
      <c r="R308" s="230">
        <v>91</v>
      </c>
      <c r="S308" s="230">
        <v>0</v>
      </c>
      <c r="T308" s="240">
        <v>3</v>
      </c>
      <c r="U308" s="245" t="str">
        <f t="shared" si="18"/>
        <v>Normal</v>
      </c>
      <c r="V308" s="245" t="str">
        <f t="shared" si="19"/>
        <v>Normal</v>
      </c>
      <c r="W308" s="87">
        <f t="shared" si="20"/>
        <v>-0.1910569105691057</v>
      </c>
      <c r="X308" s="87">
        <f t="shared" si="21"/>
        <v>-0.17391304347826086</v>
      </c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P308">
        <f>MINUTE(Table9[[#This Row],[AHT]])</f>
        <v>0</v>
      </c>
      <c r="AQ308">
        <f>SECOND(Table9[[#This Row],[AHT]])</f>
        <v>0</v>
      </c>
      <c r="AT308">
        <v>91</v>
      </c>
    </row>
    <row r="309" spans="1:46">
      <c r="A309" s="23">
        <v>44959</v>
      </c>
      <c r="B309" s="121">
        <f>IF(YEAR(Table9[[#This Row],[Date]]) = 2022, WEEKNUM(Table9[[#This Row],[Date]])-13, WEEKNUM(Table9[[#This Row],[Date]])+40)</f>
        <v>45</v>
      </c>
      <c r="C309" s="35" t="s">
        <v>51</v>
      </c>
      <c r="D309" s="35" t="s">
        <v>59</v>
      </c>
      <c r="E309" s="1">
        <v>200</v>
      </c>
      <c r="F309" s="1">
        <v>197</v>
      </c>
      <c r="G309" s="87">
        <f>IFERROR((Table9[[#This Row],[Calls Off]]-E302)/E302,0)</f>
        <v>-0.2</v>
      </c>
      <c r="H309" s="87">
        <f>IFERROR((Table9[[#This Row],[Calls Ans]]-F302)/F302,0)</f>
        <v>-0.19262295081967212</v>
      </c>
      <c r="I309" s="1">
        <f>Table9[[#This Row],[Calls Off]]+I308</f>
        <v>399</v>
      </c>
      <c r="J309" s="1">
        <f>Table9[[#This Row],[Calls Ans]]+J308</f>
        <v>387</v>
      </c>
      <c r="K309" s="1">
        <f>K308+Table9[[#This Row],[Calls Off]]</f>
        <v>103709</v>
      </c>
      <c r="L309" s="1">
        <f>L308+Table9[[#This Row],[Calls Ans]]</f>
        <v>92732</v>
      </c>
      <c r="M309" s="18">
        <v>0.94</v>
      </c>
      <c r="N309" s="18">
        <v>0.02</v>
      </c>
      <c r="O309" s="18">
        <v>0.98</v>
      </c>
      <c r="P309" s="18">
        <v>0.67</v>
      </c>
      <c r="Q309" s="22">
        <v>1</v>
      </c>
      <c r="R309" s="230">
        <v>107</v>
      </c>
      <c r="S309" s="230">
        <v>0</v>
      </c>
      <c r="T309" s="240">
        <v>3</v>
      </c>
      <c r="U309" s="245" t="str">
        <f t="shared" si="18"/>
        <v>Normal</v>
      </c>
      <c r="V309" s="245" t="str">
        <f t="shared" si="19"/>
        <v>Normal</v>
      </c>
      <c r="W309" s="87">
        <f t="shared" si="20"/>
        <v>-0.2</v>
      </c>
      <c r="X309" s="87">
        <f t="shared" si="21"/>
        <v>-0.19262295081967212</v>
      </c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P309">
        <f>MINUTE(Table9[[#This Row],[AHT]])</f>
        <v>0</v>
      </c>
      <c r="AQ309">
        <f>SECOND(Table9[[#This Row],[AHT]])</f>
        <v>0</v>
      </c>
      <c r="AT309">
        <v>107</v>
      </c>
    </row>
    <row r="310" spans="1:46">
      <c r="A310" s="23">
        <v>44960</v>
      </c>
      <c r="B310" s="121">
        <f>IF(YEAR(Table9[[#This Row],[Date]]) = 2022, WEEKNUM(Table9[[#This Row],[Date]])-13, WEEKNUM(Table9[[#This Row],[Date]])+40)</f>
        <v>45</v>
      </c>
      <c r="C310" s="35" t="s">
        <v>52</v>
      </c>
      <c r="D310" s="35" t="s">
        <v>59</v>
      </c>
      <c r="E310" s="1">
        <v>182</v>
      </c>
      <c r="F310" s="1">
        <v>176</v>
      </c>
      <c r="G310" s="87">
        <f>IFERROR((Table9[[#This Row],[Calls Off]]-E303)/E303,0)</f>
        <v>-0.14553990610328638</v>
      </c>
      <c r="H310" s="87">
        <f>IFERROR((Table9[[#This Row],[Calls Ans]]-F303)/F303,0)</f>
        <v>-0.12437810945273632</v>
      </c>
      <c r="I310" s="1">
        <f>Table9[[#This Row],[Calls Off]]+I309</f>
        <v>581</v>
      </c>
      <c r="J310" s="1">
        <f>Table9[[#This Row],[Calls Ans]]+J309</f>
        <v>563</v>
      </c>
      <c r="K310" s="1">
        <f>K309+Table9[[#This Row],[Calls Off]]</f>
        <v>103891</v>
      </c>
      <c r="L310" s="1">
        <f>L309+Table9[[#This Row],[Calls Ans]]</f>
        <v>92908</v>
      </c>
      <c r="M310" s="18">
        <v>0.92</v>
      </c>
      <c r="N310" s="18">
        <v>0.03</v>
      </c>
      <c r="O310" s="18">
        <v>0.97</v>
      </c>
      <c r="P310" s="18">
        <v>0.77</v>
      </c>
      <c r="Q310" s="22">
        <v>1</v>
      </c>
      <c r="R310" s="230">
        <v>102</v>
      </c>
      <c r="S310" s="230">
        <v>0</v>
      </c>
      <c r="T310" s="240">
        <v>3</v>
      </c>
      <c r="U310" s="245" t="str">
        <f t="shared" si="18"/>
        <v>Normal</v>
      </c>
      <c r="V310" s="245" t="str">
        <f t="shared" si="19"/>
        <v>Normal</v>
      </c>
      <c r="W310" s="87">
        <f t="shared" si="20"/>
        <v>-0.14553990610328638</v>
      </c>
      <c r="X310" s="87">
        <f t="shared" si="21"/>
        <v>-0.12437810945273632</v>
      </c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P310">
        <f>MINUTE(Table9[[#This Row],[AHT]])</f>
        <v>0</v>
      </c>
      <c r="AQ310">
        <f>SECOND(Table9[[#This Row],[AHT]])</f>
        <v>0</v>
      </c>
      <c r="AT310">
        <v>102</v>
      </c>
    </row>
    <row r="311" spans="1:46">
      <c r="A311" s="23">
        <v>44961</v>
      </c>
      <c r="B311" s="121">
        <f>IF(YEAR(Table9[[#This Row],[Date]]) = 2022, WEEKNUM(Table9[[#This Row],[Date]])-13, WEEKNUM(Table9[[#This Row],[Date]])+40)</f>
        <v>45</v>
      </c>
      <c r="C311" s="35" t="s">
        <v>53</v>
      </c>
      <c r="D311" s="35" t="s">
        <v>59</v>
      </c>
      <c r="E311" s="1">
        <v>155</v>
      </c>
      <c r="F311" s="1">
        <v>152</v>
      </c>
      <c r="G311" s="87">
        <f>IFERROR((Table9[[#This Row],[Calls Off]]-E304)/E304,0)</f>
        <v>0.22047244094488189</v>
      </c>
      <c r="H311" s="87">
        <f>IFERROR((Table9[[#This Row],[Calls Ans]]-F304)/F304,0)</f>
        <v>0.24590163934426229</v>
      </c>
      <c r="I311" s="1">
        <f>Table9[[#This Row],[Calls Off]]+I310</f>
        <v>736</v>
      </c>
      <c r="J311" s="1">
        <f>Table9[[#This Row],[Calls Ans]]+J310</f>
        <v>715</v>
      </c>
      <c r="K311" s="1">
        <f>K310+Table9[[#This Row],[Calls Off]]</f>
        <v>104046</v>
      </c>
      <c r="L311" s="1">
        <f>L310+Table9[[#This Row],[Calls Ans]]</f>
        <v>93060</v>
      </c>
      <c r="M311" s="18">
        <v>0.88</v>
      </c>
      <c r="N311" s="18">
        <v>0.02</v>
      </c>
      <c r="O311" s="18">
        <v>0.98</v>
      </c>
      <c r="P311" s="18">
        <v>0.52</v>
      </c>
      <c r="Q311" s="22">
        <v>1</v>
      </c>
      <c r="R311" s="230">
        <v>58</v>
      </c>
      <c r="S311" s="230">
        <v>0</v>
      </c>
      <c r="T311" s="240">
        <v>2</v>
      </c>
      <c r="U311" s="245" t="str">
        <f t="shared" si="18"/>
        <v>Normal</v>
      </c>
      <c r="V311" s="245" t="str">
        <f t="shared" si="19"/>
        <v>Normal</v>
      </c>
      <c r="W311" s="87">
        <f t="shared" si="20"/>
        <v>0.22047244094488189</v>
      </c>
      <c r="X311" s="87">
        <f t="shared" si="21"/>
        <v>0.24590163934426229</v>
      </c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P311">
        <f>MINUTE(Table9[[#This Row],[AHT]])</f>
        <v>0</v>
      </c>
      <c r="AQ311">
        <f>SECOND(Table9[[#This Row],[AHT]])</f>
        <v>0</v>
      </c>
      <c r="AT311">
        <v>58</v>
      </c>
    </row>
    <row r="312" spans="1:46">
      <c r="A312" s="23">
        <v>44962</v>
      </c>
      <c r="B312" s="121">
        <f>IF(YEAR(Table9[[#This Row],[Date]]) = 2022, WEEKNUM(Table9[[#This Row],[Date]])-13, WEEKNUM(Table9[[#This Row],[Date]])+40)</f>
        <v>46</v>
      </c>
      <c r="C312" s="35" t="s">
        <v>47</v>
      </c>
      <c r="D312" s="35" t="s">
        <v>59</v>
      </c>
      <c r="E312" s="1">
        <v>0</v>
      </c>
      <c r="F312" s="1">
        <v>0</v>
      </c>
      <c r="G312" s="87">
        <v>0</v>
      </c>
      <c r="H312" s="87">
        <v>0</v>
      </c>
      <c r="I312" s="1">
        <v>0</v>
      </c>
      <c r="J312" s="1">
        <v>0</v>
      </c>
      <c r="K312" s="1">
        <v>0</v>
      </c>
      <c r="L312" s="1">
        <v>0</v>
      </c>
      <c r="M312" s="18">
        <v>0</v>
      </c>
      <c r="N312" s="18">
        <v>0</v>
      </c>
      <c r="O312" s="18">
        <v>0</v>
      </c>
      <c r="P312" s="18">
        <v>0</v>
      </c>
      <c r="Q312" s="22">
        <v>0</v>
      </c>
      <c r="R312" s="230">
        <v>0</v>
      </c>
      <c r="S312" s="230">
        <v>0</v>
      </c>
      <c r="T312" s="240">
        <v>0</v>
      </c>
      <c r="U312" s="245" t="str">
        <f t="shared" si="18"/>
        <v>Normal</v>
      </c>
      <c r="V312" s="245" t="str">
        <f t="shared" si="19"/>
        <v>Normal</v>
      </c>
      <c r="W312" s="87">
        <f t="shared" si="20"/>
        <v>0</v>
      </c>
      <c r="X312" s="87">
        <f t="shared" si="21"/>
        <v>0</v>
      </c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P312">
        <f>MINUTE(Table9[[#This Row],[AHT]])</f>
        <v>0</v>
      </c>
      <c r="AQ312">
        <f>SECOND(Table9[[#This Row],[AHT]])</f>
        <v>0</v>
      </c>
      <c r="AT312">
        <v>0</v>
      </c>
    </row>
    <row r="313" spans="1:46">
      <c r="A313" s="23">
        <v>44963</v>
      </c>
      <c r="B313" s="121">
        <f>IF(YEAR(Table9[[#This Row],[Date]]) = 2022, WEEKNUM(Table9[[#This Row],[Date]])-13, WEEKNUM(Table9[[#This Row],[Date]])+40)</f>
        <v>46</v>
      </c>
      <c r="C313" s="35" t="s">
        <v>48</v>
      </c>
      <c r="D313" s="35" t="s">
        <v>59</v>
      </c>
      <c r="E313" s="1">
        <v>246</v>
      </c>
      <c r="F313" s="1">
        <v>236</v>
      </c>
      <c r="G313" s="87">
        <f>IFERROR((Table9[[#This Row],[Calls Off]]-E306)/E306,0)</f>
        <v>1.6528925619834711E-2</v>
      </c>
      <c r="H313" s="87">
        <f>IFERROR((Table9[[#This Row],[Calls Ans]]-F306)/F306,0)</f>
        <v>-8.4033613445378148E-3</v>
      </c>
      <c r="I313" s="1">
        <f>Table9[[#This Row],[Calls Off]]+I311</f>
        <v>982</v>
      </c>
      <c r="J313" s="1">
        <f>Table9[[#This Row],[Calls Ans]]+J311</f>
        <v>951</v>
      </c>
      <c r="K313" s="1">
        <f>K311+Table9[[#This Row],[Calls Off]]</f>
        <v>104292</v>
      </c>
      <c r="L313" s="1">
        <f>L311+Table9[[#This Row],[Calls Ans]]</f>
        <v>93296</v>
      </c>
      <c r="M313" s="18">
        <v>0.87</v>
      </c>
      <c r="N313" s="18">
        <v>0.04</v>
      </c>
      <c r="O313" s="18">
        <v>0.96</v>
      </c>
      <c r="P313" s="18">
        <v>0.59</v>
      </c>
      <c r="Q313" s="22">
        <v>1</v>
      </c>
      <c r="R313" s="230">
        <v>92</v>
      </c>
      <c r="S313" s="230">
        <v>0</v>
      </c>
      <c r="T313" s="240">
        <v>3</v>
      </c>
      <c r="U313" s="245" t="str">
        <f t="shared" si="18"/>
        <v>Normal</v>
      </c>
      <c r="V313" s="245" t="str">
        <f t="shared" si="19"/>
        <v>Normal</v>
      </c>
      <c r="W313" s="87">
        <f t="shared" si="20"/>
        <v>1.6528925619834711E-2</v>
      </c>
      <c r="X313" s="87">
        <f t="shared" si="21"/>
        <v>-8.4033613445378148E-3</v>
      </c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P313">
        <f>MINUTE(Table9[[#This Row],[AHT]])</f>
        <v>0</v>
      </c>
      <c r="AQ313">
        <f>SECOND(Table9[[#This Row],[AHT]])</f>
        <v>0</v>
      </c>
      <c r="AT313">
        <v>92</v>
      </c>
    </row>
    <row r="314" spans="1:46">
      <c r="A314" s="23">
        <v>44964</v>
      </c>
      <c r="B314" s="121">
        <f>IF(YEAR(Table9[[#This Row],[Date]]) = 2022, WEEKNUM(Table9[[#This Row],[Date]])-13, WEEKNUM(Table9[[#This Row],[Date]])+40)</f>
        <v>46</v>
      </c>
      <c r="C314" s="35" t="s">
        <v>49</v>
      </c>
      <c r="D314" s="35" t="s">
        <v>59</v>
      </c>
      <c r="E314" s="1">
        <v>164</v>
      </c>
      <c r="F314" s="1">
        <v>163</v>
      </c>
      <c r="G314" s="87">
        <f>IFERROR((Table9[[#This Row],[Calls Off]]-E307)/E307,0)</f>
        <v>-0.33870967741935482</v>
      </c>
      <c r="H314" s="87">
        <f>IFERROR((Table9[[#This Row],[Calls Ans]]-F307)/F307,0)</f>
        <v>-0.33196721311475408</v>
      </c>
      <c r="I314" s="1">
        <f>Table9[[#This Row],[Calls Off]]+I313</f>
        <v>1146</v>
      </c>
      <c r="J314" s="1">
        <f>Table9[[#This Row],[Calls Ans]]+J313</f>
        <v>1114</v>
      </c>
      <c r="K314" s="1">
        <f>K313+Table9[[#This Row],[Calls Off]]</f>
        <v>104456</v>
      </c>
      <c r="L314" s="1">
        <f>L313+Table9[[#This Row],[Calls Ans]]</f>
        <v>93459</v>
      </c>
      <c r="M314" s="18">
        <v>0.92</v>
      </c>
      <c r="N314" s="18">
        <v>0.01</v>
      </c>
      <c r="O314" s="18">
        <v>0.99</v>
      </c>
      <c r="P314" s="18">
        <v>0.72</v>
      </c>
      <c r="Q314" s="22">
        <v>1</v>
      </c>
      <c r="R314" s="230">
        <v>102</v>
      </c>
      <c r="S314" s="230">
        <v>0</v>
      </c>
      <c r="T314" s="240">
        <v>3</v>
      </c>
      <c r="U314" s="245" t="str">
        <f t="shared" si="18"/>
        <v>Normal</v>
      </c>
      <c r="V314" s="245" t="str">
        <f t="shared" si="19"/>
        <v>Normal</v>
      </c>
      <c r="W314" s="87">
        <f t="shared" si="20"/>
        <v>-0.33870967741935482</v>
      </c>
      <c r="X314" s="87">
        <f t="shared" si="21"/>
        <v>-0.33196721311475408</v>
      </c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K314" s="50"/>
      <c r="AL314" s="50"/>
      <c r="AM314" s="50"/>
      <c r="AP314">
        <f>MINUTE(Table9[[#This Row],[AHT]])</f>
        <v>0</v>
      </c>
      <c r="AQ314">
        <f>SECOND(Table9[[#This Row],[AHT]])</f>
        <v>0</v>
      </c>
      <c r="AT314">
        <v>102</v>
      </c>
    </row>
    <row r="315" spans="1:46">
      <c r="A315" s="23">
        <v>44965</v>
      </c>
      <c r="B315" s="121">
        <f>IF(YEAR(Table9[[#This Row],[Date]]) = 2022, WEEKNUM(Table9[[#This Row],[Date]])-13, WEEKNUM(Table9[[#This Row],[Date]])+40)</f>
        <v>46</v>
      </c>
      <c r="C315" s="35" t="s">
        <v>50</v>
      </c>
      <c r="D315" s="35" t="s">
        <v>59</v>
      </c>
      <c r="E315" s="1">
        <v>197</v>
      </c>
      <c r="F315" s="1">
        <v>189</v>
      </c>
      <c r="G315" s="87">
        <f>IFERROR((Table9[[#This Row],[Calls Off]]-E308)/E308,0)</f>
        <v>-1.0050251256281407E-2</v>
      </c>
      <c r="H315" s="87">
        <f>IFERROR((Table9[[#This Row],[Calls Ans]]-F308)/F308,0)</f>
        <v>-5.263157894736842E-3</v>
      </c>
      <c r="I315" s="1">
        <f>Table9[[#This Row],[Calls Off]]+I314</f>
        <v>1343</v>
      </c>
      <c r="J315" s="1">
        <f>Table9[[#This Row],[Calls Ans]]+J314</f>
        <v>1303</v>
      </c>
      <c r="K315" s="1">
        <f>K314+Table9[[#This Row],[Calls Off]]</f>
        <v>104653</v>
      </c>
      <c r="L315" s="1">
        <f>L314+Table9[[#This Row],[Calls Ans]]</f>
        <v>93648</v>
      </c>
      <c r="M315" s="18">
        <v>0.93</v>
      </c>
      <c r="N315" s="18">
        <v>0.04</v>
      </c>
      <c r="O315" s="18">
        <v>0.96</v>
      </c>
      <c r="P315" s="18">
        <v>0.82</v>
      </c>
      <c r="Q315" s="22">
        <v>1</v>
      </c>
      <c r="R315" s="230">
        <v>98</v>
      </c>
      <c r="S315" s="230">
        <v>0</v>
      </c>
      <c r="T315" s="240">
        <v>2</v>
      </c>
      <c r="U315" s="245" t="str">
        <f t="shared" si="18"/>
        <v>Normal</v>
      </c>
      <c r="V315" s="245" t="str">
        <f t="shared" si="19"/>
        <v>Normal</v>
      </c>
      <c r="W315" s="87">
        <f t="shared" si="20"/>
        <v>-1.0050251256281407E-2</v>
      </c>
      <c r="X315" s="87">
        <f t="shared" si="21"/>
        <v>-5.263157894736842E-3</v>
      </c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P315">
        <f>MINUTE(Table9[[#This Row],[AHT]])</f>
        <v>0</v>
      </c>
      <c r="AQ315">
        <f>SECOND(Table9[[#This Row],[AHT]])</f>
        <v>0</v>
      </c>
      <c r="AT315">
        <v>98</v>
      </c>
    </row>
    <row r="316" spans="1:46">
      <c r="A316" s="23">
        <v>44966</v>
      </c>
      <c r="B316" s="121">
        <f>IF(YEAR(Table9[[#This Row],[Date]]) = 2022, WEEKNUM(Table9[[#This Row],[Date]])-13, WEEKNUM(Table9[[#This Row],[Date]])+40)</f>
        <v>46</v>
      </c>
      <c r="C316" s="35" t="s">
        <v>51</v>
      </c>
      <c r="D316" s="35" t="s">
        <v>59</v>
      </c>
      <c r="E316" s="1">
        <v>202</v>
      </c>
      <c r="F316" s="1">
        <v>198</v>
      </c>
      <c r="G316" s="87">
        <f>IFERROR((Table9[[#This Row],[Calls Off]]-E309)/E309,0)</f>
        <v>0.01</v>
      </c>
      <c r="H316" s="87">
        <f>IFERROR((Table9[[#This Row],[Calls Ans]]-F309)/F309,0)</f>
        <v>5.076142131979695E-3</v>
      </c>
      <c r="I316" s="1">
        <f>Table9[[#This Row],[Calls Off]]+I315</f>
        <v>1545</v>
      </c>
      <c r="J316" s="1">
        <f>Table9[[#This Row],[Calls Ans]]+J315</f>
        <v>1501</v>
      </c>
      <c r="K316" s="1">
        <f>K315+Table9[[#This Row],[Calls Off]]</f>
        <v>104855</v>
      </c>
      <c r="L316" s="1">
        <f>L315+Table9[[#This Row],[Calls Ans]]</f>
        <v>93846</v>
      </c>
      <c r="M316" s="18">
        <v>0.95</v>
      </c>
      <c r="N316" s="18">
        <v>0.02</v>
      </c>
      <c r="O316" s="18">
        <v>0.98</v>
      </c>
      <c r="P316" s="18">
        <v>0.65</v>
      </c>
      <c r="Q316" s="22">
        <v>1</v>
      </c>
      <c r="R316" s="230">
        <v>96</v>
      </c>
      <c r="S316" s="230">
        <v>0</v>
      </c>
      <c r="T316" s="240">
        <v>4</v>
      </c>
      <c r="U316" s="245" t="str">
        <f t="shared" si="18"/>
        <v>Normal</v>
      </c>
      <c r="V316" s="245" t="str">
        <f t="shared" si="19"/>
        <v>Normal</v>
      </c>
      <c r="W316" s="87">
        <f t="shared" si="20"/>
        <v>0.01</v>
      </c>
      <c r="X316" s="87">
        <f t="shared" si="21"/>
        <v>5.076142131979695E-3</v>
      </c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P316">
        <f>MINUTE(Table9[[#This Row],[AHT]])</f>
        <v>0</v>
      </c>
      <c r="AQ316">
        <f>SECOND(Table9[[#This Row],[AHT]])</f>
        <v>0</v>
      </c>
      <c r="AT316">
        <v>96</v>
      </c>
    </row>
    <row r="317" spans="1:46">
      <c r="A317" s="23">
        <v>44967</v>
      </c>
      <c r="B317" s="121">
        <f>IF(YEAR(Table9[[#This Row],[Date]]) = 2022, WEEKNUM(Table9[[#This Row],[Date]])-13, WEEKNUM(Table9[[#This Row],[Date]])+40)</f>
        <v>46</v>
      </c>
      <c r="C317" s="35" t="s">
        <v>52</v>
      </c>
      <c r="D317" s="35" t="s">
        <v>59</v>
      </c>
      <c r="E317" s="1">
        <v>182</v>
      </c>
      <c r="F317" s="1">
        <v>173</v>
      </c>
      <c r="G317" s="87">
        <f>IFERROR((Table9[[#This Row],[Calls Off]]-E310)/E310,0)</f>
        <v>0</v>
      </c>
      <c r="H317" s="87">
        <f>IFERROR((Table9[[#This Row],[Calls Ans]]-F310)/F310,0)</f>
        <v>-1.7045454545454544E-2</v>
      </c>
      <c r="I317" s="1">
        <f>Table9[[#This Row],[Calls Off]]+I316</f>
        <v>1727</v>
      </c>
      <c r="J317" s="1">
        <f>Table9[[#This Row],[Calls Ans]]+J316</f>
        <v>1674</v>
      </c>
      <c r="K317" s="1">
        <f>K316+Table9[[#This Row],[Calls Off]]</f>
        <v>105037</v>
      </c>
      <c r="L317" s="1">
        <f>L316+Table9[[#This Row],[Calls Ans]]</f>
        <v>94019</v>
      </c>
      <c r="M317" s="18">
        <v>0.89</v>
      </c>
      <c r="N317" s="18">
        <v>0.05</v>
      </c>
      <c r="O317" s="18">
        <v>0.95</v>
      </c>
      <c r="P317" s="18">
        <v>0.7</v>
      </c>
      <c r="Q317" s="22">
        <v>1</v>
      </c>
      <c r="R317" s="230">
        <v>66</v>
      </c>
      <c r="S317" s="230">
        <v>0</v>
      </c>
      <c r="T317" s="240">
        <v>3</v>
      </c>
      <c r="U317" s="245" t="str">
        <f t="shared" si="18"/>
        <v>Normal</v>
      </c>
      <c r="V317" s="245" t="str">
        <f t="shared" si="19"/>
        <v>Normal</v>
      </c>
      <c r="W317" s="87">
        <f t="shared" si="20"/>
        <v>0</v>
      </c>
      <c r="X317" s="87">
        <f t="shared" si="21"/>
        <v>-1.7045454545454544E-2</v>
      </c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P317">
        <f>MINUTE(Table9[[#This Row],[AHT]])</f>
        <v>0</v>
      </c>
      <c r="AQ317">
        <f>SECOND(Table9[[#This Row],[AHT]])</f>
        <v>0</v>
      </c>
      <c r="AT317">
        <v>66</v>
      </c>
    </row>
    <row r="318" spans="1:46">
      <c r="A318" s="23">
        <v>44968</v>
      </c>
      <c r="B318" s="121">
        <f>IF(YEAR(Table9[[#This Row],[Date]]) = 2022, WEEKNUM(Table9[[#This Row],[Date]])-13, WEEKNUM(Table9[[#This Row],[Date]])+40)</f>
        <v>46</v>
      </c>
      <c r="C318" s="35" t="s">
        <v>53</v>
      </c>
      <c r="D318" s="35" t="s">
        <v>59</v>
      </c>
      <c r="E318" s="1">
        <v>102</v>
      </c>
      <c r="F318" s="1">
        <v>99</v>
      </c>
      <c r="G318" s="87">
        <f>IFERROR((Table9[[#This Row],[Calls Off]]-E311)/E311,0)</f>
        <v>-0.34193548387096773</v>
      </c>
      <c r="H318" s="87">
        <f>IFERROR((Table9[[#This Row],[Calls Ans]]-F311)/F311,0)</f>
        <v>-0.34868421052631576</v>
      </c>
      <c r="I318" s="1">
        <f>Table9[[#This Row],[Calls Off]]+I317</f>
        <v>1829</v>
      </c>
      <c r="J318" s="1">
        <f>Table9[[#This Row],[Calls Ans]]+J317</f>
        <v>1773</v>
      </c>
      <c r="K318" s="1">
        <f>K317+Table9[[#This Row],[Calls Off]]</f>
        <v>105139</v>
      </c>
      <c r="L318" s="1">
        <f>L317+Table9[[#This Row],[Calls Ans]]</f>
        <v>94118</v>
      </c>
      <c r="M318" s="18">
        <v>0.91</v>
      </c>
      <c r="N318" s="18">
        <v>0.03</v>
      </c>
      <c r="O318" s="18">
        <v>0.97</v>
      </c>
      <c r="P318" s="18">
        <v>0.62</v>
      </c>
      <c r="Q318" s="22">
        <v>0.99</v>
      </c>
      <c r="R318" s="230">
        <v>120</v>
      </c>
      <c r="S318" s="230">
        <v>0</v>
      </c>
      <c r="T318" s="240">
        <v>3</v>
      </c>
      <c r="U318" s="245" t="str">
        <f t="shared" si="18"/>
        <v>Normal</v>
      </c>
      <c r="V318" s="245" t="str">
        <f t="shared" si="19"/>
        <v>Normal</v>
      </c>
      <c r="W318" s="87">
        <f t="shared" si="20"/>
        <v>-0.34193548387096773</v>
      </c>
      <c r="X318" s="87">
        <f t="shared" si="21"/>
        <v>-0.34868421052631576</v>
      </c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P318">
        <f>MINUTE(Table9[[#This Row],[AHT]])</f>
        <v>0</v>
      </c>
      <c r="AQ318">
        <f>SECOND(Table9[[#This Row],[AHT]])</f>
        <v>0</v>
      </c>
      <c r="AT318">
        <v>120</v>
      </c>
    </row>
    <row r="319" spans="1:46">
      <c r="A319" s="23">
        <v>44969</v>
      </c>
      <c r="B319" s="121">
        <f>IF(YEAR(Table9[[#This Row],[Date]]) = 2022, WEEKNUM(Table9[[#This Row],[Date]])-13, WEEKNUM(Table9[[#This Row],[Date]])+40)</f>
        <v>47</v>
      </c>
      <c r="C319" s="35" t="s">
        <v>47</v>
      </c>
      <c r="D319" s="35" t="s">
        <v>59</v>
      </c>
      <c r="E319" s="1">
        <v>0</v>
      </c>
      <c r="F319" s="1">
        <v>0</v>
      </c>
      <c r="G319" s="87">
        <v>0</v>
      </c>
      <c r="H319" s="87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18">
        <v>0</v>
      </c>
      <c r="O319" s="18">
        <v>0</v>
      </c>
      <c r="P319" s="18">
        <v>0</v>
      </c>
      <c r="Q319" s="22">
        <v>0</v>
      </c>
      <c r="R319" s="230">
        <v>0</v>
      </c>
      <c r="S319" s="230">
        <v>0</v>
      </c>
      <c r="T319" s="240">
        <v>0</v>
      </c>
      <c r="U319" s="245" t="str">
        <f t="shared" si="18"/>
        <v>Normal</v>
      </c>
      <c r="V319" s="245" t="str">
        <f t="shared" si="19"/>
        <v>Normal</v>
      </c>
      <c r="W319" s="87">
        <f t="shared" si="20"/>
        <v>0</v>
      </c>
      <c r="X319" s="87">
        <f t="shared" si="21"/>
        <v>0</v>
      </c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P319">
        <f>MINUTE(Table9[[#This Row],[AHT]])</f>
        <v>0</v>
      </c>
      <c r="AQ319">
        <f>SECOND(Table9[[#This Row],[AHT]])</f>
        <v>0</v>
      </c>
      <c r="AT319">
        <v>0</v>
      </c>
    </row>
    <row r="320" spans="1:46">
      <c r="A320" s="23">
        <v>44970</v>
      </c>
      <c r="B320" s="121">
        <f>IF(YEAR(Table9[[#This Row],[Date]]) = 2022, WEEKNUM(Table9[[#This Row],[Date]])-13, WEEKNUM(Table9[[#This Row],[Date]])+40)</f>
        <v>47</v>
      </c>
      <c r="C320" s="35" t="s">
        <v>48</v>
      </c>
      <c r="D320" s="35" t="s">
        <v>59</v>
      </c>
      <c r="E320" s="1">
        <v>213</v>
      </c>
      <c r="F320" s="1">
        <v>203</v>
      </c>
      <c r="G320" s="87">
        <f>IFERROR((Table9[[#This Row],[Calls Off]]-E313)/E313,0)</f>
        <v>-0.13414634146341464</v>
      </c>
      <c r="H320" s="87">
        <f>IFERROR((Table9[[#This Row],[Calls Ans]]-F313)/F313,0)</f>
        <v>-0.13983050847457626</v>
      </c>
      <c r="I320" s="1">
        <f>Table9[[#This Row],[Calls Off]]+I318</f>
        <v>2042</v>
      </c>
      <c r="J320" s="1">
        <f>Table9[[#This Row],[Calls Ans]]+J318</f>
        <v>1976</v>
      </c>
      <c r="K320" s="1">
        <f>K318+Table9[[#This Row],[Calls Off]]</f>
        <v>105352</v>
      </c>
      <c r="L320" s="1">
        <f>L318+Table9[[#This Row],[Calls Ans]]</f>
        <v>94321</v>
      </c>
      <c r="M320" s="18">
        <v>0.9</v>
      </c>
      <c r="N320" s="18">
        <v>0.05</v>
      </c>
      <c r="O320" s="18">
        <v>0.95</v>
      </c>
      <c r="P320" s="18">
        <v>0.65</v>
      </c>
      <c r="Q320" s="22">
        <v>1</v>
      </c>
      <c r="R320" s="230">
        <v>113</v>
      </c>
      <c r="S320" s="230">
        <v>0</v>
      </c>
      <c r="T320" s="240">
        <v>3</v>
      </c>
      <c r="U320" s="245" t="str">
        <f t="shared" si="18"/>
        <v>Normal</v>
      </c>
      <c r="V320" s="245" t="str">
        <f t="shared" si="19"/>
        <v>Normal</v>
      </c>
      <c r="W320" s="87">
        <f t="shared" si="20"/>
        <v>-0.13414634146341464</v>
      </c>
      <c r="X320" s="87">
        <f t="shared" si="21"/>
        <v>-0.13983050847457626</v>
      </c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P320">
        <f>MINUTE(Table9[[#This Row],[AHT]])</f>
        <v>0</v>
      </c>
      <c r="AQ320">
        <f>SECOND(Table9[[#This Row],[AHT]])</f>
        <v>0</v>
      </c>
      <c r="AT320">
        <v>113</v>
      </c>
    </row>
    <row r="321" spans="1:46">
      <c r="A321" s="23">
        <v>44971</v>
      </c>
      <c r="B321" s="121">
        <f>IF(YEAR(Table9[[#This Row],[Date]]) = 2022, WEEKNUM(Table9[[#This Row],[Date]])-13, WEEKNUM(Table9[[#This Row],[Date]])+40)</f>
        <v>47</v>
      </c>
      <c r="C321" s="35" t="s">
        <v>49</v>
      </c>
      <c r="D321" s="35" t="s">
        <v>59</v>
      </c>
      <c r="E321" s="1">
        <v>179</v>
      </c>
      <c r="F321" s="1">
        <v>174</v>
      </c>
      <c r="G321" s="87">
        <f>IFERROR((Table9[[#This Row],[Calls Off]]-E314)/E314,0)</f>
        <v>9.1463414634146339E-2</v>
      </c>
      <c r="H321" s="87">
        <f>IFERROR((Table9[[#This Row],[Calls Ans]]-F314)/F314,0)</f>
        <v>6.7484662576687116E-2</v>
      </c>
      <c r="I321" s="1">
        <f>Table9[[#This Row],[Calls Off]]+I320</f>
        <v>2221</v>
      </c>
      <c r="J321" s="1">
        <f>Table9[[#This Row],[Calls Ans]]+J320</f>
        <v>2150</v>
      </c>
      <c r="K321" s="1">
        <f>K320+Table9[[#This Row],[Calls Off]]</f>
        <v>105531</v>
      </c>
      <c r="L321" s="1">
        <f>L320+Table9[[#This Row],[Calls Ans]]</f>
        <v>94495</v>
      </c>
      <c r="M321" s="18">
        <v>0.95</v>
      </c>
      <c r="N321" s="18">
        <v>0.03</v>
      </c>
      <c r="O321" s="18">
        <v>0.97</v>
      </c>
      <c r="P321" s="18">
        <v>0.66</v>
      </c>
      <c r="Q321" s="22">
        <v>1</v>
      </c>
      <c r="R321" s="230">
        <v>111</v>
      </c>
      <c r="S321" s="230">
        <v>0</v>
      </c>
      <c r="T321" s="240">
        <v>3</v>
      </c>
      <c r="U321" s="245" t="str">
        <f t="shared" si="18"/>
        <v>Normal</v>
      </c>
      <c r="V321" s="245" t="str">
        <f t="shared" si="19"/>
        <v>Normal</v>
      </c>
      <c r="W321" s="87">
        <f t="shared" si="20"/>
        <v>9.1463414634146339E-2</v>
      </c>
      <c r="X321" s="87">
        <f t="shared" si="21"/>
        <v>6.7484662576687116E-2</v>
      </c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P321">
        <f>MINUTE(Table9[[#This Row],[AHT]])</f>
        <v>0</v>
      </c>
      <c r="AQ321">
        <f>SECOND(Table9[[#This Row],[AHT]])</f>
        <v>0</v>
      </c>
      <c r="AT321">
        <v>111</v>
      </c>
    </row>
    <row r="322" spans="1:46">
      <c r="A322" s="23">
        <v>44972</v>
      </c>
      <c r="B322" s="121">
        <f>IF(YEAR(Table9[[#This Row],[Date]]) = 2022, WEEKNUM(Table9[[#This Row],[Date]])-13, WEEKNUM(Table9[[#This Row],[Date]])+40)</f>
        <v>47</v>
      </c>
      <c r="C322" s="35" t="s">
        <v>50</v>
      </c>
      <c r="D322" s="35" t="s">
        <v>59</v>
      </c>
      <c r="E322" s="1">
        <v>174</v>
      </c>
      <c r="F322" s="1">
        <v>170</v>
      </c>
      <c r="G322" s="87">
        <f>IFERROR((Table9[[#This Row],[Calls Off]]-E315)/E315,0)</f>
        <v>-0.116751269035533</v>
      </c>
      <c r="H322" s="87">
        <f>IFERROR((Table9[[#This Row],[Calls Ans]]-F315)/F315,0)</f>
        <v>-0.10052910052910052</v>
      </c>
      <c r="I322" s="1">
        <f>Table9[[#This Row],[Calls Off]]+I321</f>
        <v>2395</v>
      </c>
      <c r="J322" s="1">
        <f>Table9[[#This Row],[Calls Ans]]+J321</f>
        <v>2320</v>
      </c>
      <c r="K322" s="1">
        <f>K321+Table9[[#This Row],[Calls Off]]</f>
        <v>105705</v>
      </c>
      <c r="L322" s="1">
        <f>L321+Table9[[#This Row],[Calls Ans]]</f>
        <v>94665</v>
      </c>
      <c r="M322" s="18">
        <v>0.94</v>
      </c>
      <c r="N322" s="18">
        <v>0.02</v>
      </c>
      <c r="O322" s="18">
        <v>0.98</v>
      </c>
      <c r="P322" s="18">
        <v>0.89</v>
      </c>
      <c r="Q322" s="22">
        <v>1</v>
      </c>
      <c r="R322" s="230">
        <v>93</v>
      </c>
      <c r="S322" s="230">
        <v>0</v>
      </c>
      <c r="T322" s="240">
        <v>3</v>
      </c>
      <c r="U322" s="245" t="str">
        <f t="shared" si="18"/>
        <v>Normal</v>
      </c>
      <c r="V322" s="245" t="str">
        <f t="shared" si="19"/>
        <v>Normal</v>
      </c>
      <c r="W322" s="87">
        <f t="shared" si="20"/>
        <v>-0.116751269035533</v>
      </c>
      <c r="X322" s="87">
        <f t="shared" si="21"/>
        <v>-0.10052910052910052</v>
      </c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P322">
        <f>MINUTE(Table9[[#This Row],[AHT]])</f>
        <v>0</v>
      </c>
      <c r="AQ322">
        <f>SECOND(Table9[[#This Row],[AHT]])</f>
        <v>0</v>
      </c>
      <c r="AT322">
        <v>93</v>
      </c>
    </row>
    <row r="323" spans="1:46">
      <c r="A323" s="23">
        <v>44973</v>
      </c>
      <c r="B323" s="121">
        <f>IF(YEAR(Table9[[#This Row],[Date]]) = 2022, WEEKNUM(Table9[[#This Row],[Date]])-13, WEEKNUM(Table9[[#This Row],[Date]])+40)</f>
        <v>47</v>
      </c>
      <c r="C323" s="35" t="s">
        <v>51</v>
      </c>
      <c r="D323" s="35" t="s">
        <v>59</v>
      </c>
      <c r="E323" s="1">
        <v>171</v>
      </c>
      <c r="F323" s="1">
        <v>163</v>
      </c>
      <c r="G323" s="87">
        <f>IFERROR((Table9[[#This Row],[Calls Off]]-E316)/E316,0)</f>
        <v>-0.15346534653465346</v>
      </c>
      <c r="H323" s="87">
        <f>IFERROR((Table9[[#This Row],[Calls Ans]]-F316)/F316,0)</f>
        <v>-0.17676767676767677</v>
      </c>
      <c r="I323" s="1">
        <f>Table9[[#This Row],[Calls Off]]+I322</f>
        <v>2566</v>
      </c>
      <c r="J323" s="1">
        <f>Table9[[#This Row],[Calls Ans]]+J322</f>
        <v>2483</v>
      </c>
      <c r="K323" s="1">
        <f>K322+Table9[[#This Row],[Calls Off]]</f>
        <v>105876</v>
      </c>
      <c r="L323" s="1">
        <f>L322+Table9[[#This Row],[Calls Ans]]</f>
        <v>94828</v>
      </c>
      <c r="M323" s="18">
        <v>0.95</v>
      </c>
      <c r="N323" s="18">
        <v>0.05</v>
      </c>
      <c r="O323" s="18">
        <v>0.95</v>
      </c>
      <c r="P323" s="18">
        <v>0.77</v>
      </c>
      <c r="Q323" s="22">
        <v>1</v>
      </c>
      <c r="R323" s="230">
        <v>92</v>
      </c>
      <c r="S323" s="230">
        <v>0</v>
      </c>
      <c r="T323" s="240">
        <v>3</v>
      </c>
      <c r="U323" s="245" t="str">
        <f t="shared" ref="U323:U366" si="22">IF(OR(G323&lt;$AA$5,G323&gt;$AB$5), "Outlier", "Normal")</f>
        <v>Normal</v>
      </c>
      <c r="V323" s="245" t="str">
        <f t="shared" ref="V323:V366" si="23">IF(OR(H323&lt;$AA$6,H323&gt;$AB$6), "Outlier", "Normal")</f>
        <v>Normal</v>
      </c>
      <c r="W323" s="87">
        <f t="shared" ref="W323:W366" si="24">IF(U323="Normal",$G323,IF($G323&lt;150%, $G323, $AA$9))</f>
        <v>-0.15346534653465346</v>
      </c>
      <c r="X323" s="87">
        <f t="shared" ref="X323:X366" si="25">IF(V323="Normal",$H323,IF($H323&lt;150%, $H323, $AE$9))</f>
        <v>-0.17676767676767677</v>
      </c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P323">
        <f>MINUTE(Table9[[#This Row],[AHT]])</f>
        <v>0</v>
      </c>
      <c r="AQ323">
        <f>SECOND(Table9[[#This Row],[AHT]])</f>
        <v>0</v>
      </c>
      <c r="AT323">
        <v>92</v>
      </c>
    </row>
    <row r="324" spans="1:46">
      <c r="A324" s="23">
        <v>44974</v>
      </c>
      <c r="B324" s="121">
        <f>IF(YEAR(Table9[[#This Row],[Date]]) = 2022, WEEKNUM(Table9[[#This Row],[Date]])-13, WEEKNUM(Table9[[#This Row],[Date]])+40)</f>
        <v>47</v>
      </c>
      <c r="C324" s="35" t="s">
        <v>52</v>
      </c>
      <c r="D324" s="35" t="s">
        <v>59</v>
      </c>
      <c r="E324" s="1">
        <v>159</v>
      </c>
      <c r="F324" s="1">
        <v>151</v>
      </c>
      <c r="G324" s="87">
        <f>IFERROR((Table9[[#This Row],[Calls Off]]-E317)/E317,0)</f>
        <v>-0.12637362637362637</v>
      </c>
      <c r="H324" s="87">
        <f>IFERROR((Table9[[#This Row],[Calls Ans]]-F317)/F317,0)</f>
        <v>-0.12716763005780346</v>
      </c>
      <c r="I324" s="1">
        <f>Table9[[#This Row],[Calls Off]]+I323</f>
        <v>2725</v>
      </c>
      <c r="J324" s="1">
        <f>Table9[[#This Row],[Calls Ans]]+J323</f>
        <v>2634</v>
      </c>
      <c r="K324" s="1">
        <f>K323+Table9[[#This Row],[Calls Off]]</f>
        <v>106035</v>
      </c>
      <c r="L324" s="1">
        <f>L323+Table9[[#This Row],[Calls Ans]]</f>
        <v>94979</v>
      </c>
      <c r="M324" s="18">
        <v>0.89</v>
      </c>
      <c r="N324" s="18">
        <v>0.05</v>
      </c>
      <c r="O324" s="18">
        <v>0.95</v>
      </c>
      <c r="P324" s="18">
        <v>0.71</v>
      </c>
      <c r="Q324" s="22">
        <v>1</v>
      </c>
      <c r="R324" s="230">
        <v>91</v>
      </c>
      <c r="S324" s="230">
        <v>0</v>
      </c>
      <c r="T324" s="240">
        <v>3</v>
      </c>
      <c r="U324" s="245" t="str">
        <f t="shared" si="22"/>
        <v>Normal</v>
      </c>
      <c r="V324" s="245" t="str">
        <f t="shared" si="23"/>
        <v>Normal</v>
      </c>
      <c r="W324" s="87">
        <f t="shared" si="24"/>
        <v>-0.12637362637362637</v>
      </c>
      <c r="X324" s="87">
        <f t="shared" si="25"/>
        <v>-0.12716763005780346</v>
      </c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P324">
        <f>MINUTE(Table9[[#This Row],[AHT]])</f>
        <v>0</v>
      </c>
      <c r="AQ324">
        <f>SECOND(Table9[[#This Row],[AHT]])</f>
        <v>0</v>
      </c>
      <c r="AT324">
        <v>91</v>
      </c>
    </row>
    <row r="325" spans="1:46">
      <c r="A325" s="23">
        <v>44975</v>
      </c>
      <c r="B325" s="121">
        <f>IF(YEAR(Table9[[#This Row],[Date]]) = 2022, WEEKNUM(Table9[[#This Row],[Date]])-13, WEEKNUM(Table9[[#This Row],[Date]])+40)</f>
        <v>47</v>
      </c>
      <c r="C325" s="35" t="s">
        <v>53</v>
      </c>
      <c r="D325" s="35" t="s">
        <v>59</v>
      </c>
      <c r="E325" s="1">
        <v>135</v>
      </c>
      <c r="F325" s="1">
        <v>127</v>
      </c>
      <c r="G325" s="87">
        <f>IFERROR((Table9[[#This Row],[Calls Off]]-E318)/E318,0)</f>
        <v>0.3235294117647059</v>
      </c>
      <c r="H325" s="87">
        <f>IFERROR((Table9[[#This Row],[Calls Ans]]-F318)/F318,0)</f>
        <v>0.28282828282828282</v>
      </c>
      <c r="I325" s="1">
        <f>Table9[[#This Row],[Calls Off]]+I324</f>
        <v>2860</v>
      </c>
      <c r="J325" s="1">
        <f>Table9[[#This Row],[Calls Ans]]+J324</f>
        <v>2761</v>
      </c>
      <c r="K325" s="1">
        <f>K324+Table9[[#This Row],[Calls Off]]</f>
        <v>106170</v>
      </c>
      <c r="L325" s="1">
        <f>L324+Table9[[#This Row],[Calls Ans]]</f>
        <v>95106</v>
      </c>
      <c r="M325" s="18">
        <v>0.88</v>
      </c>
      <c r="N325" s="18">
        <v>0.06</v>
      </c>
      <c r="O325" s="18">
        <v>0.94</v>
      </c>
      <c r="P325" s="18">
        <v>0.76</v>
      </c>
      <c r="Q325" s="22">
        <v>1</v>
      </c>
      <c r="R325" s="230">
        <v>71</v>
      </c>
      <c r="S325" s="230">
        <v>0</v>
      </c>
      <c r="T325" s="240">
        <v>2</v>
      </c>
      <c r="U325" s="245" t="str">
        <f t="shared" si="22"/>
        <v>Normal</v>
      </c>
      <c r="V325" s="245" t="str">
        <f t="shared" si="23"/>
        <v>Normal</v>
      </c>
      <c r="W325" s="87">
        <f t="shared" si="24"/>
        <v>0.3235294117647059</v>
      </c>
      <c r="X325" s="87">
        <f t="shared" si="25"/>
        <v>0.28282828282828282</v>
      </c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P325">
        <f>MINUTE(Table9[[#This Row],[AHT]])</f>
        <v>0</v>
      </c>
      <c r="AQ325">
        <f>SECOND(Table9[[#This Row],[AHT]])</f>
        <v>0</v>
      </c>
      <c r="AT325">
        <v>71</v>
      </c>
    </row>
    <row r="326" spans="1:46">
      <c r="A326" s="23">
        <v>44976</v>
      </c>
      <c r="B326" s="121">
        <f>IF(YEAR(Table9[[#This Row],[Date]]) = 2022, WEEKNUM(Table9[[#This Row],[Date]])-13, WEEKNUM(Table9[[#This Row],[Date]])+40)</f>
        <v>48</v>
      </c>
      <c r="C326" s="35" t="s">
        <v>47</v>
      </c>
      <c r="D326" s="35" t="s">
        <v>59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18">
        <v>0</v>
      </c>
      <c r="O326" s="18">
        <v>0</v>
      </c>
      <c r="P326" s="18">
        <v>0</v>
      </c>
      <c r="Q326" s="22">
        <v>0</v>
      </c>
      <c r="R326" s="230">
        <v>0</v>
      </c>
      <c r="S326" s="230">
        <v>0</v>
      </c>
      <c r="T326" s="240">
        <v>0</v>
      </c>
      <c r="U326" s="245" t="str">
        <f t="shared" si="22"/>
        <v>Normal</v>
      </c>
      <c r="V326" s="245" t="str">
        <f t="shared" si="23"/>
        <v>Normal</v>
      </c>
      <c r="W326" s="87">
        <f t="shared" si="24"/>
        <v>0</v>
      </c>
      <c r="X326" s="87">
        <f t="shared" si="25"/>
        <v>0</v>
      </c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P326">
        <f>MINUTE(Table9[[#This Row],[AHT]])</f>
        <v>0</v>
      </c>
      <c r="AQ326">
        <f>SECOND(Table9[[#This Row],[AHT]])</f>
        <v>0</v>
      </c>
      <c r="AT326">
        <v>0</v>
      </c>
    </row>
    <row r="327" spans="1:46">
      <c r="A327" s="23">
        <v>44977</v>
      </c>
      <c r="B327" s="121">
        <f>IF(YEAR(Table9[[#This Row],[Date]]) = 2022, WEEKNUM(Table9[[#This Row],[Date]])-13, WEEKNUM(Table9[[#This Row],[Date]])+40)</f>
        <v>48</v>
      </c>
      <c r="C327" s="35" t="s">
        <v>48</v>
      </c>
      <c r="D327" s="35" t="s">
        <v>59</v>
      </c>
      <c r="E327" s="1">
        <v>263</v>
      </c>
      <c r="F327" s="1">
        <v>241</v>
      </c>
      <c r="G327" s="87">
        <f>IFERROR((Table9[[#This Row],[Calls Off]]-E320)/E320,0)</f>
        <v>0.23474178403755869</v>
      </c>
      <c r="H327" s="87">
        <f>IFERROR((Table9[[#This Row],[Calls Ans]]-F320)/F320,0)</f>
        <v>0.18719211822660098</v>
      </c>
      <c r="I327" s="1">
        <f>Table9[[#This Row],[Calls Off]]+I325</f>
        <v>3123</v>
      </c>
      <c r="J327" s="1">
        <f>Table9[[#This Row],[Calls Ans]]+J325</f>
        <v>3002</v>
      </c>
      <c r="K327" s="1">
        <f>K325+Table9[[#This Row],[Calls Off]]</f>
        <v>106433</v>
      </c>
      <c r="L327" s="1">
        <f>L325+Table9[[#This Row],[Calls Ans]]</f>
        <v>95347</v>
      </c>
      <c r="M327" s="18">
        <v>0.56000000000000005</v>
      </c>
      <c r="N327" s="18">
        <v>0.08</v>
      </c>
      <c r="O327" s="18">
        <v>0.92</v>
      </c>
      <c r="P327" s="18">
        <v>0.65</v>
      </c>
      <c r="Q327" s="22">
        <v>1</v>
      </c>
      <c r="R327" s="230">
        <v>72</v>
      </c>
      <c r="S327" s="230">
        <v>0</v>
      </c>
      <c r="T327" s="240">
        <v>3</v>
      </c>
      <c r="U327" s="245" t="str">
        <f t="shared" si="22"/>
        <v>Normal</v>
      </c>
      <c r="V327" s="245" t="str">
        <f t="shared" si="23"/>
        <v>Normal</v>
      </c>
      <c r="W327" s="87">
        <f t="shared" si="24"/>
        <v>0.23474178403755869</v>
      </c>
      <c r="X327" s="87">
        <f t="shared" si="25"/>
        <v>0.18719211822660098</v>
      </c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P327">
        <f>MINUTE(Table9[[#This Row],[AHT]])</f>
        <v>0</v>
      </c>
      <c r="AQ327">
        <f>SECOND(Table9[[#This Row],[AHT]])</f>
        <v>0</v>
      </c>
      <c r="AT327">
        <v>72</v>
      </c>
    </row>
    <row r="328" spans="1:46">
      <c r="A328" s="23">
        <v>44978</v>
      </c>
      <c r="B328" s="121">
        <f>IF(YEAR(Table9[[#This Row],[Date]]) = 2022, WEEKNUM(Table9[[#This Row],[Date]])-13, WEEKNUM(Table9[[#This Row],[Date]])+40)</f>
        <v>48</v>
      </c>
      <c r="C328" s="35" t="s">
        <v>49</v>
      </c>
      <c r="D328" s="35" t="s">
        <v>59</v>
      </c>
      <c r="E328" s="1">
        <v>202</v>
      </c>
      <c r="F328" s="1">
        <v>192</v>
      </c>
      <c r="G328" s="87">
        <f>IFERROR((Table9[[#This Row],[Calls Off]]-E321)/E321,0)</f>
        <v>0.12849162011173185</v>
      </c>
      <c r="H328" s="87">
        <f>IFERROR((Table9[[#This Row],[Calls Ans]]-F321)/F321,0)</f>
        <v>0.10344827586206896</v>
      </c>
      <c r="I328" s="1">
        <f>Table9[[#This Row],[Calls Off]]+I327</f>
        <v>3325</v>
      </c>
      <c r="J328" s="1">
        <f>Table9[[#This Row],[Calls Ans]]+J327</f>
        <v>3194</v>
      </c>
      <c r="K328" s="1">
        <f>K327+Table9[[#This Row],[Calls Off]]</f>
        <v>106635</v>
      </c>
      <c r="L328" s="1">
        <f>L327+Table9[[#This Row],[Calls Ans]]</f>
        <v>95539</v>
      </c>
      <c r="M328" s="18">
        <v>0.76</v>
      </c>
      <c r="N328" s="18">
        <v>0.05</v>
      </c>
      <c r="O328" s="18">
        <v>0.95</v>
      </c>
      <c r="P328" s="18">
        <v>0.81</v>
      </c>
      <c r="Q328" s="22">
        <v>1</v>
      </c>
      <c r="R328" s="230">
        <v>99</v>
      </c>
      <c r="S328" s="230">
        <v>0</v>
      </c>
      <c r="T328" s="240">
        <v>2</v>
      </c>
      <c r="U328" s="245" t="str">
        <f t="shared" si="22"/>
        <v>Normal</v>
      </c>
      <c r="V328" s="245" t="str">
        <f t="shared" si="23"/>
        <v>Normal</v>
      </c>
      <c r="W328" s="87">
        <f t="shared" si="24"/>
        <v>0.12849162011173185</v>
      </c>
      <c r="X328" s="87">
        <f t="shared" si="25"/>
        <v>0.10344827586206896</v>
      </c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P328">
        <f>MINUTE(Table9[[#This Row],[AHT]])</f>
        <v>0</v>
      </c>
      <c r="AQ328">
        <f>SECOND(Table9[[#This Row],[AHT]])</f>
        <v>0</v>
      </c>
      <c r="AT328">
        <v>99</v>
      </c>
    </row>
    <row r="329" spans="1:46">
      <c r="A329" s="23">
        <v>44979</v>
      </c>
      <c r="B329" s="121">
        <f>IF(YEAR(Table9[[#This Row],[Date]]) = 2022, WEEKNUM(Table9[[#This Row],[Date]])-13, WEEKNUM(Table9[[#This Row],[Date]])+40)</f>
        <v>48</v>
      </c>
      <c r="C329" s="35" t="s">
        <v>50</v>
      </c>
      <c r="D329" s="35" t="s">
        <v>59</v>
      </c>
      <c r="E329" s="1">
        <v>293</v>
      </c>
      <c r="F329" s="1">
        <v>269</v>
      </c>
      <c r="G329" s="87">
        <f>IFERROR((Table9[[#This Row],[Calls Off]]-E322)/E322,0)</f>
        <v>0.68390804597701149</v>
      </c>
      <c r="H329" s="87">
        <f>IFERROR((Table9[[#This Row],[Calls Ans]]-F322)/F322,0)</f>
        <v>0.58235294117647063</v>
      </c>
      <c r="I329" s="1">
        <f>Table9[[#This Row],[Calls Off]]+I328</f>
        <v>3618</v>
      </c>
      <c r="J329" s="1">
        <f>Table9[[#This Row],[Calls Ans]]+J328</f>
        <v>3463</v>
      </c>
      <c r="K329" s="1">
        <f>K328+Table9[[#This Row],[Calls Off]]</f>
        <v>106928</v>
      </c>
      <c r="L329" s="1">
        <f>L328+Table9[[#This Row],[Calls Ans]]</f>
        <v>95808</v>
      </c>
      <c r="M329" s="18">
        <v>0.53</v>
      </c>
      <c r="N329" s="18">
        <v>0.08</v>
      </c>
      <c r="O329" s="18">
        <v>0.92</v>
      </c>
      <c r="P329" s="18">
        <v>0.9</v>
      </c>
      <c r="Q329" s="22">
        <v>1</v>
      </c>
      <c r="R329" s="230">
        <v>58</v>
      </c>
      <c r="S329" s="230">
        <v>0</v>
      </c>
      <c r="T329" s="240">
        <v>2</v>
      </c>
      <c r="U329" s="245" t="str">
        <f t="shared" si="22"/>
        <v>Outlier</v>
      </c>
      <c r="V329" s="245" t="str">
        <f t="shared" si="23"/>
        <v>Outlier</v>
      </c>
      <c r="W329" s="87">
        <f t="shared" si="24"/>
        <v>0.68390804597701149</v>
      </c>
      <c r="X329" s="87">
        <f t="shared" si="25"/>
        <v>0.58235294117647063</v>
      </c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P329">
        <f>MINUTE(Table9[[#This Row],[AHT]])</f>
        <v>0</v>
      </c>
      <c r="AQ329">
        <f>SECOND(Table9[[#This Row],[AHT]])</f>
        <v>0</v>
      </c>
      <c r="AT329">
        <v>58</v>
      </c>
    </row>
    <row r="330" spans="1:46">
      <c r="A330" s="23">
        <v>44980</v>
      </c>
      <c r="B330" s="121">
        <f>IF(YEAR(Table9[[#This Row],[Date]]) = 2022, WEEKNUM(Table9[[#This Row],[Date]])-13, WEEKNUM(Table9[[#This Row],[Date]])+40)</f>
        <v>48</v>
      </c>
      <c r="C330" s="35" t="s">
        <v>63</v>
      </c>
      <c r="D330" s="35" t="s">
        <v>59</v>
      </c>
      <c r="E330" s="1">
        <v>0</v>
      </c>
      <c r="F330" s="1">
        <v>0</v>
      </c>
      <c r="G330" s="87">
        <v>0</v>
      </c>
      <c r="H330" s="87">
        <v>0</v>
      </c>
      <c r="I330" s="1">
        <v>0</v>
      </c>
      <c r="J330" s="1">
        <v>0</v>
      </c>
      <c r="K330" s="1">
        <v>0</v>
      </c>
      <c r="L330" s="1">
        <v>0</v>
      </c>
      <c r="M330" s="18">
        <v>0</v>
      </c>
      <c r="N330" s="18">
        <v>0</v>
      </c>
      <c r="O330" s="18">
        <v>0</v>
      </c>
      <c r="P330" s="18">
        <v>0</v>
      </c>
      <c r="Q330" s="22">
        <v>0</v>
      </c>
      <c r="R330" s="230">
        <v>0</v>
      </c>
      <c r="S330" s="230">
        <v>0</v>
      </c>
      <c r="T330" s="240">
        <v>0</v>
      </c>
      <c r="U330" s="245" t="str">
        <f t="shared" si="22"/>
        <v>Normal</v>
      </c>
      <c r="V330" s="245" t="str">
        <f t="shared" si="23"/>
        <v>Normal</v>
      </c>
      <c r="W330" s="87">
        <f t="shared" si="24"/>
        <v>0</v>
      </c>
      <c r="X330" s="87">
        <f t="shared" si="25"/>
        <v>0</v>
      </c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P330">
        <f>MINUTE(Table9[[#This Row],[AHT]])</f>
        <v>0</v>
      </c>
      <c r="AQ330">
        <f>SECOND(Table9[[#This Row],[AHT]])</f>
        <v>0</v>
      </c>
      <c r="AT330">
        <v>0</v>
      </c>
    </row>
    <row r="331" spans="1:46">
      <c r="A331" s="23">
        <v>44981</v>
      </c>
      <c r="B331" s="121">
        <f>IF(YEAR(Table9[[#This Row],[Date]]) = 2022, WEEKNUM(Table9[[#This Row],[Date]])-13, WEEKNUM(Table9[[#This Row],[Date]])+40)</f>
        <v>48</v>
      </c>
      <c r="C331" s="35" t="s">
        <v>52</v>
      </c>
      <c r="D331" s="35" t="s">
        <v>59</v>
      </c>
      <c r="E331" s="1">
        <v>237</v>
      </c>
      <c r="F331" s="1">
        <v>226</v>
      </c>
      <c r="G331" s="87">
        <f>IFERROR((Table9[[#This Row],[Calls Off]]-E324)/E324,0)</f>
        <v>0.49056603773584906</v>
      </c>
      <c r="H331" s="87">
        <f>IFERROR((Table9[[#This Row],[Calls Ans]]-F324)/F324,0)</f>
        <v>0.49668874172185429</v>
      </c>
      <c r="I331" s="1">
        <f>Table9[[#This Row],[Calls Off]]+I329</f>
        <v>3855</v>
      </c>
      <c r="J331" s="1">
        <f>Table9[[#This Row],[Calls Ans]]+J329</f>
        <v>3689</v>
      </c>
      <c r="K331" s="1">
        <f>K329+Table9[[#This Row],[Calls Off]]</f>
        <v>107165</v>
      </c>
      <c r="L331" s="1">
        <f>L329+Table9[[#This Row],[Calls Ans]]</f>
        <v>96034</v>
      </c>
      <c r="M331" s="18">
        <v>0.86</v>
      </c>
      <c r="N331" s="18">
        <v>0.05</v>
      </c>
      <c r="O331" s="18">
        <v>0.95</v>
      </c>
      <c r="P331" s="18">
        <v>0.83</v>
      </c>
      <c r="Q331" s="22">
        <v>1</v>
      </c>
      <c r="R331" s="230">
        <v>80</v>
      </c>
      <c r="S331" s="230">
        <v>0</v>
      </c>
      <c r="T331" s="240">
        <v>3</v>
      </c>
      <c r="U331" s="245" t="str">
        <f t="shared" si="22"/>
        <v>Outlier</v>
      </c>
      <c r="V331" s="245" t="str">
        <f t="shared" si="23"/>
        <v>Outlier</v>
      </c>
      <c r="W331" s="87">
        <f t="shared" si="24"/>
        <v>0.49056603773584906</v>
      </c>
      <c r="X331" s="87">
        <f t="shared" si="25"/>
        <v>0.49668874172185429</v>
      </c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P331">
        <f>MINUTE(Table9[[#This Row],[AHT]])</f>
        <v>0</v>
      </c>
      <c r="AQ331">
        <f>SECOND(Table9[[#This Row],[AHT]])</f>
        <v>0</v>
      </c>
      <c r="AT331">
        <v>80</v>
      </c>
    </row>
    <row r="332" spans="1:46">
      <c r="A332" s="23">
        <v>44982</v>
      </c>
      <c r="B332" s="121">
        <f>IF(YEAR(Table9[[#This Row],[Date]]) = 2022, WEEKNUM(Table9[[#This Row],[Date]])-13, WEEKNUM(Table9[[#This Row],[Date]])+40)</f>
        <v>48</v>
      </c>
      <c r="C332" s="35" t="s">
        <v>53</v>
      </c>
      <c r="D332" s="35" t="s">
        <v>59</v>
      </c>
      <c r="E332" s="1">
        <v>152</v>
      </c>
      <c r="F332" s="1">
        <v>138</v>
      </c>
      <c r="G332" s="87">
        <f>IFERROR((Table9[[#This Row],[Calls Off]]-E325)/E325,0)</f>
        <v>0.12592592592592591</v>
      </c>
      <c r="H332" s="87">
        <f>IFERROR((Table9[[#This Row],[Calls Ans]]-F325)/F325,0)</f>
        <v>8.6614173228346455E-2</v>
      </c>
      <c r="I332" s="1">
        <f>Table9[[#This Row],[Calls Off]]+I331</f>
        <v>4007</v>
      </c>
      <c r="J332" s="1">
        <f>Table9[[#This Row],[Calls Ans]]+J331</f>
        <v>3827</v>
      </c>
      <c r="K332" s="1">
        <f>K331+Table9[[#This Row],[Calls Off]]</f>
        <v>107317</v>
      </c>
      <c r="L332" s="1">
        <f>L331+Table9[[#This Row],[Calls Ans]]</f>
        <v>96172</v>
      </c>
      <c r="M332" s="18">
        <v>0.8</v>
      </c>
      <c r="N332" s="18">
        <v>0.09</v>
      </c>
      <c r="O332" s="18">
        <v>0.91</v>
      </c>
      <c r="P332" s="18">
        <v>0.81</v>
      </c>
      <c r="Q332" s="22">
        <v>1</v>
      </c>
      <c r="R332" s="230">
        <v>89</v>
      </c>
      <c r="S332" s="230">
        <v>0</v>
      </c>
      <c r="T332" s="240">
        <v>2</v>
      </c>
      <c r="U332" s="245" t="str">
        <f t="shared" si="22"/>
        <v>Normal</v>
      </c>
      <c r="V332" s="245" t="str">
        <f t="shared" si="23"/>
        <v>Normal</v>
      </c>
      <c r="W332" s="87">
        <f t="shared" si="24"/>
        <v>0.12592592592592591</v>
      </c>
      <c r="X332" s="87">
        <f t="shared" si="25"/>
        <v>8.6614173228346455E-2</v>
      </c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P332">
        <f>MINUTE(Table9[[#This Row],[AHT]])</f>
        <v>0</v>
      </c>
      <c r="AQ332">
        <f>SECOND(Table9[[#This Row],[AHT]])</f>
        <v>0</v>
      </c>
      <c r="AT332">
        <v>89</v>
      </c>
    </row>
    <row r="333" spans="1:46">
      <c r="A333" s="23">
        <v>44983</v>
      </c>
      <c r="B333" s="121">
        <f>IF(YEAR(Table9[[#This Row],[Date]]) = 2022, WEEKNUM(Table9[[#This Row],[Date]])-13, WEEKNUM(Table9[[#This Row],[Date]])+40)</f>
        <v>49</v>
      </c>
      <c r="C333" s="35" t="s">
        <v>47</v>
      </c>
      <c r="D333" s="35" t="s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18">
        <v>0</v>
      </c>
      <c r="O333" s="18">
        <v>0</v>
      </c>
      <c r="P333" s="18">
        <v>0</v>
      </c>
      <c r="Q333" s="22">
        <v>0</v>
      </c>
      <c r="R333" s="230">
        <v>0</v>
      </c>
      <c r="S333" s="230">
        <v>0</v>
      </c>
      <c r="T333" s="240">
        <v>0</v>
      </c>
      <c r="U333" s="245" t="str">
        <f t="shared" si="22"/>
        <v>Normal</v>
      </c>
      <c r="V333" s="245" t="str">
        <f t="shared" si="23"/>
        <v>Normal</v>
      </c>
      <c r="W333" s="87">
        <f t="shared" si="24"/>
        <v>0</v>
      </c>
      <c r="X333" s="87">
        <f t="shared" si="25"/>
        <v>0</v>
      </c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P333">
        <f>MINUTE(Table9[[#This Row],[AHT]])</f>
        <v>0</v>
      </c>
      <c r="AQ333">
        <f>SECOND(Table9[[#This Row],[AHT]])</f>
        <v>0</v>
      </c>
      <c r="AT333">
        <v>0</v>
      </c>
    </row>
    <row r="334" spans="1:46">
      <c r="A334" s="23">
        <v>44984</v>
      </c>
      <c r="B334" s="121">
        <f>IF(YEAR(Table9[[#This Row],[Date]]) = 2022, WEEKNUM(Table9[[#This Row],[Date]])-13, WEEKNUM(Table9[[#This Row],[Date]])+40)</f>
        <v>49</v>
      </c>
      <c r="C334" s="35" t="s">
        <v>48</v>
      </c>
      <c r="D334" s="35" t="s">
        <v>59</v>
      </c>
      <c r="E334" s="1">
        <v>292</v>
      </c>
      <c r="F334" s="1">
        <v>284</v>
      </c>
      <c r="G334" s="87">
        <f>IFERROR((Table9[[#This Row],[Calls Off]]-E327)/E327,0)</f>
        <v>0.11026615969581749</v>
      </c>
      <c r="H334" s="87">
        <f>IFERROR((Table9[[#This Row],[Calls Ans]]-F327)/F327,0)</f>
        <v>0.17842323651452283</v>
      </c>
      <c r="I334" s="1">
        <f>Table9[[#This Row],[Calls Off]]+I332</f>
        <v>4299</v>
      </c>
      <c r="J334" s="1">
        <f>Table9[[#This Row],[Calls Ans]]+J332</f>
        <v>4111</v>
      </c>
      <c r="K334" s="1">
        <f>K332+Table9[[#This Row],[Calls Off]]</f>
        <v>107609</v>
      </c>
      <c r="L334" s="1">
        <f>L332+Table9[[#This Row],[Calls Ans]]</f>
        <v>96456</v>
      </c>
      <c r="M334" s="18">
        <v>0.84</v>
      </c>
      <c r="N334" s="18">
        <v>0.03</v>
      </c>
      <c r="O334" s="18">
        <v>0.97</v>
      </c>
      <c r="P334" s="18">
        <v>0.75</v>
      </c>
      <c r="Q334" s="22">
        <v>1</v>
      </c>
      <c r="R334" s="230">
        <v>74</v>
      </c>
      <c r="S334" s="230">
        <v>0</v>
      </c>
      <c r="T334" s="240">
        <v>3</v>
      </c>
      <c r="U334" s="245" t="str">
        <f t="shared" si="22"/>
        <v>Normal</v>
      </c>
      <c r="V334" s="245" t="str">
        <f t="shared" si="23"/>
        <v>Normal</v>
      </c>
      <c r="W334" s="87">
        <f t="shared" si="24"/>
        <v>0.11026615969581749</v>
      </c>
      <c r="X334" s="87">
        <f t="shared" si="25"/>
        <v>0.17842323651452283</v>
      </c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P334">
        <f>MINUTE(Table9[[#This Row],[AHT]])</f>
        <v>0</v>
      </c>
      <c r="AQ334">
        <f>SECOND(Table9[[#This Row],[AHT]])</f>
        <v>0</v>
      </c>
      <c r="AT334">
        <v>74</v>
      </c>
    </row>
    <row r="335" spans="1:46" s="50" customFormat="1">
      <c r="A335" s="104">
        <v>44985</v>
      </c>
      <c r="B335" s="304">
        <f>IF(YEAR(Table9[[#This Row],[Date]]) = 2022, WEEKNUM(Table9[[#This Row],[Date]])-13, WEEKNUM(Table9[[#This Row],[Date]])+40)</f>
        <v>49</v>
      </c>
      <c r="C335" s="51" t="s">
        <v>49</v>
      </c>
      <c r="D335" s="51" t="s">
        <v>59</v>
      </c>
      <c r="E335" s="52">
        <v>261</v>
      </c>
      <c r="F335" s="52">
        <v>251</v>
      </c>
      <c r="G335" s="143">
        <f>IFERROR((Table9[[#This Row],[Calls Off]]-E328)/E328,0)</f>
        <v>0.29207920792079206</v>
      </c>
      <c r="H335" s="143">
        <f>IFERROR((Table9[[#This Row],[Calls Ans]]-F328)/F328,0)</f>
        <v>0.30729166666666669</v>
      </c>
      <c r="I335" s="52">
        <f>Table9[[#This Row],[Calls Off]]+I334</f>
        <v>4560</v>
      </c>
      <c r="J335" s="52">
        <f>Table9[[#This Row],[Calls Ans]]+J334</f>
        <v>4362</v>
      </c>
      <c r="K335" s="52">
        <f>K334+Table9[[#This Row],[Calls Off]]</f>
        <v>107870</v>
      </c>
      <c r="L335" s="52">
        <f>L334+Table9[[#This Row],[Calls Ans]]</f>
        <v>96707</v>
      </c>
      <c r="M335" s="53">
        <v>0.84</v>
      </c>
      <c r="N335" s="53">
        <v>0.04</v>
      </c>
      <c r="O335" s="53">
        <v>0.96</v>
      </c>
      <c r="P335" s="53">
        <v>0.69</v>
      </c>
      <c r="Q335" s="105">
        <v>1</v>
      </c>
      <c r="R335" s="233">
        <v>116</v>
      </c>
      <c r="S335" s="233">
        <v>0</v>
      </c>
      <c r="T335" s="242">
        <v>3</v>
      </c>
      <c r="U335" s="245" t="str">
        <f t="shared" si="22"/>
        <v>Normal</v>
      </c>
      <c r="V335" s="245" t="str">
        <f t="shared" si="23"/>
        <v>Normal</v>
      </c>
      <c r="W335" s="87">
        <f t="shared" si="24"/>
        <v>0.29207920792079206</v>
      </c>
      <c r="X335" s="87">
        <f t="shared" si="25"/>
        <v>0.30729166666666669</v>
      </c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7"/>
      <c r="AK335"/>
      <c r="AL335"/>
      <c r="AM335"/>
      <c r="AP335">
        <f>MINUTE(Table9[[#This Row],[AHT]])</f>
        <v>0</v>
      </c>
      <c r="AQ335">
        <f>SECOND(Table9[[#This Row],[AHT]])</f>
        <v>0</v>
      </c>
      <c r="AT335">
        <v>116</v>
      </c>
    </row>
    <row r="336" spans="1:46">
      <c r="A336" s="23">
        <v>44986</v>
      </c>
      <c r="B336" s="121">
        <f>IF(YEAR(Table9[[#This Row],[Date]]) = 2022, WEEKNUM(Table9[[#This Row],[Date]])-13, WEEKNUM(Table9[[#This Row],[Date]])+40)</f>
        <v>49</v>
      </c>
      <c r="C336" s="35" t="s">
        <v>50</v>
      </c>
      <c r="D336" s="35" t="s">
        <v>59</v>
      </c>
      <c r="E336" s="1">
        <v>213</v>
      </c>
      <c r="F336" s="1">
        <v>210</v>
      </c>
      <c r="G336" s="87">
        <f>IFERROR((Table9[[#This Row],[Calls Off]]-E329)/E329,0)</f>
        <v>-0.27303754266211605</v>
      </c>
      <c r="H336" s="87">
        <f>IFERROR((Table9[[#This Row],[Calls Ans]]-F329)/F329,0)</f>
        <v>-0.21933085501858737</v>
      </c>
      <c r="I336" s="1">
        <f>Table9[[#This Row],[Calls Off]]</f>
        <v>213</v>
      </c>
      <c r="J336" s="1">
        <f>Table9[[#This Row],[Calls Ans]]</f>
        <v>210</v>
      </c>
      <c r="K336" s="1">
        <f>K335+Table9[[#This Row],[Calls Off]]</f>
        <v>108083</v>
      </c>
      <c r="L336" s="1">
        <f>L335+Table9[[#This Row],[Calls Ans]]</f>
        <v>96917</v>
      </c>
      <c r="M336" s="18">
        <v>0.96</v>
      </c>
      <c r="N336" s="18">
        <v>0.01</v>
      </c>
      <c r="O336" s="18">
        <v>0.99</v>
      </c>
      <c r="P336" s="18">
        <v>0.66</v>
      </c>
      <c r="Q336" s="22">
        <v>1</v>
      </c>
      <c r="R336" s="230">
        <v>90</v>
      </c>
      <c r="S336" s="230">
        <v>0</v>
      </c>
      <c r="T336" s="240">
        <v>4</v>
      </c>
      <c r="U336" s="245" t="str">
        <f t="shared" si="22"/>
        <v>Normal</v>
      </c>
      <c r="V336" s="245" t="str">
        <f t="shared" si="23"/>
        <v>Normal</v>
      </c>
      <c r="W336" s="87">
        <f t="shared" si="24"/>
        <v>-0.27303754266211605</v>
      </c>
      <c r="X336" s="87">
        <f t="shared" si="25"/>
        <v>-0.21933085501858737</v>
      </c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P336">
        <f>MINUTE(Table9[[#This Row],[AHT]])</f>
        <v>0</v>
      </c>
      <c r="AQ336">
        <f>SECOND(Table9[[#This Row],[AHT]])</f>
        <v>0</v>
      </c>
      <c r="AT336">
        <v>90</v>
      </c>
    </row>
    <row r="337" spans="1:46">
      <c r="A337" s="23">
        <v>44987</v>
      </c>
      <c r="B337" s="121">
        <f>IF(YEAR(Table9[[#This Row],[Date]]) = 2022, WEEKNUM(Table9[[#This Row],[Date]])-13, WEEKNUM(Table9[[#This Row],[Date]])+40)</f>
        <v>49</v>
      </c>
      <c r="C337" s="35" t="s">
        <v>51</v>
      </c>
      <c r="D337" s="35" t="s">
        <v>59</v>
      </c>
      <c r="E337" s="1">
        <v>232</v>
      </c>
      <c r="F337" s="1">
        <v>221</v>
      </c>
      <c r="G337" s="87">
        <f>IFERROR((Table9[[#This Row],[Calls Off]]-E330)/E330,0)</f>
        <v>0</v>
      </c>
      <c r="H337" s="87">
        <f>IFERROR((Table9[[#This Row],[Calls Ans]]-F330)/F330,0)</f>
        <v>0</v>
      </c>
      <c r="I337" s="1">
        <f>Table9[[#This Row],[Calls Off]]+I336</f>
        <v>445</v>
      </c>
      <c r="J337" s="1">
        <f>Table9[[#This Row],[Calls Ans]]+J336</f>
        <v>431</v>
      </c>
      <c r="K337" s="1">
        <f>K336+Table9[[#This Row],[Calls Off]]</f>
        <v>108315</v>
      </c>
      <c r="L337" s="1">
        <f>L336+Table9[[#This Row],[Calls Ans]]</f>
        <v>97138</v>
      </c>
      <c r="M337" s="18">
        <v>0.86</v>
      </c>
      <c r="N337" s="18">
        <v>0.05</v>
      </c>
      <c r="O337" s="18">
        <v>0.95</v>
      </c>
      <c r="P337" s="18">
        <v>0.7</v>
      </c>
      <c r="Q337" s="22">
        <v>1</v>
      </c>
      <c r="R337" s="230">
        <v>94</v>
      </c>
      <c r="S337" s="230">
        <v>0</v>
      </c>
      <c r="T337" s="240">
        <v>3</v>
      </c>
      <c r="U337" s="245" t="str">
        <f t="shared" si="22"/>
        <v>Normal</v>
      </c>
      <c r="V337" s="245" t="str">
        <f t="shared" si="23"/>
        <v>Normal</v>
      </c>
      <c r="W337" s="87">
        <f t="shared" si="24"/>
        <v>0</v>
      </c>
      <c r="X337" s="87">
        <f t="shared" si="25"/>
        <v>0</v>
      </c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P337">
        <f>MINUTE(Table9[[#This Row],[AHT]])</f>
        <v>0</v>
      </c>
      <c r="AQ337">
        <f>SECOND(Table9[[#This Row],[AHT]])</f>
        <v>0</v>
      </c>
      <c r="AT337">
        <v>94</v>
      </c>
    </row>
    <row r="338" spans="1:46">
      <c r="A338" s="23">
        <v>44988</v>
      </c>
      <c r="B338" s="121">
        <f>IF(YEAR(Table9[[#This Row],[Date]]) = 2022, WEEKNUM(Table9[[#This Row],[Date]])-13, WEEKNUM(Table9[[#This Row],[Date]])+40)</f>
        <v>49</v>
      </c>
      <c r="C338" s="35" t="s">
        <v>52</v>
      </c>
      <c r="D338" s="35" t="s">
        <v>59</v>
      </c>
      <c r="E338" s="1">
        <v>208</v>
      </c>
      <c r="F338" s="1">
        <v>204</v>
      </c>
      <c r="G338" s="87">
        <f>IFERROR((Table9[[#This Row],[Calls Off]]-E331)/E331,0)</f>
        <v>-0.12236286919831224</v>
      </c>
      <c r="H338" s="87">
        <f>IFERROR((Table9[[#This Row],[Calls Ans]]-F331)/F331,0)</f>
        <v>-9.7345132743362831E-2</v>
      </c>
      <c r="I338" s="1">
        <f>Table9[[#This Row],[Calls Off]]+I337</f>
        <v>653</v>
      </c>
      <c r="J338" s="1">
        <f>Table9[[#This Row],[Calls Ans]]+J337</f>
        <v>635</v>
      </c>
      <c r="K338" s="1">
        <f>K337+Table9[[#This Row],[Calls Off]]</f>
        <v>108523</v>
      </c>
      <c r="L338" s="1">
        <f>L337+Table9[[#This Row],[Calls Ans]]</f>
        <v>97342</v>
      </c>
      <c r="M338" s="18">
        <v>0.95</v>
      </c>
      <c r="N338" s="18">
        <v>0.02</v>
      </c>
      <c r="O338" s="18">
        <v>0.98</v>
      </c>
      <c r="P338" s="18">
        <v>0.68</v>
      </c>
      <c r="Q338" s="22">
        <v>1</v>
      </c>
      <c r="R338" s="230">
        <v>88</v>
      </c>
      <c r="S338" s="230">
        <v>0</v>
      </c>
      <c r="T338" s="240">
        <v>4</v>
      </c>
      <c r="U338" s="245" t="str">
        <f t="shared" si="22"/>
        <v>Normal</v>
      </c>
      <c r="V338" s="245" t="str">
        <f t="shared" si="23"/>
        <v>Normal</v>
      </c>
      <c r="W338" s="87">
        <f t="shared" si="24"/>
        <v>-0.12236286919831224</v>
      </c>
      <c r="X338" s="87">
        <f t="shared" si="25"/>
        <v>-9.7345132743362831E-2</v>
      </c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P338">
        <f>MINUTE(Table9[[#This Row],[AHT]])</f>
        <v>0</v>
      </c>
      <c r="AQ338">
        <f>SECOND(Table9[[#This Row],[AHT]])</f>
        <v>0</v>
      </c>
      <c r="AT338">
        <v>88</v>
      </c>
    </row>
    <row r="339" spans="1:46">
      <c r="A339" s="23">
        <v>44989</v>
      </c>
      <c r="B339" s="121">
        <f>IF(YEAR(Table9[[#This Row],[Date]]) = 2022, WEEKNUM(Table9[[#This Row],[Date]])-13, WEEKNUM(Table9[[#This Row],[Date]])+40)</f>
        <v>49</v>
      </c>
      <c r="C339" s="35" t="s">
        <v>53</v>
      </c>
      <c r="D339" s="35" t="s">
        <v>59</v>
      </c>
      <c r="E339" s="1">
        <v>140</v>
      </c>
      <c r="F339" s="1">
        <v>133</v>
      </c>
      <c r="G339" s="87">
        <f>IFERROR((Table9[[#This Row],[Calls Off]]-E332)/E332,0)</f>
        <v>-7.8947368421052627E-2</v>
      </c>
      <c r="H339" s="87">
        <f>IFERROR((Table9[[#This Row],[Calls Ans]]-F332)/F332,0)</f>
        <v>-3.6231884057971016E-2</v>
      </c>
      <c r="I339" s="1">
        <f>Table9[[#This Row],[Calls Off]]+I338</f>
        <v>793</v>
      </c>
      <c r="J339" s="1">
        <f>Table9[[#This Row],[Calls Ans]]+J338</f>
        <v>768</v>
      </c>
      <c r="K339" s="1">
        <f>K338+Table9[[#This Row],[Calls Off]]</f>
        <v>108663</v>
      </c>
      <c r="L339" s="1">
        <f>L338+Table9[[#This Row],[Calls Ans]]</f>
        <v>97475</v>
      </c>
      <c r="M339" s="18">
        <v>0.83</v>
      </c>
      <c r="N339" s="18">
        <v>0.05</v>
      </c>
      <c r="O339" s="18">
        <v>0.95</v>
      </c>
      <c r="P339" s="18">
        <v>0.62</v>
      </c>
      <c r="Q339" s="22">
        <v>1</v>
      </c>
      <c r="R339" s="230">
        <v>80</v>
      </c>
      <c r="S339" s="230">
        <v>0</v>
      </c>
      <c r="T339" s="240">
        <v>2</v>
      </c>
      <c r="U339" s="245" t="str">
        <f t="shared" si="22"/>
        <v>Normal</v>
      </c>
      <c r="V339" s="245" t="str">
        <f t="shared" si="23"/>
        <v>Normal</v>
      </c>
      <c r="W339" s="87">
        <f t="shared" si="24"/>
        <v>-7.8947368421052627E-2</v>
      </c>
      <c r="X339" s="87">
        <f t="shared" si="25"/>
        <v>-3.6231884057971016E-2</v>
      </c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K339" s="50"/>
      <c r="AL339" s="50"/>
      <c r="AM339" s="50"/>
      <c r="AP339">
        <f>MINUTE(Table9[[#This Row],[AHT]])</f>
        <v>0</v>
      </c>
      <c r="AQ339">
        <f>SECOND(Table9[[#This Row],[AHT]])</f>
        <v>0</v>
      </c>
      <c r="AT339">
        <v>80</v>
      </c>
    </row>
    <row r="340" spans="1:46">
      <c r="A340" s="23">
        <v>44990</v>
      </c>
      <c r="B340" s="121">
        <f>IF(YEAR(Table9[[#This Row],[Date]]) = 2022, WEEKNUM(Table9[[#This Row],[Date]])-13, WEEKNUM(Table9[[#This Row],[Date]])+40)</f>
        <v>50</v>
      </c>
      <c r="C340" s="35" t="s">
        <v>47</v>
      </c>
      <c r="D340" s="35" t="s">
        <v>59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18">
        <v>0</v>
      </c>
      <c r="O340" s="18">
        <v>0</v>
      </c>
      <c r="P340" s="18">
        <v>0</v>
      </c>
      <c r="Q340" s="22">
        <v>0</v>
      </c>
      <c r="R340" s="230">
        <v>0</v>
      </c>
      <c r="S340" s="230">
        <v>0</v>
      </c>
      <c r="T340" s="240">
        <v>0</v>
      </c>
      <c r="U340" s="245" t="str">
        <f t="shared" si="22"/>
        <v>Normal</v>
      </c>
      <c r="V340" s="245" t="str">
        <f t="shared" si="23"/>
        <v>Normal</v>
      </c>
      <c r="W340" s="87">
        <f t="shared" si="24"/>
        <v>0</v>
      </c>
      <c r="X340" s="87">
        <f t="shared" si="25"/>
        <v>0</v>
      </c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P340">
        <f>MINUTE(Table9[[#This Row],[AHT]])</f>
        <v>0</v>
      </c>
      <c r="AQ340">
        <f>SECOND(Table9[[#This Row],[AHT]])</f>
        <v>0</v>
      </c>
      <c r="AT340">
        <v>0</v>
      </c>
    </row>
    <row r="341" spans="1:46">
      <c r="A341" s="23">
        <v>44991</v>
      </c>
      <c r="B341" s="121">
        <f>IF(YEAR(Table9[[#This Row],[Date]]) = 2022, WEEKNUM(Table9[[#This Row],[Date]])-13, WEEKNUM(Table9[[#This Row],[Date]])+40)</f>
        <v>50</v>
      </c>
      <c r="C341" s="35" t="s">
        <v>48</v>
      </c>
      <c r="D341" s="35" t="s">
        <v>59</v>
      </c>
      <c r="E341" s="1">
        <v>249</v>
      </c>
      <c r="F341" s="1">
        <v>243</v>
      </c>
      <c r="G341" s="87">
        <f>IFERROR((Table9[[#This Row],[Calls Off]]-E334)/E334,0)</f>
        <v>-0.14726027397260275</v>
      </c>
      <c r="H341" s="87">
        <f>IFERROR((Table9[[#This Row],[Calls Ans]]-F334)/F334,0)</f>
        <v>-0.14436619718309859</v>
      </c>
      <c r="I341" s="1">
        <f>Table9[[#This Row],[Calls Off]]+I339</f>
        <v>1042</v>
      </c>
      <c r="J341" s="1">
        <f>Table9[[#This Row],[Calls Ans]]+J339</f>
        <v>1011</v>
      </c>
      <c r="K341" s="1">
        <f>K339+Table9[[#This Row],[Calls Off]]</f>
        <v>108912</v>
      </c>
      <c r="L341" s="1">
        <f>L339+Table9[[#This Row],[Calls Ans]]</f>
        <v>97718</v>
      </c>
      <c r="M341" s="18">
        <v>0.92</v>
      </c>
      <c r="N341" s="18">
        <v>0.02</v>
      </c>
      <c r="O341" s="18">
        <v>0.98</v>
      </c>
      <c r="P341" s="18">
        <v>0.75</v>
      </c>
      <c r="Q341" s="22">
        <v>1</v>
      </c>
      <c r="R341" s="230">
        <v>99</v>
      </c>
      <c r="S341" s="230">
        <v>0</v>
      </c>
      <c r="T341" s="240">
        <v>4</v>
      </c>
      <c r="U341" s="245" t="str">
        <f t="shared" si="22"/>
        <v>Normal</v>
      </c>
      <c r="V341" s="245" t="str">
        <f t="shared" si="23"/>
        <v>Normal</v>
      </c>
      <c r="W341" s="87">
        <f t="shared" si="24"/>
        <v>-0.14726027397260275</v>
      </c>
      <c r="X341" s="87">
        <f t="shared" si="25"/>
        <v>-0.14436619718309859</v>
      </c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P341">
        <f>MINUTE(Table9[[#This Row],[AHT]])</f>
        <v>0</v>
      </c>
      <c r="AQ341">
        <f>SECOND(Table9[[#This Row],[AHT]])</f>
        <v>0</v>
      </c>
      <c r="AT341">
        <v>99</v>
      </c>
    </row>
    <row r="342" spans="1:46">
      <c r="A342" s="23">
        <v>44992</v>
      </c>
      <c r="B342" s="121">
        <f>IF(YEAR(Table9[[#This Row],[Date]]) = 2022, WEEKNUM(Table9[[#This Row],[Date]])-13, WEEKNUM(Table9[[#This Row],[Date]])+40)</f>
        <v>50</v>
      </c>
      <c r="C342" s="35" t="s">
        <v>63</v>
      </c>
      <c r="D342" s="35" t="s">
        <v>59</v>
      </c>
      <c r="E342" s="1">
        <v>0</v>
      </c>
      <c r="F342" s="1">
        <v>0</v>
      </c>
      <c r="G342" s="87">
        <v>0</v>
      </c>
      <c r="H342" s="87">
        <v>0</v>
      </c>
      <c r="I342" s="1">
        <v>0</v>
      </c>
      <c r="J342" s="1">
        <v>0</v>
      </c>
      <c r="K342" s="1">
        <v>0</v>
      </c>
      <c r="L342" s="1">
        <v>0</v>
      </c>
      <c r="M342" s="18">
        <v>0</v>
      </c>
      <c r="N342" s="18">
        <v>0</v>
      </c>
      <c r="O342" s="18">
        <v>0</v>
      </c>
      <c r="P342" s="18">
        <v>0</v>
      </c>
      <c r="Q342" s="22">
        <v>0</v>
      </c>
      <c r="R342" s="230">
        <v>0</v>
      </c>
      <c r="S342" s="230">
        <v>0</v>
      </c>
      <c r="T342" s="240">
        <v>0</v>
      </c>
      <c r="U342" s="245" t="str">
        <f t="shared" si="22"/>
        <v>Normal</v>
      </c>
      <c r="V342" s="245" t="str">
        <f t="shared" si="23"/>
        <v>Normal</v>
      </c>
      <c r="W342" s="87">
        <f t="shared" si="24"/>
        <v>0</v>
      </c>
      <c r="X342" s="87">
        <f t="shared" si="25"/>
        <v>0</v>
      </c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P342">
        <f>MINUTE(Table9[[#This Row],[AHT]])</f>
        <v>0</v>
      </c>
      <c r="AQ342">
        <f>SECOND(Table9[[#This Row],[AHT]])</f>
        <v>0</v>
      </c>
      <c r="AT342">
        <v>0</v>
      </c>
    </row>
    <row r="343" spans="1:46">
      <c r="A343" s="23">
        <v>44993</v>
      </c>
      <c r="B343" s="121">
        <f>IF(YEAR(Table9[[#This Row],[Date]]) = 2022, WEEKNUM(Table9[[#This Row],[Date]])-13, WEEKNUM(Table9[[#This Row],[Date]])+40)</f>
        <v>50</v>
      </c>
      <c r="C343" s="35" t="s">
        <v>50</v>
      </c>
      <c r="D343" s="35" t="s">
        <v>59</v>
      </c>
      <c r="E343" s="1">
        <v>241</v>
      </c>
      <c r="F343" s="1">
        <v>229</v>
      </c>
      <c r="G343" s="87">
        <f>IFERROR((Table9[[#This Row],[Calls Off]]-E336)/E336,0)</f>
        <v>0.13145539906103287</v>
      </c>
      <c r="H343" s="87">
        <f>IFERROR((Table9[[#This Row],[Calls Ans]]-F336)/F336,0)</f>
        <v>9.0476190476190474E-2</v>
      </c>
      <c r="I343" s="1">
        <f>Table9[[#This Row],[Calls Off]]+I341</f>
        <v>1283</v>
      </c>
      <c r="J343" s="1">
        <f>Table9[[#This Row],[Calls Ans]]+J341</f>
        <v>1240</v>
      </c>
      <c r="K343" s="1">
        <f>K341+Table9[[#This Row],[Calls Off]]</f>
        <v>109153</v>
      </c>
      <c r="L343" s="1">
        <f>L341+Table9[[#This Row],[Calls Ans]]</f>
        <v>97947</v>
      </c>
      <c r="M343" s="18">
        <v>0.88</v>
      </c>
      <c r="N343" s="18">
        <v>0.05</v>
      </c>
      <c r="O343" s="18">
        <v>0.95</v>
      </c>
      <c r="P343" s="18">
        <v>0.67</v>
      </c>
      <c r="Q343" s="22">
        <v>1</v>
      </c>
      <c r="R343" s="230">
        <v>75</v>
      </c>
      <c r="S343" s="230">
        <v>0</v>
      </c>
      <c r="T343" s="240">
        <v>3</v>
      </c>
      <c r="U343" s="245" t="str">
        <f t="shared" si="22"/>
        <v>Normal</v>
      </c>
      <c r="V343" s="245" t="str">
        <f t="shared" si="23"/>
        <v>Normal</v>
      </c>
      <c r="W343" s="87">
        <f t="shared" si="24"/>
        <v>0.13145539906103287</v>
      </c>
      <c r="X343" s="87">
        <f t="shared" si="25"/>
        <v>9.0476190476190474E-2</v>
      </c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P343">
        <f>MINUTE(Table9[[#This Row],[AHT]])</f>
        <v>0</v>
      </c>
      <c r="AQ343">
        <f>SECOND(Table9[[#This Row],[AHT]])</f>
        <v>0</v>
      </c>
      <c r="AT343">
        <v>75</v>
      </c>
    </row>
    <row r="344" spans="1:46">
      <c r="A344" s="23">
        <v>44994</v>
      </c>
      <c r="B344" s="121">
        <f>IF(YEAR(Table9[[#This Row],[Date]]) = 2022, WEEKNUM(Table9[[#This Row],[Date]])-13, WEEKNUM(Table9[[#This Row],[Date]])+40)</f>
        <v>50</v>
      </c>
      <c r="C344" s="35" t="s">
        <v>51</v>
      </c>
      <c r="D344" s="35" t="s">
        <v>59</v>
      </c>
      <c r="E344" s="1">
        <v>255</v>
      </c>
      <c r="F344" s="1">
        <v>251</v>
      </c>
      <c r="G344" s="87">
        <f>IFERROR((Table9[[#This Row],[Calls Off]]-E337)/E337,0)</f>
        <v>9.9137931034482762E-2</v>
      </c>
      <c r="H344" s="87">
        <f>IFERROR((Table9[[#This Row],[Calls Ans]]-F337)/F337,0)</f>
        <v>0.13574660633484162</v>
      </c>
      <c r="I344" s="1">
        <f>Table9[[#This Row],[Calls Off]]+I343</f>
        <v>1538</v>
      </c>
      <c r="J344" s="1">
        <f>Table9[[#This Row],[Calls Ans]]+J343</f>
        <v>1491</v>
      </c>
      <c r="K344" s="1">
        <f>K343+Table9[[#This Row],[Calls Off]]</f>
        <v>109408</v>
      </c>
      <c r="L344" s="1">
        <f>L343+Table9[[#This Row],[Calls Ans]]</f>
        <v>98198</v>
      </c>
      <c r="M344" s="18">
        <v>0.88</v>
      </c>
      <c r="N344" s="18">
        <v>0.02</v>
      </c>
      <c r="O344" s="18">
        <v>0.98</v>
      </c>
      <c r="P344" s="18">
        <v>0.67</v>
      </c>
      <c r="Q344" s="22">
        <v>0.99</v>
      </c>
      <c r="R344" s="230">
        <v>84</v>
      </c>
      <c r="S344" s="230">
        <v>0</v>
      </c>
      <c r="T344" s="240">
        <v>3</v>
      </c>
      <c r="U344" s="245" t="str">
        <f t="shared" si="22"/>
        <v>Normal</v>
      </c>
      <c r="V344" s="245" t="str">
        <f t="shared" si="23"/>
        <v>Normal</v>
      </c>
      <c r="W344" s="87">
        <f t="shared" si="24"/>
        <v>9.9137931034482762E-2</v>
      </c>
      <c r="X344" s="87">
        <f t="shared" si="25"/>
        <v>0.13574660633484162</v>
      </c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P344">
        <f>MINUTE(Table9[[#This Row],[AHT]])</f>
        <v>0</v>
      </c>
      <c r="AQ344">
        <f>SECOND(Table9[[#This Row],[AHT]])</f>
        <v>0</v>
      </c>
      <c r="AT344">
        <v>84</v>
      </c>
    </row>
    <row r="345" spans="1:46">
      <c r="A345" s="23">
        <v>44995</v>
      </c>
      <c r="B345" s="121">
        <f>IF(YEAR(Table9[[#This Row],[Date]]) = 2022, WEEKNUM(Table9[[#This Row],[Date]])-13, WEEKNUM(Table9[[#This Row],[Date]])+40)</f>
        <v>50</v>
      </c>
      <c r="C345" s="35" t="s">
        <v>52</v>
      </c>
      <c r="D345" s="35" t="s">
        <v>59</v>
      </c>
      <c r="E345" s="1">
        <v>189</v>
      </c>
      <c r="F345" s="1">
        <v>181</v>
      </c>
      <c r="G345" s="87">
        <f>IFERROR((Table9[[#This Row],[Calls Off]]-E338)/E338,0)</f>
        <v>-9.1346153846153841E-2</v>
      </c>
      <c r="H345" s="87">
        <f>IFERROR((Table9[[#This Row],[Calls Ans]]-F338)/F338,0)</f>
        <v>-0.11274509803921569</v>
      </c>
      <c r="I345" s="1">
        <f>Table9[[#This Row],[Calls Off]]+I344</f>
        <v>1727</v>
      </c>
      <c r="J345" s="1">
        <f>Table9[[#This Row],[Calls Ans]]+J344</f>
        <v>1672</v>
      </c>
      <c r="K345" s="1">
        <f>K344+Table9[[#This Row],[Calls Off]]</f>
        <v>109597</v>
      </c>
      <c r="L345" s="1">
        <f>L344+Table9[[#This Row],[Calls Ans]]</f>
        <v>98379</v>
      </c>
      <c r="M345" s="18">
        <v>0.9</v>
      </c>
      <c r="N345" s="18">
        <v>0.04</v>
      </c>
      <c r="O345" s="18">
        <v>0.96</v>
      </c>
      <c r="P345" s="18">
        <v>0.75</v>
      </c>
      <c r="Q345" s="22">
        <v>1</v>
      </c>
      <c r="R345" s="230">
        <v>113</v>
      </c>
      <c r="S345" s="230">
        <v>0</v>
      </c>
      <c r="T345" s="240">
        <v>3</v>
      </c>
      <c r="U345" s="245" t="str">
        <f t="shared" si="22"/>
        <v>Normal</v>
      </c>
      <c r="V345" s="245" t="str">
        <f t="shared" si="23"/>
        <v>Normal</v>
      </c>
      <c r="W345" s="87">
        <f t="shared" si="24"/>
        <v>-9.1346153846153841E-2</v>
      </c>
      <c r="X345" s="87">
        <f t="shared" si="25"/>
        <v>-0.11274509803921569</v>
      </c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P345">
        <f>MINUTE(Table9[[#This Row],[AHT]])</f>
        <v>0</v>
      </c>
      <c r="AQ345">
        <f>SECOND(Table9[[#This Row],[AHT]])</f>
        <v>0</v>
      </c>
      <c r="AT345">
        <v>113</v>
      </c>
    </row>
    <row r="346" spans="1:46">
      <c r="A346" s="23">
        <v>44996</v>
      </c>
      <c r="B346" s="121">
        <f>IF(YEAR(Table9[[#This Row],[Date]]) = 2022, WEEKNUM(Table9[[#This Row],[Date]])-13, WEEKNUM(Table9[[#This Row],[Date]])+40)</f>
        <v>50</v>
      </c>
      <c r="C346" s="35" t="s">
        <v>53</v>
      </c>
      <c r="D346" s="35" t="s">
        <v>59</v>
      </c>
      <c r="E346" s="1">
        <v>193</v>
      </c>
      <c r="F346" s="1">
        <v>192</v>
      </c>
      <c r="G346" s="87">
        <f>IFERROR((Table9[[#This Row],[Calls Off]]-E339)/E339,0)</f>
        <v>0.37857142857142856</v>
      </c>
      <c r="H346" s="87">
        <f>IFERROR((Table9[[#This Row],[Calls Ans]]-F339)/F339,0)</f>
        <v>0.44360902255639095</v>
      </c>
      <c r="I346" s="1">
        <f>Table9[[#This Row],[Calls Off]]+I345</f>
        <v>1920</v>
      </c>
      <c r="J346" s="1">
        <f>Table9[[#This Row],[Calls Ans]]+J345</f>
        <v>1864</v>
      </c>
      <c r="K346" s="1">
        <f>K345+Table9[[#This Row],[Calls Off]]</f>
        <v>109790</v>
      </c>
      <c r="L346" s="1">
        <f>L345+Table9[[#This Row],[Calls Ans]]</f>
        <v>98571</v>
      </c>
      <c r="M346" s="18">
        <v>0.95</v>
      </c>
      <c r="N346" s="18">
        <v>0.01</v>
      </c>
      <c r="O346" s="18">
        <v>0.99</v>
      </c>
      <c r="P346" s="18">
        <v>0.68</v>
      </c>
      <c r="Q346" s="22">
        <v>1</v>
      </c>
      <c r="R346" s="230">
        <v>91</v>
      </c>
      <c r="S346" s="230">
        <v>0</v>
      </c>
      <c r="T346" s="240">
        <v>3</v>
      </c>
      <c r="U346" s="245" t="str">
        <f t="shared" si="22"/>
        <v>Normal</v>
      </c>
      <c r="V346" s="245" t="str">
        <f t="shared" si="23"/>
        <v>Normal</v>
      </c>
      <c r="W346" s="87">
        <f t="shared" si="24"/>
        <v>0.37857142857142856</v>
      </c>
      <c r="X346" s="87">
        <f t="shared" si="25"/>
        <v>0.44360902255639095</v>
      </c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P346">
        <f>MINUTE(Table9[[#This Row],[AHT]])</f>
        <v>0</v>
      </c>
      <c r="AQ346">
        <f>SECOND(Table9[[#This Row],[AHT]])</f>
        <v>0</v>
      </c>
      <c r="AT346">
        <v>91</v>
      </c>
    </row>
    <row r="347" spans="1:46">
      <c r="A347" s="23">
        <v>44997</v>
      </c>
      <c r="B347" s="121">
        <f>IF(YEAR(Table9[[#This Row],[Date]]) = 2022, WEEKNUM(Table9[[#This Row],[Date]])-13, WEEKNUM(Table9[[#This Row],[Date]])+40)</f>
        <v>51</v>
      </c>
      <c r="C347" s="35" t="s">
        <v>47</v>
      </c>
      <c r="D347" s="35" t="s">
        <v>59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18">
        <v>0</v>
      </c>
      <c r="O347" s="18">
        <v>0</v>
      </c>
      <c r="P347" s="18">
        <v>0</v>
      </c>
      <c r="Q347" s="22">
        <v>0</v>
      </c>
      <c r="R347" s="230">
        <v>0</v>
      </c>
      <c r="S347" s="230">
        <v>0</v>
      </c>
      <c r="T347" s="240">
        <v>0</v>
      </c>
      <c r="U347" s="245" t="str">
        <f t="shared" si="22"/>
        <v>Normal</v>
      </c>
      <c r="V347" s="245" t="str">
        <f t="shared" si="23"/>
        <v>Normal</v>
      </c>
      <c r="W347" s="87">
        <f t="shared" si="24"/>
        <v>0</v>
      </c>
      <c r="X347" s="87">
        <f t="shared" si="25"/>
        <v>0</v>
      </c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P347">
        <f>MINUTE(Table9[[#This Row],[AHT]])</f>
        <v>0</v>
      </c>
      <c r="AQ347">
        <f>SECOND(Table9[[#This Row],[AHT]])</f>
        <v>0</v>
      </c>
      <c r="AT347">
        <v>0</v>
      </c>
    </row>
    <row r="348" spans="1:46">
      <c r="A348" s="23">
        <v>44998</v>
      </c>
      <c r="B348" s="121">
        <f>IF(YEAR(Table9[[#This Row],[Date]]) = 2022, WEEKNUM(Table9[[#This Row],[Date]])-13, WEEKNUM(Table9[[#This Row],[Date]])+40)</f>
        <v>51</v>
      </c>
      <c r="C348" s="35" t="s">
        <v>48</v>
      </c>
      <c r="D348" s="35" t="s">
        <v>59</v>
      </c>
      <c r="E348" s="1">
        <v>304</v>
      </c>
      <c r="F348" s="1">
        <v>289</v>
      </c>
      <c r="G348" s="87">
        <f>IFERROR((Table9[[#This Row],[Calls Off]]-E341)/E341,0)</f>
        <v>0.22088353413654618</v>
      </c>
      <c r="H348" s="87">
        <f>IFERROR((Table9[[#This Row],[Calls Ans]]-F341)/F341,0)</f>
        <v>0.18930041152263374</v>
      </c>
      <c r="I348" s="1">
        <f>Table9[[#This Row],[Calls Off]]+I346</f>
        <v>2224</v>
      </c>
      <c r="J348" s="1">
        <f>Table9[[#This Row],[Calls Ans]]+J346</f>
        <v>2153</v>
      </c>
      <c r="K348" s="1">
        <f>K346+Table9[[#This Row],[Calls Off]]</f>
        <v>110094</v>
      </c>
      <c r="L348" s="1">
        <f>L346+Table9[[#This Row],[Calls Ans]]</f>
        <v>98860</v>
      </c>
      <c r="M348" s="18">
        <v>0.86</v>
      </c>
      <c r="N348" s="18">
        <v>0.05</v>
      </c>
      <c r="O348" s="18">
        <v>0.95</v>
      </c>
      <c r="P348" s="18">
        <v>0.79</v>
      </c>
      <c r="Q348" s="22">
        <v>1</v>
      </c>
      <c r="R348" s="230">
        <v>101</v>
      </c>
      <c r="S348" s="230">
        <v>0</v>
      </c>
      <c r="T348" s="240">
        <v>3</v>
      </c>
      <c r="U348" s="245" t="str">
        <f t="shared" si="22"/>
        <v>Normal</v>
      </c>
      <c r="V348" s="245" t="str">
        <f t="shared" si="23"/>
        <v>Normal</v>
      </c>
      <c r="W348" s="87">
        <f t="shared" si="24"/>
        <v>0.22088353413654618</v>
      </c>
      <c r="X348" s="87">
        <f t="shared" si="25"/>
        <v>0.18930041152263374</v>
      </c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P348">
        <f>MINUTE(Table9[[#This Row],[AHT]])</f>
        <v>0</v>
      </c>
      <c r="AQ348">
        <f>SECOND(Table9[[#This Row],[AHT]])</f>
        <v>0</v>
      </c>
      <c r="AT348">
        <v>101</v>
      </c>
    </row>
    <row r="349" spans="1:46">
      <c r="A349" s="27">
        <v>44999</v>
      </c>
      <c r="B349" s="306">
        <f>IF(YEAR(Table9[[#This Row],[Date]]) = 2022, WEEKNUM(Table9[[#This Row],[Date]])-13, WEEKNUM(Table9[[#This Row],[Date]])+40)</f>
        <v>51</v>
      </c>
      <c r="C349" s="35" t="s">
        <v>49</v>
      </c>
      <c r="D349" s="35" t="s">
        <v>59</v>
      </c>
      <c r="E349" s="1">
        <v>200</v>
      </c>
      <c r="F349" s="1">
        <v>195</v>
      </c>
      <c r="G349" s="87">
        <f>IFERROR((Table9[[#This Row],[Calls Off]]-E342)/E342,0)</f>
        <v>0</v>
      </c>
      <c r="H349" s="87">
        <f>IFERROR((Table9[[#This Row],[Calls Ans]]-F342)/F342,0)</f>
        <v>0</v>
      </c>
      <c r="I349" s="1">
        <f>Table9[[#This Row],[Calls Off]]+I348</f>
        <v>2424</v>
      </c>
      <c r="J349" s="1">
        <f>Table9[[#This Row],[Calls Ans]]+J348</f>
        <v>2348</v>
      </c>
      <c r="K349" s="1">
        <f>K348+Table9[[#This Row],[Calls Off]]</f>
        <v>110294</v>
      </c>
      <c r="L349" s="1">
        <f>L348+Table9[[#This Row],[Calls Ans]]</f>
        <v>99055</v>
      </c>
      <c r="M349" s="18">
        <v>0.9</v>
      </c>
      <c r="N349" s="18">
        <v>0.03</v>
      </c>
      <c r="O349" s="18">
        <v>0.97</v>
      </c>
      <c r="P349" s="18">
        <v>0.67</v>
      </c>
      <c r="Q349" s="22">
        <v>1</v>
      </c>
      <c r="R349" s="230">
        <v>100</v>
      </c>
      <c r="S349" s="230">
        <v>0</v>
      </c>
      <c r="T349" s="240">
        <v>3</v>
      </c>
      <c r="U349" s="245" t="str">
        <f t="shared" si="22"/>
        <v>Normal</v>
      </c>
      <c r="V349" s="245" t="str">
        <f t="shared" si="23"/>
        <v>Normal</v>
      </c>
      <c r="W349" s="87">
        <f t="shared" si="24"/>
        <v>0</v>
      </c>
      <c r="X349" s="87">
        <f t="shared" si="25"/>
        <v>0</v>
      </c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P349">
        <f>MINUTE(Table9[[#This Row],[AHT]])</f>
        <v>0</v>
      </c>
      <c r="AQ349">
        <f>SECOND(Table9[[#This Row],[AHT]])</f>
        <v>0</v>
      </c>
      <c r="AT349">
        <v>100</v>
      </c>
    </row>
    <row r="350" spans="1:46">
      <c r="A350" s="27">
        <v>45000</v>
      </c>
      <c r="B350" s="306">
        <f>IF(YEAR(Table9[[#This Row],[Date]]) = 2022, WEEKNUM(Table9[[#This Row],[Date]])-13, WEEKNUM(Table9[[#This Row],[Date]])+40)</f>
        <v>51</v>
      </c>
      <c r="C350" s="35" t="s">
        <v>50</v>
      </c>
      <c r="D350" s="35" t="s">
        <v>59</v>
      </c>
      <c r="E350" s="1">
        <v>206</v>
      </c>
      <c r="F350" s="1">
        <v>191</v>
      </c>
      <c r="G350" s="87">
        <f>IFERROR((Table9[[#This Row],[Calls Off]]-E343)/E343,0)</f>
        <v>-0.14522821576763487</v>
      </c>
      <c r="H350" s="87">
        <f>IFERROR((Table9[[#This Row],[Calls Ans]]-F343)/F343,0)</f>
        <v>-0.16593886462882096</v>
      </c>
      <c r="I350" s="1">
        <f>Table9[[#This Row],[Calls Off]]+I348</f>
        <v>2430</v>
      </c>
      <c r="J350" s="1">
        <f>Table9[[#This Row],[Calls Ans]]+J348</f>
        <v>2344</v>
      </c>
      <c r="K350" s="1">
        <f>K348+Table9[[#This Row],[Calls Off]]</f>
        <v>110300</v>
      </c>
      <c r="L350" s="1">
        <f>L348+Table9[[#This Row],[Calls Ans]]</f>
        <v>99051</v>
      </c>
      <c r="M350" s="18">
        <v>0.81</v>
      </c>
      <c r="N350" s="18">
        <v>7.2800000000000004E-2</v>
      </c>
      <c r="O350" s="18">
        <v>0.93</v>
      </c>
      <c r="P350" s="18">
        <v>0.67</v>
      </c>
      <c r="Q350" s="22">
        <v>1</v>
      </c>
      <c r="R350" s="230">
        <v>136</v>
      </c>
      <c r="S350" s="230">
        <v>0</v>
      </c>
      <c r="T350" s="240">
        <v>3</v>
      </c>
      <c r="U350" s="245" t="str">
        <f t="shared" si="22"/>
        <v>Normal</v>
      </c>
      <c r="V350" s="245" t="str">
        <f t="shared" si="23"/>
        <v>Normal</v>
      </c>
      <c r="W350" s="87">
        <f t="shared" si="24"/>
        <v>-0.14522821576763487</v>
      </c>
      <c r="X350" s="87">
        <f t="shared" si="25"/>
        <v>-0.16593886462882096</v>
      </c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P350">
        <f>MINUTE(Table9[[#This Row],[AHT]])</f>
        <v>0</v>
      </c>
      <c r="AQ350">
        <f>SECOND(Table9[[#This Row],[AHT]])</f>
        <v>0</v>
      </c>
      <c r="AT350">
        <v>136</v>
      </c>
    </row>
    <row r="351" spans="1:46">
      <c r="A351" s="27">
        <v>45001</v>
      </c>
      <c r="B351" s="306">
        <f>IF(YEAR(Table9[[#This Row],[Date]]) = 2022, WEEKNUM(Table9[[#This Row],[Date]])-13, WEEKNUM(Table9[[#This Row],[Date]])+40)</f>
        <v>51</v>
      </c>
      <c r="C351" s="35" t="s">
        <v>51</v>
      </c>
      <c r="D351" s="35" t="s">
        <v>59</v>
      </c>
      <c r="E351" s="1">
        <v>178</v>
      </c>
      <c r="F351" s="1">
        <v>169</v>
      </c>
      <c r="G351" s="87">
        <f>IFERROR((Table9[[#This Row],[Calls Off]]-E344)/E344,0)</f>
        <v>-0.30196078431372547</v>
      </c>
      <c r="H351" s="87">
        <f>IFERROR((Table9[[#This Row],[Calls Ans]]-F344)/F344,0)</f>
        <v>-0.32669322709163345</v>
      </c>
      <c r="I351" s="1">
        <f>Table9[[#This Row],[Calls Off]]+I350</f>
        <v>2608</v>
      </c>
      <c r="J351" s="1">
        <f>Table9[[#This Row],[Calls Ans]]+J350</f>
        <v>2513</v>
      </c>
      <c r="K351" s="1">
        <f>K350+Table9[[#This Row],[Calls Off]]</f>
        <v>110478</v>
      </c>
      <c r="L351" s="1">
        <f>L350+Table9[[#This Row],[Calls Ans]]</f>
        <v>99220</v>
      </c>
      <c r="M351" s="18">
        <v>0.94</v>
      </c>
      <c r="N351" s="18">
        <v>0.05</v>
      </c>
      <c r="O351" s="18">
        <v>0.95</v>
      </c>
      <c r="P351" s="18">
        <v>0.77</v>
      </c>
      <c r="Q351" s="22">
        <v>1</v>
      </c>
      <c r="R351" s="230">
        <v>86</v>
      </c>
      <c r="S351" s="230">
        <v>0</v>
      </c>
      <c r="T351" s="240">
        <v>3</v>
      </c>
      <c r="U351" s="245" t="str">
        <f t="shared" si="22"/>
        <v>Normal</v>
      </c>
      <c r="V351" s="245" t="str">
        <f t="shared" si="23"/>
        <v>Normal</v>
      </c>
      <c r="W351" s="87">
        <f t="shared" si="24"/>
        <v>-0.30196078431372547</v>
      </c>
      <c r="X351" s="87">
        <f t="shared" si="25"/>
        <v>-0.32669322709163345</v>
      </c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P351">
        <f>MINUTE(Table9[[#This Row],[AHT]])</f>
        <v>0</v>
      </c>
      <c r="AQ351">
        <f>SECOND(Table9[[#This Row],[AHT]])</f>
        <v>0</v>
      </c>
      <c r="AT351">
        <v>86</v>
      </c>
    </row>
    <row r="352" spans="1:46">
      <c r="A352" s="27">
        <v>45002</v>
      </c>
      <c r="B352" s="306">
        <f>IF(YEAR(Table9[[#This Row],[Date]]) = 2022, WEEKNUM(Table9[[#This Row],[Date]])-13, WEEKNUM(Table9[[#This Row],[Date]])+40)</f>
        <v>51</v>
      </c>
      <c r="C352" s="35" t="s">
        <v>52</v>
      </c>
      <c r="D352" s="35" t="s">
        <v>59</v>
      </c>
      <c r="E352" s="1">
        <v>180</v>
      </c>
      <c r="F352" s="1">
        <v>175</v>
      </c>
      <c r="G352" s="87">
        <f>IFERROR((Table9[[#This Row],[Calls Off]]-E345)/E345,0)</f>
        <v>-4.7619047619047616E-2</v>
      </c>
      <c r="H352" s="87">
        <f>IFERROR((Table9[[#This Row],[Calls Ans]]-F345)/F345,0)</f>
        <v>-3.3149171270718231E-2</v>
      </c>
      <c r="I352" s="1">
        <f>Table9[[#This Row],[Calls Off]]+I350</f>
        <v>2610</v>
      </c>
      <c r="J352" s="1">
        <f>Table9[[#This Row],[Calls Ans]]+J350</f>
        <v>2519</v>
      </c>
      <c r="K352" s="1">
        <f>K350+Table9[[#This Row],[Calls Off]]</f>
        <v>110480</v>
      </c>
      <c r="L352" s="1">
        <f>L350+Table9[[#This Row],[Calls Ans]]</f>
        <v>99226</v>
      </c>
      <c r="M352" s="18">
        <v>0.89</v>
      </c>
      <c r="N352" s="18">
        <v>0.03</v>
      </c>
      <c r="O352" s="18">
        <v>0.97</v>
      </c>
      <c r="P352" s="18">
        <v>0.66</v>
      </c>
      <c r="Q352" s="22">
        <v>1</v>
      </c>
      <c r="R352" s="230">
        <v>163</v>
      </c>
      <c r="S352" s="230">
        <v>0</v>
      </c>
      <c r="T352" s="240">
        <v>3</v>
      </c>
      <c r="U352" s="245" t="str">
        <f t="shared" si="22"/>
        <v>Normal</v>
      </c>
      <c r="V352" s="245" t="str">
        <f t="shared" si="23"/>
        <v>Normal</v>
      </c>
      <c r="W352" s="87">
        <f t="shared" si="24"/>
        <v>-4.7619047619047616E-2</v>
      </c>
      <c r="X352" s="87">
        <f t="shared" si="25"/>
        <v>-3.3149171270718231E-2</v>
      </c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P352">
        <f>MINUTE(Table9[[#This Row],[AHT]])</f>
        <v>0</v>
      </c>
      <c r="AQ352">
        <f>SECOND(Table9[[#This Row],[AHT]])</f>
        <v>0</v>
      </c>
      <c r="AT352">
        <v>163</v>
      </c>
    </row>
    <row r="353" spans="1:46">
      <c r="A353" s="27">
        <v>45003</v>
      </c>
      <c r="B353" s="306">
        <f>IF(YEAR(Table9[[#This Row],[Date]]) = 2022, WEEKNUM(Table9[[#This Row],[Date]])-13, WEEKNUM(Table9[[#This Row],[Date]])+40)</f>
        <v>51</v>
      </c>
      <c r="C353" s="35" t="s">
        <v>53</v>
      </c>
      <c r="D353" s="35" t="s">
        <v>59</v>
      </c>
      <c r="E353" s="1">
        <v>117</v>
      </c>
      <c r="F353" s="1">
        <v>116</v>
      </c>
      <c r="G353" s="87">
        <f>IFERROR((Table9[[#This Row],[Calls Off]]-E346)/E346,0)</f>
        <v>-0.39378238341968913</v>
      </c>
      <c r="H353" s="87">
        <f>IFERROR((Table9[[#This Row],[Calls Ans]]-F346)/F346,0)</f>
        <v>-0.39583333333333331</v>
      </c>
      <c r="I353" s="1">
        <f>Table9[[#This Row],[Calls Off]]+I352</f>
        <v>2727</v>
      </c>
      <c r="J353" s="1">
        <f>Table9[[#This Row],[Calls Ans]]+J352</f>
        <v>2635</v>
      </c>
      <c r="K353" s="1">
        <f>K352+Table9[[#This Row],[Calls Off]]</f>
        <v>110597</v>
      </c>
      <c r="L353" s="1">
        <f>L352+Table9[[#This Row],[Calls Ans]]</f>
        <v>99342</v>
      </c>
      <c r="M353" s="18">
        <v>0.99</v>
      </c>
      <c r="N353" s="18">
        <v>0.99</v>
      </c>
      <c r="O353" s="18">
        <v>0.01</v>
      </c>
      <c r="P353" s="18">
        <v>0.99</v>
      </c>
      <c r="Q353" s="22">
        <v>1</v>
      </c>
      <c r="R353" s="230">
        <v>108</v>
      </c>
      <c r="S353" s="230">
        <v>0</v>
      </c>
      <c r="T353" s="240">
        <v>2</v>
      </c>
      <c r="U353" s="245" t="str">
        <f t="shared" si="22"/>
        <v>Normal</v>
      </c>
      <c r="V353" s="245" t="str">
        <f t="shared" si="23"/>
        <v>Normal</v>
      </c>
      <c r="W353" s="87">
        <f t="shared" si="24"/>
        <v>-0.39378238341968913</v>
      </c>
      <c r="X353" s="87">
        <f t="shared" si="25"/>
        <v>-0.39583333333333331</v>
      </c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P353">
        <f>MINUTE(Table9[[#This Row],[AHT]])</f>
        <v>0</v>
      </c>
      <c r="AQ353">
        <f>SECOND(Table9[[#This Row],[AHT]])</f>
        <v>0</v>
      </c>
      <c r="AT353">
        <v>108</v>
      </c>
    </row>
    <row r="354" spans="1:46">
      <c r="A354" s="27">
        <v>45004</v>
      </c>
      <c r="B354" s="306">
        <f>IF(YEAR(Table9[[#This Row],[Date]]) = 2022, WEEKNUM(Table9[[#This Row],[Date]])-13, WEEKNUM(Table9[[#This Row],[Date]])+40)</f>
        <v>52</v>
      </c>
      <c r="C354" s="35" t="s">
        <v>47</v>
      </c>
      <c r="D354" s="35" t="s">
        <v>59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18">
        <v>0</v>
      </c>
      <c r="O354" s="18">
        <v>0</v>
      </c>
      <c r="P354" s="18">
        <v>0</v>
      </c>
      <c r="Q354" s="22">
        <v>0</v>
      </c>
      <c r="R354" s="230">
        <v>0</v>
      </c>
      <c r="S354" s="230">
        <v>0</v>
      </c>
      <c r="T354" s="240">
        <v>0</v>
      </c>
      <c r="U354" s="245" t="str">
        <f t="shared" si="22"/>
        <v>Normal</v>
      </c>
      <c r="V354" s="245" t="str">
        <f t="shared" si="23"/>
        <v>Normal</v>
      </c>
      <c r="W354" s="87">
        <f t="shared" si="24"/>
        <v>0</v>
      </c>
      <c r="X354" s="87">
        <f t="shared" si="25"/>
        <v>0</v>
      </c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P354">
        <f>MINUTE(Table9[[#This Row],[AHT]])</f>
        <v>0</v>
      </c>
      <c r="AQ354">
        <f>SECOND(Table9[[#This Row],[AHT]])</f>
        <v>0</v>
      </c>
      <c r="AT354">
        <v>0</v>
      </c>
    </row>
    <row r="355" spans="1:46">
      <c r="A355" s="27">
        <v>45005</v>
      </c>
      <c r="B355" s="306">
        <f>IF(YEAR(Table9[[#This Row],[Date]]) = 2022, WEEKNUM(Table9[[#This Row],[Date]])-13, WEEKNUM(Table9[[#This Row],[Date]])+40)</f>
        <v>52</v>
      </c>
      <c r="C355" s="35" t="s">
        <v>48</v>
      </c>
      <c r="D355" s="35" t="s">
        <v>59</v>
      </c>
      <c r="E355" s="1">
        <v>227</v>
      </c>
      <c r="F355" s="1">
        <v>221</v>
      </c>
      <c r="G355" s="87">
        <f>IFERROR((Table9[[#This Row],[Calls Off]]-E348)/E348,0)</f>
        <v>-0.25328947368421051</v>
      </c>
      <c r="H355" s="87">
        <f>IFERROR((Table9[[#This Row],[Calls Ans]]-F348)/F348,0)</f>
        <v>-0.23529411764705882</v>
      </c>
      <c r="I355" s="1">
        <f>Table9[[#This Row],[Calls Off]]+I353</f>
        <v>2954</v>
      </c>
      <c r="J355" s="1">
        <f>Table9[[#This Row],[Calls Ans]]+J353</f>
        <v>2856</v>
      </c>
      <c r="K355" s="1">
        <f>K353+Table9[[#This Row],[Calls Off]]</f>
        <v>110824</v>
      </c>
      <c r="L355" s="1">
        <f>L353+Table9[[#This Row],[Calls Ans]]</f>
        <v>99563</v>
      </c>
      <c r="M355" s="18">
        <v>0.9</v>
      </c>
      <c r="N355" s="18">
        <v>0.03</v>
      </c>
      <c r="O355" s="18">
        <v>0.97</v>
      </c>
      <c r="P355" s="18">
        <v>0.88</v>
      </c>
      <c r="Q355" s="22">
        <v>1</v>
      </c>
      <c r="R355" s="230">
        <v>124</v>
      </c>
      <c r="S355" s="230">
        <v>0</v>
      </c>
      <c r="T355" s="240">
        <v>3</v>
      </c>
      <c r="U355" s="245" t="str">
        <f t="shared" si="22"/>
        <v>Normal</v>
      </c>
      <c r="V355" s="245" t="str">
        <f t="shared" si="23"/>
        <v>Normal</v>
      </c>
      <c r="W355" s="87">
        <f t="shared" si="24"/>
        <v>-0.25328947368421051</v>
      </c>
      <c r="X355" s="87">
        <f t="shared" si="25"/>
        <v>-0.23529411764705882</v>
      </c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P355">
        <f>MINUTE(Table9[[#This Row],[AHT]])</f>
        <v>0</v>
      </c>
      <c r="AQ355">
        <f>SECOND(Table9[[#This Row],[AHT]])</f>
        <v>0</v>
      </c>
      <c r="AT355">
        <v>124</v>
      </c>
    </row>
    <row r="356" spans="1:46">
      <c r="A356" s="27">
        <v>45006</v>
      </c>
      <c r="B356" s="306">
        <f>IF(YEAR(Table9[[#This Row],[Date]]) = 2022, WEEKNUM(Table9[[#This Row],[Date]])-13, WEEKNUM(Table9[[#This Row],[Date]])+40)</f>
        <v>52</v>
      </c>
      <c r="C356" s="35" t="s">
        <v>49</v>
      </c>
      <c r="D356" s="35" t="s">
        <v>59</v>
      </c>
      <c r="E356" s="1">
        <v>192</v>
      </c>
      <c r="F356" s="1">
        <v>185</v>
      </c>
      <c r="G356" s="87">
        <f>IFERROR((Table9[[#This Row],[Calls Off]]-E349)/E349,0)</f>
        <v>-0.04</v>
      </c>
      <c r="H356" s="87">
        <f>IFERROR((Table9[[#This Row],[Calls Ans]]-F349)/F349,0)</f>
        <v>-5.128205128205128E-2</v>
      </c>
      <c r="I356" s="1">
        <f>Table9[[#This Row],[Calls Off]]+I355</f>
        <v>3146</v>
      </c>
      <c r="J356" s="1">
        <f>Table9[[#This Row],[Calls Ans]]+J355</f>
        <v>3041</v>
      </c>
      <c r="K356" s="1">
        <f>K355+Table9[[#This Row],[Calls Off]]</f>
        <v>111016</v>
      </c>
      <c r="L356" s="1">
        <f>L355+Table9[[#This Row],[Calls Ans]]</f>
        <v>99748</v>
      </c>
      <c r="M356" s="18">
        <v>0.93</v>
      </c>
      <c r="N356" s="18">
        <v>0.04</v>
      </c>
      <c r="O356" s="18">
        <v>0.96</v>
      </c>
      <c r="P356" s="18">
        <v>0.64</v>
      </c>
      <c r="Q356" s="22">
        <v>1</v>
      </c>
      <c r="R356" s="230">
        <v>103</v>
      </c>
      <c r="S356" s="230">
        <v>0</v>
      </c>
      <c r="T356" s="240">
        <v>3</v>
      </c>
      <c r="U356" s="245" t="str">
        <f t="shared" si="22"/>
        <v>Normal</v>
      </c>
      <c r="V356" s="245" t="str">
        <f t="shared" si="23"/>
        <v>Normal</v>
      </c>
      <c r="W356" s="87">
        <f t="shared" si="24"/>
        <v>-0.04</v>
      </c>
      <c r="X356" s="87">
        <f t="shared" si="25"/>
        <v>-5.128205128205128E-2</v>
      </c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P356">
        <f>MINUTE(Table9[[#This Row],[AHT]])</f>
        <v>0</v>
      </c>
      <c r="AQ356">
        <f>SECOND(Table9[[#This Row],[AHT]])</f>
        <v>0</v>
      </c>
      <c r="AT356">
        <v>103</v>
      </c>
    </row>
    <row r="357" spans="1:46">
      <c r="A357" s="27">
        <v>45007</v>
      </c>
      <c r="B357" s="306">
        <f>IF(YEAR(Table9[[#This Row],[Date]]) = 2022, WEEKNUM(Table9[[#This Row],[Date]])-13, WEEKNUM(Table9[[#This Row],[Date]])+40)</f>
        <v>52</v>
      </c>
      <c r="C357" s="35" t="s">
        <v>50</v>
      </c>
      <c r="D357" s="35" t="s">
        <v>59</v>
      </c>
      <c r="E357" s="1">
        <v>180</v>
      </c>
      <c r="F357" s="1">
        <v>178</v>
      </c>
      <c r="G357" s="87">
        <f>IFERROR((Table9[[#This Row],[Calls Off]]-E350)/E350,0)</f>
        <v>-0.12621359223300971</v>
      </c>
      <c r="H357" s="87">
        <f>IFERROR((Table9[[#This Row],[Calls Ans]]-F350)/F350,0)</f>
        <v>-6.8062827225130892E-2</v>
      </c>
      <c r="I357" s="1">
        <f>Table9[[#This Row],[Calls Off]]+I355</f>
        <v>3134</v>
      </c>
      <c r="J357" s="1">
        <f>Table9[[#This Row],[Calls Ans]]+J355</f>
        <v>3034</v>
      </c>
      <c r="K357" s="1">
        <f>K355+Table9[[#This Row],[Calls Off]]</f>
        <v>111004</v>
      </c>
      <c r="L357" s="1">
        <f>L355+Table9[[#This Row],[Calls Ans]]</f>
        <v>99741</v>
      </c>
      <c r="M357" s="18">
        <v>0.89</v>
      </c>
      <c r="N357" s="18">
        <v>0.01</v>
      </c>
      <c r="O357" s="18">
        <v>0.99</v>
      </c>
      <c r="P357" s="18">
        <v>0.69</v>
      </c>
      <c r="Q357" s="22">
        <v>1</v>
      </c>
      <c r="R357" s="230">
        <v>91</v>
      </c>
      <c r="S357" s="230">
        <v>0</v>
      </c>
      <c r="T357" s="240">
        <v>3</v>
      </c>
      <c r="U357" s="245" t="str">
        <f t="shared" si="22"/>
        <v>Normal</v>
      </c>
      <c r="V357" s="245" t="str">
        <f t="shared" si="23"/>
        <v>Normal</v>
      </c>
      <c r="W357" s="87">
        <f t="shared" si="24"/>
        <v>-0.12621359223300971</v>
      </c>
      <c r="X357" s="87">
        <f t="shared" si="25"/>
        <v>-6.8062827225130892E-2</v>
      </c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P357">
        <f>MINUTE(Table9[[#This Row],[AHT]])</f>
        <v>0</v>
      </c>
      <c r="AQ357">
        <f>SECOND(Table9[[#This Row],[AHT]])</f>
        <v>0</v>
      </c>
      <c r="AT357">
        <v>91</v>
      </c>
    </row>
    <row r="358" spans="1:46">
      <c r="A358" s="27">
        <v>45008</v>
      </c>
      <c r="B358" s="306">
        <f>IF(YEAR(Table9[[#This Row],[Date]]) = 2022, WEEKNUM(Table9[[#This Row],[Date]])-13, WEEKNUM(Table9[[#This Row],[Date]])+40)</f>
        <v>52</v>
      </c>
      <c r="C358" s="35" t="s">
        <v>51</v>
      </c>
      <c r="D358" s="35" t="s">
        <v>59</v>
      </c>
      <c r="E358" s="1">
        <v>213</v>
      </c>
      <c r="F358" s="1">
        <v>202</v>
      </c>
      <c r="G358" s="87">
        <f>IFERROR((Table9[[#This Row],[Calls Off]]-E351)/E351,0)</f>
        <v>0.19662921348314608</v>
      </c>
      <c r="H358" s="87">
        <f>IFERROR((Table9[[#This Row],[Calls Ans]]-F351)/F351,0)</f>
        <v>0.19526627218934911</v>
      </c>
      <c r="I358" s="1">
        <f>Table9[[#This Row],[Calls Off]]+I357</f>
        <v>3347</v>
      </c>
      <c r="J358" s="1">
        <f>Table9[[#This Row],[Calls Ans]]+J357</f>
        <v>3236</v>
      </c>
      <c r="K358" s="1">
        <f>K357+Table9[[#This Row],[Calls Off]]</f>
        <v>111217</v>
      </c>
      <c r="L358" s="1">
        <f>L357+Table9[[#This Row],[Calls Ans]]</f>
        <v>99943</v>
      </c>
      <c r="M358" s="18">
        <v>0.83</v>
      </c>
      <c r="N358" s="18">
        <v>0.05</v>
      </c>
      <c r="O358" s="18">
        <v>0.95</v>
      </c>
      <c r="P358" s="18">
        <v>0.66</v>
      </c>
      <c r="Q358" s="22">
        <v>1</v>
      </c>
      <c r="R358" s="230">
        <v>125</v>
      </c>
      <c r="S358" s="230">
        <v>0</v>
      </c>
      <c r="T358" s="240">
        <v>3</v>
      </c>
      <c r="U358" s="245" t="str">
        <f t="shared" si="22"/>
        <v>Normal</v>
      </c>
      <c r="V358" s="245" t="str">
        <f t="shared" si="23"/>
        <v>Normal</v>
      </c>
      <c r="W358" s="87">
        <f t="shared" si="24"/>
        <v>0.19662921348314608</v>
      </c>
      <c r="X358" s="87">
        <f t="shared" si="25"/>
        <v>0.19526627218934911</v>
      </c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P358">
        <f>MINUTE(Table9[[#This Row],[AHT]])</f>
        <v>0</v>
      </c>
      <c r="AQ358">
        <f>SECOND(Table9[[#This Row],[AHT]])</f>
        <v>0</v>
      </c>
      <c r="AT358">
        <v>125</v>
      </c>
    </row>
    <row r="359" spans="1:46">
      <c r="A359" s="27">
        <v>45009</v>
      </c>
      <c r="B359" s="306">
        <f>IF(YEAR(Table9[[#This Row],[Date]]) = 2022, WEEKNUM(Table9[[#This Row],[Date]])-13, WEEKNUM(Table9[[#This Row],[Date]])+40)</f>
        <v>52</v>
      </c>
      <c r="C359" s="35" t="s">
        <v>52</v>
      </c>
      <c r="D359" s="35" t="s">
        <v>59</v>
      </c>
      <c r="E359" s="1">
        <v>219</v>
      </c>
      <c r="F359" s="1">
        <v>208</v>
      </c>
      <c r="G359" s="87">
        <f>IFERROR((Table9[[#This Row],[Calls Off]]-E352)/E352,0)</f>
        <v>0.21666666666666667</v>
      </c>
      <c r="H359" s="87">
        <f>IFERROR((Table9[[#This Row],[Calls Ans]]-F352)/F352,0)</f>
        <v>0.18857142857142858</v>
      </c>
      <c r="I359" s="1">
        <f>Table9[[#This Row],[Calls Off]]+I357</f>
        <v>3353</v>
      </c>
      <c r="J359" s="1">
        <f>Table9[[#This Row],[Calls Ans]]+J357</f>
        <v>3242</v>
      </c>
      <c r="K359" s="1">
        <f>K357+Table9[[#This Row],[Calls Off]]</f>
        <v>111223</v>
      </c>
      <c r="L359" s="1">
        <f>L357+Table9[[#This Row],[Calls Ans]]</f>
        <v>99949</v>
      </c>
      <c r="M359" s="18">
        <v>0.81</v>
      </c>
      <c r="N359" s="18">
        <v>0.05</v>
      </c>
      <c r="O359" s="18">
        <v>0.95</v>
      </c>
      <c r="P359" s="18">
        <v>0.92</v>
      </c>
      <c r="Q359" s="22">
        <v>1</v>
      </c>
      <c r="R359" s="230">
        <v>81</v>
      </c>
      <c r="S359" s="230">
        <v>0</v>
      </c>
      <c r="T359" s="240">
        <v>3</v>
      </c>
      <c r="U359" s="245" t="str">
        <f t="shared" si="22"/>
        <v>Normal</v>
      </c>
      <c r="V359" s="245" t="str">
        <f t="shared" si="23"/>
        <v>Normal</v>
      </c>
      <c r="W359" s="87">
        <f t="shared" si="24"/>
        <v>0.21666666666666667</v>
      </c>
      <c r="X359" s="87">
        <f t="shared" si="25"/>
        <v>0.18857142857142858</v>
      </c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P359">
        <f>MINUTE(Table9[[#This Row],[AHT]])</f>
        <v>0</v>
      </c>
      <c r="AQ359">
        <f>SECOND(Table9[[#This Row],[AHT]])</f>
        <v>0</v>
      </c>
      <c r="AT359">
        <v>81</v>
      </c>
    </row>
    <row r="360" spans="1:46">
      <c r="A360" s="27">
        <v>45010</v>
      </c>
      <c r="B360" s="306">
        <f>IF(YEAR(Table9[[#This Row],[Date]]) = 2022, WEEKNUM(Table9[[#This Row],[Date]])-13, WEEKNUM(Table9[[#This Row],[Date]])+40)</f>
        <v>52</v>
      </c>
      <c r="C360" s="35" t="s">
        <v>53</v>
      </c>
      <c r="D360" s="35" t="s">
        <v>59</v>
      </c>
      <c r="E360" s="1">
        <v>140</v>
      </c>
      <c r="F360" s="1">
        <v>138</v>
      </c>
      <c r="G360" s="87">
        <f>IFERROR((Table9[[#This Row],[Calls Off]]-E353)/E353,0)</f>
        <v>0.19658119658119658</v>
      </c>
      <c r="H360" s="87">
        <f>IFERROR((Table9[[#This Row],[Calls Ans]]-F353)/F353,0)</f>
        <v>0.18965517241379309</v>
      </c>
      <c r="I360" s="1">
        <f>Table9[[#This Row],[Calls Off]]+I359</f>
        <v>3493</v>
      </c>
      <c r="J360" s="1">
        <f>Table9[[#This Row],[Calls Ans]]+J359</f>
        <v>3380</v>
      </c>
      <c r="K360" s="1">
        <f>K359+Table9[[#This Row],[Calls Off]]</f>
        <v>111363</v>
      </c>
      <c r="L360" s="1">
        <f>L359+Table9[[#This Row],[Calls Ans]]</f>
        <v>100087</v>
      </c>
      <c r="M360" s="18">
        <v>0.98</v>
      </c>
      <c r="N360" s="18">
        <v>0.01</v>
      </c>
      <c r="O360" s="18">
        <v>0.99</v>
      </c>
      <c r="P360" s="18">
        <v>0.62</v>
      </c>
      <c r="Q360" s="22">
        <v>0.98</v>
      </c>
      <c r="R360" s="230">
        <v>92</v>
      </c>
      <c r="S360" s="230">
        <v>0</v>
      </c>
      <c r="T360" s="240">
        <v>3</v>
      </c>
      <c r="U360" s="245" t="str">
        <f t="shared" si="22"/>
        <v>Normal</v>
      </c>
      <c r="V360" s="245" t="str">
        <f t="shared" si="23"/>
        <v>Normal</v>
      </c>
      <c r="W360" s="87">
        <f t="shared" si="24"/>
        <v>0.19658119658119658</v>
      </c>
      <c r="X360" s="87">
        <f t="shared" si="25"/>
        <v>0.18965517241379309</v>
      </c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P360">
        <f>MINUTE(Table9[[#This Row],[AHT]])</f>
        <v>0</v>
      </c>
      <c r="AQ360">
        <f>SECOND(Table9[[#This Row],[AHT]])</f>
        <v>0</v>
      </c>
      <c r="AT360">
        <v>92</v>
      </c>
    </row>
    <row r="361" spans="1:46">
      <c r="A361" s="27">
        <v>45011</v>
      </c>
      <c r="B361" s="306">
        <f>IF(YEAR(Table9[[#This Row],[Date]]) = 2022, WEEKNUM(Table9[[#This Row],[Date]])-13, WEEKNUM(Table9[[#This Row],[Date]])+40)</f>
        <v>53</v>
      </c>
      <c r="C361" s="35" t="s">
        <v>47</v>
      </c>
      <c r="D361" s="35" t="s">
        <v>59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18">
        <v>0</v>
      </c>
      <c r="O361" s="18">
        <v>0</v>
      </c>
      <c r="P361" s="18">
        <v>0</v>
      </c>
      <c r="Q361" s="22">
        <v>0</v>
      </c>
      <c r="R361" s="230">
        <v>0</v>
      </c>
      <c r="S361" s="230">
        <v>0</v>
      </c>
      <c r="T361" s="240">
        <v>0</v>
      </c>
      <c r="U361" s="245" t="str">
        <f t="shared" si="22"/>
        <v>Normal</v>
      </c>
      <c r="V361" s="245" t="str">
        <f t="shared" si="23"/>
        <v>Normal</v>
      </c>
      <c r="W361" s="87">
        <f t="shared" si="24"/>
        <v>0</v>
      </c>
      <c r="X361" s="87">
        <f t="shared" si="25"/>
        <v>0</v>
      </c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P361">
        <f>MINUTE(Table9[[#This Row],[AHT]])</f>
        <v>0</v>
      </c>
      <c r="AQ361">
        <f>SECOND(Table9[[#This Row],[AHT]])</f>
        <v>0</v>
      </c>
      <c r="AT361">
        <v>0</v>
      </c>
    </row>
    <row r="362" spans="1:46">
      <c r="A362" s="27">
        <v>45012</v>
      </c>
      <c r="B362" s="306">
        <f>IF(YEAR(Table9[[#This Row],[Date]]) = 2022, WEEKNUM(Table9[[#This Row],[Date]])-13, WEEKNUM(Table9[[#This Row],[Date]])+40)</f>
        <v>53</v>
      </c>
      <c r="C362" s="35" t="s">
        <v>48</v>
      </c>
      <c r="D362" s="35" t="s">
        <v>59</v>
      </c>
      <c r="E362" s="1">
        <v>261</v>
      </c>
      <c r="F362" s="1">
        <v>252</v>
      </c>
      <c r="G362" s="87">
        <f>IFERROR((Table9[[#This Row],[Calls Off]]-E355)/E355,0)</f>
        <v>0.14977973568281938</v>
      </c>
      <c r="H362" s="87">
        <f>IFERROR((Table9[[#This Row],[Calls Ans]]-F355)/F355,0)</f>
        <v>0.14027149321266968</v>
      </c>
      <c r="I362" s="1">
        <f>Table9[[#This Row],[Calls Off]]+I360</f>
        <v>3754</v>
      </c>
      <c r="J362" s="1">
        <f>Table9[[#This Row],[Calls Ans]]+J360</f>
        <v>3632</v>
      </c>
      <c r="K362" s="1">
        <f>K360+Table9[[#This Row],[Calls Off]]</f>
        <v>111624</v>
      </c>
      <c r="L362" s="1">
        <f>L360+Table9[[#This Row],[Calls Ans]]</f>
        <v>100339</v>
      </c>
      <c r="M362" s="18">
        <v>0.9</v>
      </c>
      <c r="N362" s="18">
        <v>0.03</v>
      </c>
      <c r="O362" s="18">
        <v>0.97</v>
      </c>
      <c r="P362" s="18">
        <v>0.74</v>
      </c>
      <c r="Q362" s="22">
        <v>1</v>
      </c>
      <c r="R362" s="230">
        <v>94</v>
      </c>
      <c r="S362" s="230">
        <v>0</v>
      </c>
      <c r="T362" s="240">
        <v>4</v>
      </c>
      <c r="U362" s="245" t="str">
        <f t="shared" si="22"/>
        <v>Normal</v>
      </c>
      <c r="V362" s="245" t="str">
        <f t="shared" si="23"/>
        <v>Normal</v>
      </c>
      <c r="W362" s="87">
        <f t="shared" si="24"/>
        <v>0.14977973568281938</v>
      </c>
      <c r="X362" s="87">
        <f t="shared" si="25"/>
        <v>0.14027149321266968</v>
      </c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P362">
        <f>MINUTE(Table9[[#This Row],[AHT]])</f>
        <v>0</v>
      </c>
      <c r="AQ362">
        <f>SECOND(Table9[[#This Row],[AHT]])</f>
        <v>0</v>
      </c>
      <c r="AT362">
        <v>94</v>
      </c>
    </row>
    <row r="363" spans="1:46">
      <c r="A363" s="27">
        <v>45013</v>
      </c>
      <c r="B363" s="306">
        <f>IF(YEAR(Table9[[#This Row],[Date]]) = 2022, WEEKNUM(Table9[[#This Row],[Date]])-13, WEEKNUM(Table9[[#This Row],[Date]])+40)</f>
        <v>53</v>
      </c>
      <c r="C363" s="35" t="s">
        <v>49</v>
      </c>
      <c r="D363" s="35" t="s">
        <v>59</v>
      </c>
      <c r="E363" s="1">
        <v>267</v>
      </c>
      <c r="F363" s="1">
        <v>264</v>
      </c>
      <c r="G363" s="87">
        <f>IFERROR((Table9[[#This Row],[Calls Off]]-E356)/E356,0)</f>
        <v>0.390625</v>
      </c>
      <c r="H363" s="87">
        <f>IFERROR((Table9[[#This Row],[Calls Ans]]-F356)/F356,0)</f>
        <v>0.42702702702702705</v>
      </c>
      <c r="I363" s="1">
        <f>Table9[[#This Row],[Calls Off]]+I362</f>
        <v>4021</v>
      </c>
      <c r="J363" s="1">
        <f>Table9[[#This Row],[Calls Ans]]+J362</f>
        <v>3896</v>
      </c>
      <c r="K363" s="1">
        <f>K362+Table9[[#This Row],[Calls Off]]</f>
        <v>111891</v>
      </c>
      <c r="L363" s="1">
        <f>L362+Table9[[#This Row],[Calls Ans]]</f>
        <v>100603</v>
      </c>
      <c r="M363" s="18">
        <v>0.94</v>
      </c>
      <c r="N363" s="18">
        <v>0.01</v>
      </c>
      <c r="O363" s="18">
        <v>0.99</v>
      </c>
      <c r="P363" s="18">
        <v>0.76</v>
      </c>
      <c r="Q363" s="22">
        <v>1</v>
      </c>
      <c r="R363" s="230">
        <v>99</v>
      </c>
      <c r="S363" s="230">
        <v>0</v>
      </c>
      <c r="T363" s="240">
        <v>4</v>
      </c>
      <c r="U363" s="245" t="str">
        <f t="shared" si="22"/>
        <v>Normal</v>
      </c>
      <c r="V363" s="245" t="str">
        <f t="shared" si="23"/>
        <v>Normal</v>
      </c>
      <c r="W363" s="87">
        <f t="shared" si="24"/>
        <v>0.390625</v>
      </c>
      <c r="X363" s="87">
        <f t="shared" si="25"/>
        <v>0.42702702702702705</v>
      </c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P363">
        <f>MINUTE(Table9[[#This Row],[AHT]])</f>
        <v>0</v>
      </c>
      <c r="AQ363">
        <f>SECOND(Table9[[#This Row],[AHT]])</f>
        <v>0</v>
      </c>
      <c r="AT363">
        <v>99</v>
      </c>
    </row>
    <row r="364" spans="1:46">
      <c r="A364" s="27">
        <v>45014</v>
      </c>
      <c r="B364" s="306">
        <f>IF(YEAR(Table9[[#This Row],[Date]]) = 2022, WEEKNUM(Table9[[#This Row],[Date]])-13, WEEKNUM(Table9[[#This Row],[Date]])+40)</f>
        <v>53</v>
      </c>
      <c r="C364" s="35" t="s">
        <v>50</v>
      </c>
      <c r="D364" s="35" t="s">
        <v>59</v>
      </c>
      <c r="E364" s="1">
        <v>211</v>
      </c>
      <c r="F364" s="1">
        <v>200</v>
      </c>
      <c r="G364" s="87">
        <f>IFERROR((Table9[[#This Row],[Calls Off]]-E357)/E357,0)</f>
        <v>0.17222222222222222</v>
      </c>
      <c r="H364" s="87">
        <f>IFERROR((Table9[[#This Row],[Calls Ans]]-F357)/F357,0)</f>
        <v>0.12359550561797752</v>
      </c>
      <c r="I364" s="1">
        <f>Table9[[#This Row],[Calls Off]]+I362</f>
        <v>3965</v>
      </c>
      <c r="J364" s="1">
        <f>Table9[[#This Row],[Calls Ans]]+J362</f>
        <v>3832</v>
      </c>
      <c r="K364" s="1">
        <f>K362+Table9[[#This Row],[Calls Off]]</f>
        <v>111835</v>
      </c>
      <c r="L364" s="1">
        <f>L362+Table9[[#This Row],[Calls Ans]]</f>
        <v>100539</v>
      </c>
      <c r="M364" s="18">
        <v>0.86</v>
      </c>
      <c r="N364" s="18">
        <v>0.05</v>
      </c>
      <c r="O364" s="18">
        <v>0.95</v>
      </c>
      <c r="P364" s="18">
        <v>0.67</v>
      </c>
      <c r="Q364" s="22">
        <v>0.99</v>
      </c>
      <c r="R364" s="230">
        <v>122</v>
      </c>
      <c r="S364" s="230">
        <v>0</v>
      </c>
      <c r="T364" s="240">
        <v>2</v>
      </c>
      <c r="U364" s="245" t="str">
        <f t="shared" si="22"/>
        <v>Normal</v>
      </c>
      <c r="V364" s="245" t="str">
        <f t="shared" si="23"/>
        <v>Normal</v>
      </c>
      <c r="W364" s="87">
        <f t="shared" si="24"/>
        <v>0.17222222222222222</v>
      </c>
      <c r="X364" s="87">
        <f t="shared" si="25"/>
        <v>0.12359550561797752</v>
      </c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P364">
        <f>MINUTE(Table9[[#This Row],[AHT]])</f>
        <v>0</v>
      </c>
      <c r="AQ364">
        <f>SECOND(Table9[[#This Row],[AHT]])</f>
        <v>0</v>
      </c>
      <c r="AT364">
        <v>122</v>
      </c>
    </row>
    <row r="365" spans="1:46">
      <c r="A365" s="27">
        <v>45015</v>
      </c>
      <c r="B365" s="306">
        <f>IF(YEAR(Table9[[#This Row],[Date]]) = 2022, WEEKNUM(Table9[[#This Row],[Date]])-13, WEEKNUM(Table9[[#This Row],[Date]])+40)</f>
        <v>53</v>
      </c>
      <c r="C365" s="35" t="s">
        <v>51</v>
      </c>
      <c r="D365" s="35" t="s">
        <v>59</v>
      </c>
      <c r="E365" s="1">
        <v>230</v>
      </c>
      <c r="F365" s="1">
        <v>219</v>
      </c>
      <c r="G365" s="87">
        <f>IFERROR((Table9[[#This Row],[Calls Off]]-E358)/E358,0)</f>
        <v>7.9812206572769953E-2</v>
      </c>
      <c r="H365" s="87">
        <f>IFERROR((Table9[[#This Row],[Calls Ans]]-F358)/F358,0)</f>
        <v>8.4158415841584164E-2</v>
      </c>
      <c r="I365" s="1">
        <f>Table9[[#This Row],[Calls Off]]+I364</f>
        <v>4195</v>
      </c>
      <c r="J365" s="1">
        <f>Table9[[#This Row],[Calls Ans]]+J364</f>
        <v>4051</v>
      </c>
      <c r="K365" s="1">
        <f>K364+Table9[[#This Row],[Calls Off]]</f>
        <v>112065</v>
      </c>
      <c r="L365" s="1">
        <f>L364+Table9[[#This Row],[Calls Ans]]</f>
        <v>100758</v>
      </c>
      <c r="M365" s="18">
        <v>0.88</v>
      </c>
      <c r="N365" s="18">
        <v>0.05</v>
      </c>
      <c r="O365" s="18">
        <v>0.95</v>
      </c>
      <c r="P365" s="18">
        <v>0.71</v>
      </c>
      <c r="Q365" s="22">
        <v>1</v>
      </c>
      <c r="R365" s="230">
        <v>158</v>
      </c>
      <c r="S365" s="230">
        <v>0</v>
      </c>
      <c r="T365" s="240">
        <v>3</v>
      </c>
      <c r="U365" s="245" t="str">
        <f t="shared" si="22"/>
        <v>Normal</v>
      </c>
      <c r="V365" s="245" t="str">
        <f t="shared" si="23"/>
        <v>Normal</v>
      </c>
      <c r="W365" s="87">
        <f t="shared" si="24"/>
        <v>7.9812206572769953E-2</v>
      </c>
      <c r="X365" s="87">
        <f t="shared" si="25"/>
        <v>8.4158415841584164E-2</v>
      </c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P365">
        <f>MINUTE(Table9[[#This Row],[AHT]])</f>
        <v>0</v>
      </c>
      <c r="AQ365">
        <f>SECOND(Table9[[#This Row],[AHT]])</f>
        <v>0</v>
      </c>
      <c r="AT365">
        <v>158</v>
      </c>
    </row>
    <row r="366" spans="1:46">
      <c r="A366" s="27">
        <v>45016</v>
      </c>
      <c r="B366" s="306">
        <f>IF(YEAR(Table9[[#This Row],[Date]]) = 2022, WEEKNUM(Table9[[#This Row],[Date]])-13, WEEKNUM(Table9[[#This Row],[Date]])+40)</f>
        <v>53</v>
      </c>
      <c r="C366" s="35" t="s">
        <v>52</v>
      </c>
      <c r="D366" s="35" t="s">
        <v>59</v>
      </c>
      <c r="E366" s="1">
        <v>229</v>
      </c>
      <c r="F366" s="1">
        <v>208</v>
      </c>
      <c r="G366" s="87">
        <f>IFERROR((Table9[[#This Row],[Calls Off]]-E359)/E359,0)</f>
        <v>4.5662100456621002E-2</v>
      </c>
      <c r="H366" s="87">
        <f>IFERROR((Table9[[#This Row],[Calls Ans]]-F359)/F359,0)</f>
        <v>0</v>
      </c>
      <c r="I366" s="1">
        <f>Table9[[#This Row],[Calls Off]]+I364</f>
        <v>4194</v>
      </c>
      <c r="J366" s="1">
        <f>Table9[[#This Row],[Calls Ans]]+J364</f>
        <v>4040</v>
      </c>
      <c r="K366" s="1">
        <f>K364+Table9[[#This Row],[Calls Off]]</f>
        <v>112064</v>
      </c>
      <c r="L366" s="1">
        <f>L364+Table9[[#This Row],[Calls Ans]]</f>
        <v>100747</v>
      </c>
      <c r="M366" s="18">
        <v>0.76</v>
      </c>
      <c r="N366" s="18">
        <v>0.09</v>
      </c>
      <c r="O366" s="18">
        <v>0.91</v>
      </c>
      <c r="P366" s="18">
        <v>0.71</v>
      </c>
      <c r="Q366" s="22">
        <v>1</v>
      </c>
      <c r="R366" s="230">
        <v>109</v>
      </c>
      <c r="S366" s="230">
        <v>0</v>
      </c>
      <c r="T366" s="240">
        <v>3</v>
      </c>
      <c r="U366" s="245" t="str">
        <f t="shared" si="22"/>
        <v>Normal</v>
      </c>
      <c r="V366" s="245" t="str">
        <f t="shared" si="23"/>
        <v>Normal</v>
      </c>
      <c r="W366" s="87">
        <f t="shared" si="24"/>
        <v>4.5662100456621002E-2</v>
      </c>
      <c r="X366" s="87">
        <f t="shared" si="25"/>
        <v>0</v>
      </c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P366">
        <f>MINUTE(Table9[[#This Row],[AHT]])</f>
        <v>0</v>
      </c>
      <c r="AQ366">
        <f>SECOND(Table9[[#This Row],[AHT]])</f>
        <v>0</v>
      </c>
      <c r="AT366">
        <v>109</v>
      </c>
    </row>
  </sheetData>
  <mergeCells count="6">
    <mergeCell ref="AL133:AM133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N46:AN47 AL110:AL111" xr:uid="{0C60AD72-4AA5-4C15-91AB-46FAC66AFAF3}">
      <formula1>period_GUY</formula1>
    </dataValidation>
    <dataValidation type="list" allowBlank="1" showInputMessage="1" showErrorMessage="1" sqref="AO3:AO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BD36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RowHeight="14.5"/>
  <cols>
    <col min="2" max="2" width="22.90625" bestFit="1" customWidth="1"/>
    <col min="3" max="3" width="19" style="15" bestFit="1" customWidth="1"/>
    <col min="4" max="4" width="14.54296875" style="15" bestFit="1" customWidth="1"/>
    <col min="5" max="5" width="10.36328125" customWidth="1"/>
    <col min="6" max="6" width="10" customWidth="1"/>
    <col min="7" max="7" width="21" customWidth="1"/>
    <col min="8" max="8" width="19.90625" customWidth="1"/>
    <col min="9" max="9" width="21.81640625" bestFit="1" customWidth="1"/>
    <col min="10" max="10" width="18.36328125" bestFit="1" customWidth="1"/>
    <col min="11" max="11" width="21.7265625" customWidth="1"/>
    <col min="12" max="12" width="18.453125" customWidth="1"/>
    <col min="13" max="14" width="10.36328125" customWidth="1"/>
    <col min="15" max="17" width="11.36328125" customWidth="1"/>
    <col min="20" max="20" width="20.453125" bestFit="1" customWidth="1"/>
    <col min="21" max="21" width="52.36328125" style="252" bestFit="1" customWidth="1"/>
    <col min="22" max="22" width="48" style="252" bestFit="1" customWidth="1"/>
    <col min="23" max="23" width="32.7265625" style="252" bestFit="1" customWidth="1"/>
    <col min="24" max="24" width="28.36328125" style="252" bestFit="1" customWidth="1"/>
    <col min="25" max="35" width="20.453125" style="252" customWidth="1"/>
    <col min="36" max="36" width="11" bestFit="1" customWidth="1"/>
    <col min="37" max="37" width="22.08984375" bestFit="1" customWidth="1"/>
    <col min="38" max="38" width="24.1796875" bestFit="1" customWidth="1"/>
    <col min="41" max="41" width="10.6328125" bestFit="1" customWidth="1"/>
  </cols>
  <sheetData>
    <row r="1" spans="1:42">
      <c r="A1" s="25" t="s">
        <v>35</v>
      </c>
      <c r="B1" s="25" t="s">
        <v>176</v>
      </c>
      <c r="C1" s="28" t="s">
        <v>54</v>
      </c>
      <c r="D1" s="28" t="s">
        <v>58</v>
      </c>
      <c r="E1" s="28" t="s">
        <v>57</v>
      </c>
      <c r="F1" s="28" t="s">
        <v>33</v>
      </c>
      <c r="G1" s="28" t="s">
        <v>155</v>
      </c>
      <c r="H1" s="28" t="s">
        <v>156</v>
      </c>
      <c r="I1" s="28" t="s">
        <v>55</v>
      </c>
      <c r="J1" s="28" t="s">
        <v>56</v>
      </c>
      <c r="K1" s="28" t="s">
        <v>152</v>
      </c>
      <c r="L1" s="28" t="s">
        <v>151</v>
      </c>
      <c r="M1" s="28" t="s">
        <v>32</v>
      </c>
      <c r="N1" s="28" t="s">
        <v>5</v>
      </c>
      <c r="O1" s="28" t="s">
        <v>4</v>
      </c>
      <c r="P1" s="28" t="s">
        <v>178</v>
      </c>
      <c r="Q1" s="28" t="s">
        <v>7</v>
      </c>
      <c r="R1" s="25" t="s">
        <v>81</v>
      </c>
      <c r="S1" s="25" t="s">
        <v>82</v>
      </c>
      <c r="T1" s="25" t="s">
        <v>79</v>
      </c>
      <c r="U1" s="120" t="s">
        <v>157</v>
      </c>
      <c r="V1" s="120" t="s">
        <v>158</v>
      </c>
      <c r="W1" s="120" t="s">
        <v>159</v>
      </c>
      <c r="X1" s="120" t="s">
        <v>160</v>
      </c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</row>
    <row r="2" spans="1:42">
      <c r="A2" s="21">
        <v>44652</v>
      </c>
      <c r="B2" s="17">
        <f>IF(YEAR(Table9[[#This Row],[Date]]) = 2022, WEEKNUM(Table9[[#This Row],[Date]])-13, WEEKNUM(Table9[[#This Row],[Date]])+40)</f>
        <v>1</v>
      </c>
      <c r="C2" s="36" t="s">
        <v>52</v>
      </c>
      <c r="D2" s="254" t="s">
        <v>59</v>
      </c>
      <c r="E2" s="1">
        <v>649</v>
      </c>
      <c r="F2" s="1">
        <v>575</v>
      </c>
      <c r="G2" s="67">
        <v>-0.14717477003942181</v>
      </c>
      <c r="H2" s="67">
        <v>-7.407407407407407E-2</v>
      </c>
      <c r="I2" s="1">
        <v>649</v>
      </c>
      <c r="J2" s="1">
        <v>575</v>
      </c>
      <c r="K2" s="1">
        <v>649</v>
      </c>
      <c r="L2" s="1">
        <v>575</v>
      </c>
      <c r="M2" s="18">
        <v>0.65</v>
      </c>
      <c r="N2" s="18">
        <v>0.11</v>
      </c>
      <c r="O2" s="18">
        <v>0.89</v>
      </c>
      <c r="P2" s="18">
        <v>0.84</v>
      </c>
      <c r="Q2" s="18">
        <v>1</v>
      </c>
      <c r="R2" s="215">
        <v>0</v>
      </c>
      <c r="S2" s="215">
        <v>0</v>
      </c>
      <c r="T2" s="257">
        <v>0</v>
      </c>
      <c r="U2" s="258" t="str">
        <f>IF(OR(G2&lt;$AA$5,G2&gt;$AB$5), "Outlier", "Normal")</f>
        <v>Normal</v>
      </c>
      <c r="V2" s="258" t="str">
        <f>IF(OR(H2&lt;$AA$6,H2&gt;$AB$6), "Outlier", "Normal")</f>
        <v>Normal</v>
      </c>
      <c r="W2" s="264">
        <f>IF(U2="Normal",$G2,IF($G2&lt;150%, $G2, $AA$9))</f>
        <v>-0.14717477003942181</v>
      </c>
      <c r="X2" s="264">
        <f>IF(V2="Normal",$H2,IF($H2&lt;150%, $H2, $AE$9))</f>
        <v>-7.407407407407407E-2</v>
      </c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</row>
    <row r="3" spans="1:42">
      <c r="A3" s="256">
        <v>44653</v>
      </c>
      <c r="B3" s="245">
        <f>IF(YEAR(Table9[[#This Row],[Date]]) = 2022, WEEKNUM(Table9[[#This Row],[Date]])-13, WEEKNUM(Table9[[#This Row],[Date]])+40)</f>
        <v>1</v>
      </c>
      <c r="C3" s="9" t="s">
        <v>53</v>
      </c>
      <c r="D3" s="254" t="s">
        <v>59</v>
      </c>
      <c r="E3" s="1">
        <v>203</v>
      </c>
      <c r="F3" s="1">
        <v>201</v>
      </c>
      <c r="G3" s="67">
        <v>-0.40816326530612246</v>
      </c>
      <c r="H3" s="67">
        <v>0</v>
      </c>
      <c r="I3" s="1">
        <v>852</v>
      </c>
      <c r="J3" s="1">
        <v>776</v>
      </c>
      <c r="K3" s="1">
        <v>852</v>
      </c>
      <c r="L3" s="1">
        <v>776</v>
      </c>
      <c r="M3" s="18">
        <v>0.97</v>
      </c>
      <c r="N3" s="18">
        <v>0.01</v>
      </c>
      <c r="O3" s="18">
        <v>0.99</v>
      </c>
      <c r="P3" s="18">
        <v>0.28000000000000003</v>
      </c>
      <c r="Q3" s="18">
        <v>1</v>
      </c>
      <c r="R3" s="17">
        <v>0</v>
      </c>
      <c r="S3" s="17">
        <v>0</v>
      </c>
      <c r="T3" s="259">
        <v>0</v>
      </c>
      <c r="U3" s="258" t="str">
        <f t="shared" ref="U3:U66" si="0">IF(OR(G3&lt;$AA$5,G3&gt;$AB$5), "Outlier", "Normal")</f>
        <v>Normal</v>
      </c>
      <c r="V3" s="258" t="str">
        <f t="shared" ref="V3:V66" si="1">IF(OR(H3&lt;$AA$6,H3&gt;$AB$6), "Outlier", "Normal")</f>
        <v>Normal</v>
      </c>
      <c r="W3" s="264">
        <f t="shared" ref="W3:W66" si="2">IF(U3="Normal",$G3,IF($G3&lt;150%, $G3, $AA$9))</f>
        <v>-0.40816326530612246</v>
      </c>
      <c r="X3" s="264">
        <f t="shared" ref="X3:X66" si="3">IF(V3="Normal",$H3,IF($H3&lt;150%, $H3, $AE$9))</f>
        <v>0</v>
      </c>
      <c r="Y3" s="236"/>
      <c r="Z3" s="329" t="s">
        <v>161</v>
      </c>
      <c r="AA3" s="329"/>
      <c r="AB3" s="329"/>
      <c r="AC3"/>
      <c r="AD3" s="329" t="s">
        <v>162</v>
      </c>
      <c r="AE3" s="329"/>
      <c r="AF3" s="247"/>
      <c r="AG3" s="329" t="s">
        <v>163</v>
      </c>
      <c r="AH3" s="329"/>
      <c r="AI3" s="261"/>
    </row>
    <row r="4" spans="1:42">
      <c r="A4" s="31">
        <v>44654</v>
      </c>
      <c r="B4" s="108">
        <f>IF(YEAR(Table9[[#This Row],[Date]]) = 2022, WEEKNUM(Table9[[#This Row],[Date]])-13, WEEKNUM(Table9[[#This Row],[Date]])+40)</f>
        <v>2</v>
      </c>
      <c r="C4" s="36" t="s">
        <v>47</v>
      </c>
      <c r="D4" s="254" t="s">
        <v>59</v>
      </c>
      <c r="E4" s="32">
        <v>0</v>
      </c>
      <c r="F4" s="32">
        <v>0</v>
      </c>
      <c r="G4" s="66">
        <v>0</v>
      </c>
      <c r="H4" s="66">
        <v>0</v>
      </c>
      <c r="I4" s="32">
        <v>0</v>
      </c>
      <c r="J4" s="32">
        <v>0</v>
      </c>
      <c r="K4" s="32">
        <v>0</v>
      </c>
      <c r="L4" s="32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108">
        <v>0</v>
      </c>
      <c r="S4" s="108">
        <v>0</v>
      </c>
      <c r="T4" s="259">
        <v>0</v>
      </c>
      <c r="U4" s="258" t="str">
        <f t="shared" si="0"/>
        <v>Normal</v>
      </c>
      <c r="V4" s="258" t="str">
        <f t="shared" si="1"/>
        <v>Normal</v>
      </c>
      <c r="W4" s="264">
        <f t="shared" si="2"/>
        <v>0</v>
      </c>
      <c r="X4" s="264">
        <f t="shared" si="3"/>
        <v>0</v>
      </c>
      <c r="Y4" s="236"/>
      <c r="Z4" s="203" t="s">
        <v>164</v>
      </c>
      <c r="AA4" s="1" t="s">
        <v>165</v>
      </c>
      <c r="AB4" s="1" t="s">
        <v>166</v>
      </c>
      <c r="AC4"/>
      <c r="AD4" s="1" t="s">
        <v>167</v>
      </c>
      <c r="AE4" s="248">
        <f>_xlfn.QUARTILE.INC(G:G, 1)</f>
        <v>-0.12383177570093458</v>
      </c>
      <c r="AF4" s="247"/>
      <c r="AG4" s="1" t="s">
        <v>167</v>
      </c>
      <c r="AH4" s="248">
        <f>_xlfn.QUARTILE.INC(H:H, 1)</f>
        <v>-0.10878661087866109</v>
      </c>
      <c r="AI4" s="262"/>
    </row>
    <row r="5" spans="1:42">
      <c r="A5" s="21">
        <v>44655</v>
      </c>
      <c r="B5" s="17">
        <f>IF(YEAR(Table9[[#This Row],[Date]]) = 2022, WEEKNUM(Table9[[#This Row],[Date]])-13, WEEKNUM(Table9[[#This Row],[Date]])+40)</f>
        <v>2</v>
      </c>
      <c r="C5" s="9" t="s">
        <v>48</v>
      </c>
      <c r="D5" s="254" t="s">
        <v>59</v>
      </c>
      <c r="E5" s="1">
        <v>756</v>
      </c>
      <c r="F5" s="1">
        <v>636</v>
      </c>
      <c r="G5" s="67">
        <v>-9.3525179856115109E-2</v>
      </c>
      <c r="H5" s="67">
        <v>-0.1335149863760218</v>
      </c>
      <c r="I5" s="1">
        <v>1608</v>
      </c>
      <c r="J5" s="1">
        <v>1412</v>
      </c>
      <c r="K5" s="1">
        <v>1608</v>
      </c>
      <c r="L5" s="1">
        <v>1412</v>
      </c>
      <c r="M5" s="18">
        <v>0.57999999999999996</v>
      </c>
      <c r="N5" s="18">
        <v>0.16</v>
      </c>
      <c r="O5" s="18">
        <v>0.84</v>
      </c>
      <c r="P5" s="18">
        <v>0.94</v>
      </c>
      <c r="Q5" s="18">
        <v>1</v>
      </c>
      <c r="R5" s="17">
        <v>0</v>
      </c>
      <c r="S5" s="17">
        <v>0</v>
      </c>
      <c r="T5" s="259">
        <v>0</v>
      </c>
      <c r="U5" s="258" t="str">
        <f t="shared" si="0"/>
        <v>Normal</v>
      </c>
      <c r="V5" s="258" t="str">
        <f t="shared" si="1"/>
        <v>Normal</v>
      </c>
      <c r="W5" s="264">
        <f t="shared" si="2"/>
        <v>-9.3525179856115109E-2</v>
      </c>
      <c r="X5" s="264">
        <f t="shared" si="3"/>
        <v>-0.1335149863760218</v>
      </c>
      <c r="Y5" s="236"/>
      <c r="Z5" s="203" t="s">
        <v>168</v>
      </c>
      <c r="AA5" s="19">
        <f>AE4-1.5*AE6</f>
        <v>-0.44305401552352286</v>
      </c>
      <c r="AB5" s="19">
        <f>AE5+1.5*AE6</f>
        <v>0.40820529067004591</v>
      </c>
      <c r="AC5"/>
      <c r="AD5" s="1" t="s">
        <v>169</v>
      </c>
      <c r="AE5" s="248">
        <f>_xlfn.QUARTILE.INC(G:G, 3)</f>
        <v>8.8983050847457626E-2</v>
      </c>
      <c r="AF5" s="247"/>
      <c r="AG5" s="1" t="s">
        <v>169</v>
      </c>
      <c r="AH5" s="248">
        <f>_xlfn.QUARTILE.INC(H:H, 3)</f>
        <v>8.2352941176470587E-2</v>
      </c>
      <c r="AI5" s="262"/>
    </row>
    <row r="6" spans="1:42">
      <c r="A6" s="31">
        <v>44656</v>
      </c>
      <c r="B6" s="108">
        <f>IF(YEAR(Table9[[#This Row],[Date]]) = 2022, WEEKNUM(Table9[[#This Row],[Date]])-13, WEEKNUM(Table9[[#This Row],[Date]])+40)</f>
        <v>2</v>
      </c>
      <c r="C6" s="36" t="s">
        <v>49</v>
      </c>
      <c r="D6" s="254" t="s">
        <v>59</v>
      </c>
      <c r="E6" s="32">
        <v>743</v>
      </c>
      <c r="F6" s="32">
        <v>632</v>
      </c>
      <c r="G6" s="66">
        <v>-5.3547523427041497E-3</v>
      </c>
      <c r="H6" s="66">
        <v>-1.5576323987538941E-2</v>
      </c>
      <c r="I6" s="32">
        <v>2351</v>
      </c>
      <c r="J6" s="32">
        <v>2044</v>
      </c>
      <c r="K6" s="32">
        <v>2351</v>
      </c>
      <c r="L6" s="32">
        <v>2044</v>
      </c>
      <c r="M6" s="37">
        <v>0.59</v>
      </c>
      <c r="N6" s="37">
        <v>0.15</v>
      </c>
      <c r="O6" s="37">
        <v>0.85</v>
      </c>
      <c r="P6" s="37">
        <v>0.92</v>
      </c>
      <c r="Q6" s="37">
        <v>1</v>
      </c>
      <c r="R6" s="108">
        <v>0</v>
      </c>
      <c r="S6" s="108">
        <v>0</v>
      </c>
      <c r="T6" s="259">
        <v>0</v>
      </c>
      <c r="U6" s="258" t="str">
        <f t="shared" si="0"/>
        <v>Normal</v>
      </c>
      <c r="V6" s="258" t="str">
        <f t="shared" si="1"/>
        <v>Normal</v>
      </c>
      <c r="W6" s="264">
        <f t="shared" si="2"/>
        <v>-5.3547523427041497E-3</v>
      </c>
      <c r="X6" s="264">
        <f t="shared" si="3"/>
        <v>-1.5576323987538941E-2</v>
      </c>
      <c r="Y6" s="236"/>
      <c r="Z6" s="203" t="s">
        <v>33</v>
      </c>
      <c r="AA6" s="19">
        <f>AH4-1.5*AH6</f>
        <v>-0.3954959389613586</v>
      </c>
      <c r="AB6" s="19">
        <f>AH5+1.5*AH6</f>
        <v>0.36906226925916807</v>
      </c>
      <c r="AC6"/>
      <c r="AD6" s="68" t="s">
        <v>170</v>
      </c>
      <c r="AE6" s="148">
        <f>AE5-AE4</f>
        <v>0.21281482654839221</v>
      </c>
      <c r="AF6" s="247"/>
      <c r="AG6" s="68" t="s">
        <v>170</v>
      </c>
      <c r="AH6" s="148">
        <f>AH5-AH4</f>
        <v>0.19113955205513167</v>
      </c>
      <c r="AI6" s="263"/>
    </row>
    <row r="7" spans="1:42">
      <c r="A7" s="21">
        <v>44657</v>
      </c>
      <c r="B7" s="17">
        <f>IF(YEAR(Table9[[#This Row],[Date]]) = 2022, WEEKNUM(Table9[[#This Row],[Date]])-13, WEEKNUM(Table9[[#This Row],[Date]])+40)</f>
        <v>2</v>
      </c>
      <c r="C7" s="9" t="s">
        <v>50</v>
      </c>
      <c r="D7" s="254" t="s">
        <v>59</v>
      </c>
      <c r="E7" s="1">
        <v>646</v>
      </c>
      <c r="F7" s="1">
        <v>553</v>
      </c>
      <c r="G7" s="67">
        <v>-0.13055181695827725</v>
      </c>
      <c r="H7" s="67">
        <v>-0.12776025236593061</v>
      </c>
      <c r="I7" s="1">
        <v>2997</v>
      </c>
      <c r="J7" s="1">
        <v>2597</v>
      </c>
      <c r="K7" s="1">
        <v>2997</v>
      </c>
      <c r="L7" s="1">
        <v>2597</v>
      </c>
      <c r="M7" s="18">
        <v>0.67</v>
      </c>
      <c r="N7" s="18">
        <v>0.14000000000000001</v>
      </c>
      <c r="O7" s="18">
        <v>0.86</v>
      </c>
      <c r="P7" s="18">
        <v>0.81</v>
      </c>
      <c r="Q7" s="18">
        <v>1</v>
      </c>
      <c r="R7" s="17">
        <v>0</v>
      </c>
      <c r="S7" s="17">
        <v>0</v>
      </c>
      <c r="T7" s="259">
        <v>0</v>
      </c>
      <c r="U7" s="258" t="str">
        <f t="shared" si="0"/>
        <v>Normal</v>
      </c>
      <c r="V7" s="258" t="str">
        <f t="shared" si="1"/>
        <v>Normal</v>
      </c>
      <c r="W7" s="264">
        <f t="shared" si="2"/>
        <v>-0.13055181695827725</v>
      </c>
      <c r="X7" s="264">
        <f t="shared" si="3"/>
        <v>-0.12776025236593061</v>
      </c>
      <c r="Y7" s="236"/>
      <c r="Z7"/>
      <c r="AA7"/>
      <c r="AB7"/>
      <c r="AC7"/>
      <c r="AD7"/>
      <c r="AE7"/>
      <c r="AF7" s="247"/>
      <c r="AG7" s="247"/>
      <c r="AH7" s="247"/>
      <c r="AI7" s="247"/>
      <c r="AJ7" s="6" t="s">
        <v>69</v>
      </c>
      <c r="AK7" s="7" t="s">
        <v>65</v>
      </c>
      <c r="AL7" s="99" t="s">
        <v>66</v>
      </c>
      <c r="AO7" t="s">
        <v>67</v>
      </c>
      <c r="AP7" s="16">
        <v>44655</v>
      </c>
    </row>
    <row r="8" spans="1:42">
      <c r="A8" s="31">
        <v>44658</v>
      </c>
      <c r="B8" s="108">
        <f>IF(YEAR(Table9[[#This Row],[Date]]) = 2022, WEEKNUM(Table9[[#This Row],[Date]])-13, WEEKNUM(Table9[[#This Row],[Date]])+40)</f>
        <v>2</v>
      </c>
      <c r="C8" s="36" t="s">
        <v>51</v>
      </c>
      <c r="D8" s="254" t="s">
        <v>59</v>
      </c>
      <c r="E8" s="32">
        <v>587</v>
      </c>
      <c r="F8" s="32">
        <v>548</v>
      </c>
      <c r="G8" s="66">
        <v>-0.22148541114058357</v>
      </c>
      <c r="H8" s="66">
        <v>-0.15170278637770898</v>
      </c>
      <c r="I8" s="32">
        <v>3584</v>
      </c>
      <c r="J8" s="32">
        <v>3145</v>
      </c>
      <c r="K8" s="32">
        <v>3584</v>
      </c>
      <c r="L8" s="32">
        <v>3145</v>
      </c>
      <c r="M8" s="37">
        <v>0.77</v>
      </c>
      <c r="N8" s="37">
        <v>7.0000000000000007E-2</v>
      </c>
      <c r="O8" s="37">
        <v>0.93</v>
      </c>
      <c r="P8" s="37">
        <v>0.65</v>
      </c>
      <c r="Q8" s="37">
        <v>1</v>
      </c>
      <c r="R8" s="108">
        <v>0</v>
      </c>
      <c r="S8" s="108">
        <v>0</v>
      </c>
      <c r="T8" s="259">
        <v>0</v>
      </c>
      <c r="U8" s="258" t="str">
        <f t="shared" si="0"/>
        <v>Normal</v>
      </c>
      <c r="V8" s="258" t="str">
        <f t="shared" si="1"/>
        <v>Normal</v>
      </c>
      <c r="W8" s="264">
        <f t="shared" si="2"/>
        <v>-0.22148541114058357</v>
      </c>
      <c r="X8" s="264">
        <f t="shared" si="3"/>
        <v>-0.15170278637770898</v>
      </c>
      <c r="Y8" s="236"/>
      <c r="Z8" s="325" t="s">
        <v>171</v>
      </c>
      <c r="AA8" s="327"/>
      <c r="AB8"/>
      <c r="AC8"/>
      <c r="AD8" s="325" t="s">
        <v>172</v>
      </c>
      <c r="AE8" s="327"/>
      <c r="AF8" s="247"/>
      <c r="AG8" s="247"/>
      <c r="AH8" s="247"/>
      <c r="AI8" s="247"/>
      <c r="AJ8" s="27">
        <v>44655</v>
      </c>
      <c r="AK8" s="1" cm="1">
        <f t="array" ref="AK8">SUMIFS(calls_off_OECS,period_OECS,"&gt;="&amp;AJ8,period_OECS,"&lt;"&amp;AJ9)</f>
        <v>3463</v>
      </c>
      <c r="AL8" s="100" cm="1">
        <f t="array" ref="AL8">SUMIFS(calls_ans_OECS,period_OECS,"&gt;="&amp;AJ8,period_OECS,"&lt;"&amp;AJ9)</f>
        <v>3020</v>
      </c>
      <c r="AO8" t="s">
        <v>68</v>
      </c>
      <c r="AP8" s="16">
        <v>45012</v>
      </c>
    </row>
    <row r="9" spans="1:42">
      <c r="A9" s="21">
        <v>44659</v>
      </c>
      <c r="B9" s="17">
        <f>IF(YEAR(Table9[[#This Row],[Date]]) = 2022, WEEKNUM(Table9[[#This Row],[Date]])-13, WEEKNUM(Table9[[#This Row],[Date]])+40)</f>
        <v>2</v>
      </c>
      <c r="C9" s="9" t="s">
        <v>52</v>
      </c>
      <c r="D9" s="254" t="s">
        <v>59</v>
      </c>
      <c r="E9" s="1">
        <v>526</v>
      </c>
      <c r="F9" s="1">
        <v>489</v>
      </c>
      <c r="G9" s="67">
        <v>-0.18952234206471494</v>
      </c>
      <c r="H9" s="67">
        <v>-0.14956521739130435</v>
      </c>
      <c r="I9" s="1">
        <v>4110</v>
      </c>
      <c r="J9" s="1">
        <v>3634</v>
      </c>
      <c r="K9" s="1">
        <v>4110</v>
      </c>
      <c r="L9" s="1">
        <v>3634</v>
      </c>
      <c r="M9" s="18">
        <v>0.8</v>
      </c>
      <c r="N9" s="18">
        <v>7.0000000000000007E-2</v>
      </c>
      <c r="O9" s="18">
        <v>0.93</v>
      </c>
      <c r="P9" s="18">
        <v>0.76</v>
      </c>
      <c r="Q9" s="18">
        <v>1</v>
      </c>
      <c r="R9" s="17">
        <v>0</v>
      </c>
      <c r="S9" s="17">
        <v>0</v>
      </c>
      <c r="T9" s="259">
        <v>0</v>
      </c>
      <c r="U9" s="258" t="str">
        <f t="shared" si="0"/>
        <v>Normal</v>
      </c>
      <c r="V9" s="258" t="str">
        <f t="shared" si="1"/>
        <v>Normal</v>
      </c>
      <c r="W9" s="264">
        <f t="shared" si="2"/>
        <v>-0.18952234206471494</v>
      </c>
      <c r="X9" s="264">
        <f t="shared" si="3"/>
        <v>-0.14956521739130435</v>
      </c>
      <c r="Y9" s="236"/>
      <c r="Z9" s="1" t="s">
        <v>173</v>
      </c>
      <c r="AA9" s="67">
        <f>AVERAGEIF(G2:G367,"&lt;&gt;0")</f>
        <v>3.8866598404146913E-2</v>
      </c>
      <c r="AB9"/>
      <c r="AC9"/>
      <c r="AD9" s="1" t="s">
        <v>173</v>
      </c>
      <c r="AE9" s="67">
        <f>AVERAGEIF(H2:H367, "&lt;&gt;0")</f>
        <v>3.6987410590264454E-2</v>
      </c>
      <c r="AF9" s="247"/>
      <c r="AG9" s="247"/>
      <c r="AH9" s="247"/>
      <c r="AI9" s="247"/>
      <c r="AJ9" s="27">
        <f>AJ8+7</f>
        <v>44662</v>
      </c>
      <c r="AK9" s="1" cm="1">
        <f t="array" ref="AK9">SUMIFS(calls_off_OECS,period_OECS,"&gt;="&amp;AJ9,period_OECS,"&lt;"&amp;AJ10)</f>
        <v>2668</v>
      </c>
      <c r="AL9" s="100" cm="1">
        <f t="array" ref="AL9">SUMIFS(calls_ans_OECS,period_OECS,"&gt;="&amp;AJ9,period_OECS,"&lt;"&amp;AJ10)</f>
        <v>2427</v>
      </c>
    </row>
    <row r="10" spans="1:42">
      <c r="A10" s="31">
        <v>44660</v>
      </c>
      <c r="B10" s="108">
        <f>IF(YEAR(Table9[[#This Row],[Date]]) = 2022, WEEKNUM(Table9[[#This Row],[Date]])-13, WEEKNUM(Table9[[#This Row],[Date]])+40)</f>
        <v>2</v>
      </c>
      <c r="C10" s="36" t="s">
        <v>53</v>
      </c>
      <c r="D10" s="254" t="s">
        <v>59</v>
      </c>
      <c r="E10" s="32">
        <v>205</v>
      </c>
      <c r="F10" s="32">
        <v>162</v>
      </c>
      <c r="G10" s="66">
        <v>9.852216748768473E-3</v>
      </c>
      <c r="H10" s="66">
        <v>-0.19402985074626866</v>
      </c>
      <c r="I10" s="32">
        <v>4315</v>
      </c>
      <c r="J10" s="32">
        <v>3796</v>
      </c>
      <c r="K10" s="32">
        <v>4315</v>
      </c>
      <c r="L10" s="32">
        <v>3796</v>
      </c>
      <c r="M10" s="37">
        <v>0.52</v>
      </c>
      <c r="N10" s="37">
        <v>0.21</v>
      </c>
      <c r="O10" s="37">
        <v>0.79</v>
      </c>
      <c r="P10" s="37">
        <v>0.54</v>
      </c>
      <c r="Q10" s="37">
        <v>1</v>
      </c>
      <c r="R10" s="108">
        <v>0</v>
      </c>
      <c r="S10" s="108">
        <v>0</v>
      </c>
      <c r="T10" s="259">
        <v>0</v>
      </c>
      <c r="U10" s="258" t="str">
        <f t="shared" si="0"/>
        <v>Normal</v>
      </c>
      <c r="V10" s="258" t="str">
        <f t="shared" si="1"/>
        <v>Normal</v>
      </c>
      <c r="W10" s="264">
        <f t="shared" si="2"/>
        <v>9.852216748768473E-3</v>
      </c>
      <c r="X10" s="264">
        <f t="shared" si="3"/>
        <v>-0.19402985074626866</v>
      </c>
      <c r="Y10" s="236"/>
      <c r="Z10" s="1" t="s">
        <v>174</v>
      </c>
      <c r="AA10" s="19">
        <f>MEDIAN(G2:G367)</f>
        <v>0</v>
      </c>
      <c r="AB10"/>
      <c r="AC10"/>
      <c r="AD10" s="1" t="s">
        <v>174</v>
      </c>
      <c r="AE10" s="19">
        <f>MEDIAN(H2:H367)</f>
        <v>0</v>
      </c>
      <c r="AF10" s="247"/>
      <c r="AG10" s="247"/>
      <c r="AH10" s="247"/>
      <c r="AI10" s="247"/>
      <c r="AJ10" s="27">
        <f t="shared" ref="AJ10:AJ60" si="4">AJ9+7</f>
        <v>44669</v>
      </c>
      <c r="AK10" s="1" cm="1">
        <f t="array" ref="AK10">SUMIFS(calls_off_OECS,period_OECS,"&gt;="&amp;AJ10,period_OECS,"&lt;"&amp;AJ11)</f>
        <v>2697</v>
      </c>
      <c r="AL10" s="100" cm="1">
        <f t="array" ref="AL10">SUMIFS(calls_ans_OECS,period_OECS,"&gt;="&amp;AJ10,period_OECS,"&lt;"&amp;AJ11)</f>
        <v>2354</v>
      </c>
    </row>
    <row r="11" spans="1:42">
      <c r="A11" s="194">
        <v>44661</v>
      </c>
      <c r="B11" s="309">
        <f>IF(YEAR(Table9[[#This Row],[Date]]) = 2022, WEEKNUM(Table9[[#This Row],[Date]])-13, WEEKNUM(Table9[[#This Row],[Date]])+40)</f>
        <v>3</v>
      </c>
      <c r="C11" s="9" t="s">
        <v>47</v>
      </c>
      <c r="D11" s="254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7">
        <v>0</v>
      </c>
      <c r="S11" s="17">
        <v>0</v>
      </c>
      <c r="T11" s="259">
        <v>0</v>
      </c>
      <c r="U11" s="258" t="str">
        <f t="shared" si="0"/>
        <v>Normal</v>
      </c>
      <c r="V11" s="258" t="str">
        <f t="shared" si="1"/>
        <v>Normal</v>
      </c>
      <c r="W11" s="264">
        <f t="shared" si="2"/>
        <v>0</v>
      </c>
      <c r="X11" s="264">
        <f t="shared" si="3"/>
        <v>0</v>
      </c>
      <c r="Y11" s="236"/>
      <c r="Z11" s="1" t="s">
        <v>175</v>
      </c>
      <c r="AA11" s="17">
        <f>_xlfn.MODE.SNGL(F2:F123)</f>
        <v>0</v>
      </c>
      <c r="AB11"/>
      <c r="AC11"/>
      <c r="AD11" s="1" t="s">
        <v>175</v>
      </c>
      <c r="AE11" s="1">
        <f>_xlfn.MODE.SNGL(H2:H367)</f>
        <v>0</v>
      </c>
      <c r="AF11" s="247"/>
      <c r="AG11" s="247"/>
      <c r="AH11" s="247"/>
      <c r="AI11" s="247"/>
      <c r="AJ11" s="27">
        <f t="shared" si="4"/>
        <v>44676</v>
      </c>
      <c r="AK11" s="1" cm="1">
        <f t="array" ref="AK11">SUMIFS(calls_off_OECS,period_OECS,"&gt;="&amp;AJ11,period_OECS,"&lt;"&amp;AJ12)</f>
        <v>3294</v>
      </c>
      <c r="AL11" s="100" cm="1">
        <f t="array" ref="AL11">SUMIFS(calls_ans_OECS,period_OECS,"&gt;="&amp;AJ11,period_OECS,"&lt;"&amp;AJ12)</f>
        <v>3059</v>
      </c>
    </row>
    <row r="12" spans="1:42">
      <c r="A12" s="195">
        <v>44662</v>
      </c>
      <c r="B12" s="310">
        <f>IF(YEAR(Table9[[#This Row],[Date]]) = 2022, WEEKNUM(Table9[[#This Row],[Date]])-13, WEEKNUM(Table9[[#This Row],[Date]])+40)</f>
        <v>3</v>
      </c>
      <c r="C12" s="36" t="s">
        <v>48</v>
      </c>
      <c r="D12" s="254" t="s">
        <v>59</v>
      </c>
      <c r="E12" s="32">
        <v>711</v>
      </c>
      <c r="F12" s="32">
        <v>652</v>
      </c>
      <c r="G12" s="66">
        <v>-5.9523809523809521E-2</v>
      </c>
      <c r="H12" s="66">
        <v>2.5157232704402517E-2</v>
      </c>
      <c r="I12" s="32">
        <v>5026</v>
      </c>
      <c r="J12" s="32">
        <v>4448</v>
      </c>
      <c r="K12" s="32">
        <v>5026</v>
      </c>
      <c r="L12" s="32">
        <v>4448</v>
      </c>
      <c r="M12" s="37">
        <v>0.76</v>
      </c>
      <c r="N12" s="37">
        <v>0.08</v>
      </c>
      <c r="O12" s="37">
        <v>0.92</v>
      </c>
      <c r="P12" s="37">
        <v>0.77</v>
      </c>
      <c r="Q12" s="37">
        <v>1</v>
      </c>
      <c r="R12" s="108">
        <v>0</v>
      </c>
      <c r="S12" s="108">
        <v>0</v>
      </c>
      <c r="T12" s="259">
        <v>0</v>
      </c>
      <c r="U12" s="258" t="str">
        <f t="shared" si="0"/>
        <v>Normal</v>
      </c>
      <c r="V12" s="258" t="str">
        <f t="shared" si="1"/>
        <v>Normal</v>
      </c>
      <c r="W12" s="264">
        <f t="shared" si="2"/>
        <v>-5.9523809523809521E-2</v>
      </c>
      <c r="X12" s="264">
        <f t="shared" si="3"/>
        <v>2.5157232704402517E-2</v>
      </c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7">
        <f t="shared" si="4"/>
        <v>44683</v>
      </c>
      <c r="AK12" s="1" cm="1">
        <f t="array" ref="AK12">SUMIFS(calls_off_OECS,period_OECS,"&gt;="&amp;AJ12,period_OECS,"&lt;"&amp;AJ13)</f>
        <v>3343</v>
      </c>
      <c r="AL12" s="100" cm="1">
        <f t="array" ref="AL12">SUMIFS(calls_ans_OECS,period_OECS,"&gt;="&amp;AJ12,period_OECS,"&lt;"&amp;AJ13)</f>
        <v>2944</v>
      </c>
    </row>
    <row r="13" spans="1:42">
      <c r="A13" s="194">
        <v>44663</v>
      </c>
      <c r="B13" s="309">
        <f>IF(YEAR(Table9[[#This Row],[Date]]) = 2022, WEEKNUM(Table9[[#This Row],[Date]])-13, WEEKNUM(Table9[[#This Row],[Date]])+40)</f>
        <v>3</v>
      </c>
      <c r="C13" s="9" t="s">
        <v>49</v>
      </c>
      <c r="D13" s="254" t="s">
        <v>59</v>
      </c>
      <c r="E13" s="1">
        <v>600</v>
      </c>
      <c r="F13" s="1">
        <v>565</v>
      </c>
      <c r="G13" s="67">
        <v>-0.19246298788694483</v>
      </c>
      <c r="H13" s="67">
        <v>-0.1060126582278481</v>
      </c>
      <c r="I13" s="1">
        <v>5626</v>
      </c>
      <c r="J13" s="1">
        <v>5013</v>
      </c>
      <c r="K13" s="1">
        <v>5626</v>
      </c>
      <c r="L13" s="1">
        <v>5013</v>
      </c>
      <c r="M13" s="18">
        <v>0.79</v>
      </c>
      <c r="N13" s="18">
        <v>0.06</v>
      </c>
      <c r="O13" s="18">
        <v>0.94</v>
      </c>
      <c r="P13" s="18">
        <v>0.78</v>
      </c>
      <c r="Q13" s="18">
        <v>1</v>
      </c>
      <c r="R13" s="17">
        <v>0</v>
      </c>
      <c r="S13" s="17">
        <v>0</v>
      </c>
      <c r="T13" s="259">
        <v>0</v>
      </c>
      <c r="U13" s="258" t="str">
        <f t="shared" si="0"/>
        <v>Normal</v>
      </c>
      <c r="V13" s="258" t="str">
        <f t="shared" si="1"/>
        <v>Normal</v>
      </c>
      <c r="W13" s="264">
        <f t="shared" si="2"/>
        <v>-0.19246298788694483</v>
      </c>
      <c r="X13" s="264">
        <f t="shared" si="3"/>
        <v>-0.1060126582278481</v>
      </c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J13" s="27">
        <f t="shared" si="4"/>
        <v>44690</v>
      </c>
      <c r="AK13" s="1" cm="1">
        <f t="array" ref="AK13">SUMIFS(calls_off_OECS,period_OECS,"&gt;="&amp;AJ13,period_OECS,"&lt;"&amp;AJ14)</f>
        <v>3168</v>
      </c>
      <c r="AL13" s="100" cm="1">
        <f t="array" ref="AL13">SUMIFS(calls_ans_OECS,period_OECS,"&gt;="&amp;AJ13,period_OECS,"&lt;"&amp;AJ14)</f>
        <v>2970</v>
      </c>
    </row>
    <row r="14" spans="1:42">
      <c r="A14" s="195">
        <v>44664</v>
      </c>
      <c r="B14" s="310">
        <f>IF(YEAR(Table9[[#This Row],[Date]]) = 2022, WEEKNUM(Table9[[#This Row],[Date]])-13, WEEKNUM(Table9[[#This Row],[Date]])+40)</f>
        <v>3</v>
      </c>
      <c r="C14" s="36" t="s">
        <v>50</v>
      </c>
      <c r="D14" s="254" t="s">
        <v>59</v>
      </c>
      <c r="E14" s="32">
        <v>596</v>
      </c>
      <c r="F14" s="32">
        <v>547</v>
      </c>
      <c r="G14" s="66">
        <v>-7.7399380804953566E-2</v>
      </c>
      <c r="H14" s="66">
        <v>-1.0849909584086799E-2</v>
      </c>
      <c r="I14" s="32">
        <v>6222</v>
      </c>
      <c r="J14" s="32">
        <v>5560</v>
      </c>
      <c r="K14" s="32">
        <v>6222</v>
      </c>
      <c r="L14" s="32">
        <v>5560</v>
      </c>
      <c r="M14" s="37">
        <v>0.78</v>
      </c>
      <c r="N14" s="37">
        <v>0.08</v>
      </c>
      <c r="O14" s="37">
        <v>0.92</v>
      </c>
      <c r="P14" s="37">
        <v>0.77</v>
      </c>
      <c r="Q14" s="37">
        <v>1</v>
      </c>
      <c r="R14" s="108">
        <v>0</v>
      </c>
      <c r="S14" s="108">
        <v>0</v>
      </c>
      <c r="T14" s="259">
        <v>0</v>
      </c>
      <c r="U14" s="258" t="str">
        <f t="shared" si="0"/>
        <v>Normal</v>
      </c>
      <c r="V14" s="258" t="str">
        <f t="shared" si="1"/>
        <v>Normal</v>
      </c>
      <c r="W14" s="264">
        <f t="shared" si="2"/>
        <v>-7.7399380804953566E-2</v>
      </c>
      <c r="X14" s="264">
        <f t="shared" si="3"/>
        <v>-1.0849909584086799E-2</v>
      </c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J14" s="27">
        <f t="shared" si="4"/>
        <v>44697</v>
      </c>
      <c r="AK14" s="1" cm="1">
        <f t="array" ref="AK14">SUMIFS(calls_off_OECS,period_OECS,"&gt;="&amp;AJ14,period_OECS,"&lt;"&amp;AJ15)</f>
        <v>2975</v>
      </c>
      <c r="AL14" s="100" cm="1">
        <f t="array" ref="AL14">SUMIFS(calls_ans_OECS,period_OECS,"&gt;="&amp;AJ14,period_OECS,"&lt;"&amp;AJ15)</f>
        <v>2807</v>
      </c>
    </row>
    <row r="15" spans="1:42">
      <c r="A15" s="194">
        <v>44665</v>
      </c>
      <c r="B15" s="309">
        <f>IF(YEAR(Table9[[#This Row],[Date]]) = 2022, WEEKNUM(Table9[[#This Row],[Date]])-13, WEEKNUM(Table9[[#This Row],[Date]])+40)</f>
        <v>3</v>
      </c>
      <c r="C15" s="9" t="s">
        <v>51</v>
      </c>
      <c r="D15" s="254" t="s">
        <v>59</v>
      </c>
      <c r="E15" s="1">
        <v>548</v>
      </c>
      <c r="F15" s="1">
        <v>482</v>
      </c>
      <c r="G15" s="67">
        <v>-6.6439522998296419E-2</v>
      </c>
      <c r="H15" s="67">
        <v>-0.12043795620437957</v>
      </c>
      <c r="I15" s="1">
        <v>6770</v>
      </c>
      <c r="J15" s="1">
        <v>6042</v>
      </c>
      <c r="K15" s="1">
        <v>6770</v>
      </c>
      <c r="L15" s="1">
        <v>6042</v>
      </c>
      <c r="M15" s="18">
        <v>0.75</v>
      </c>
      <c r="N15" s="18">
        <v>0.12</v>
      </c>
      <c r="O15" s="18">
        <v>0.88</v>
      </c>
      <c r="P15" s="18">
        <v>0.68</v>
      </c>
      <c r="Q15" s="18">
        <v>1</v>
      </c>
      <c r="R15" s="17">
        <v>0</v>
      </c>
      <c r="S15" s="17">
        <v>0</v>
      </c>
      <c r="T15" s="259">
        <v>0</v>
      </c>
      <c r="U15" s="258" t="str">
        <f t="shared" si="0"/>
        <v>Normal</v>
      </c>
      <c r="V15" s="258" t="str">
        <f t="shared" si="1"/>
        <v>Normal</v>
      </c>
      <c r="W15" s="264">
        <f t="shared" si="2"/>
        <v>-6.6439522998296419E-2</v>
      </c>
      <c r="X15" s="264">
        <f t="shared" si="3"/>
        <v>-0.12043795620437957</v>
      </c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7">
        <f>AJ14+7</f>
        <v>44704</v>
      </c>
      <c r="AK15" s="1" cm="1">
        <f t="array" ref="AK15">SUMIFS(calls_off_OECS,period_OECS,"&gt;="&amp;AJ15,period_OECS,"&lt;"&amp;AJ16)</f>
        <v>2843</v>
      </c>
      <c r="AL15" s="100" cm="1">
        <f t="array" ref="AL15">SUMIFS(calls_ans_OECS,period_OECS,"&gt;="&amp;AJ15,period_OECS,"&lt;"&amp;AJ16)</f>
        <v>2673</v>
      </c>
    </row>
    <row r="16" spans="1:42">
      <c r="A16" s="195">
        <v>44666</v>
      </c>
      <c r="B16" s="310">
        <f>IF(YEAR(Table9[[#This Row],[Date]]) = 2022, WEEKNUM(Table9[[#This Row],[Date]])-13, WEEKNUM(Table9[[#This Row],[Date]])+40)</f>
        <v>3</v>
      </c>
      <c r="C16" s="36" t="s">
        <v>52</v>
      </c>
      <c r="D16" s="254" t="s">
        <v>59</v>
      </c>
      <c r="E16" s="32">
        <v>0</v>
      </c>
      <c r="F16" s="32">
        <v>0</v>
      </c>
      <c r="G16" s="66">
        <v>0</v>
      </c>
      <c r="H16" s="66">
        <v>0</v>
      </c>
      <c r="I16" s="32">
        <v>0</v>
      </c>
      <c r="J16" s="32">
        <v>0</v>
      </c>
      <c r="K16" s="32">
        <v>0</v>
      </c>
      <c r="L16" s="32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108">
        <v>0</v>
      </c>
      <c r="S16" s="108">
        <v>0</v>
      </c>
      <c r="T16" s="259">
        <v>0</v>
      </c>
      <c r="U16" s="258" t="str">
        <f t="shared" si="0"/>
        <v>Normal</v>
      </c>
      <c r="V16" s="258" t="str">
        <f t="shared" si="1"/>
        <v>Normal</v>
      </c>
      <c r="W16" s="264">
        <f t="shared" si="2"/>
        <v>0</v>
      </c>
      <c r="X16" s="264">
        <f t="shared" si="3"/>
        <v>0</v>
      </c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7">
        <f t="shared" si="4"/>
        <v>44711</v>
      </c>
      <c r="AK16" s="1" cm="1">
        <f t="array" ref="AK16">SUMIFS(calls_off_OECS,period_OECS,"&gt;="&amp;AJ16,period_OECS,"&lt;"&amp;AJ17)</f>
        <v>3030</v>
      </c>
      <c r="AL16" s="100" cm="1">
        <f t="array" ref="AL16">SUMIFS(calls_ans_OECS,period_OECS,"&gt;="&amp;AJ16,period_OECS,"&lt;"&amp;AJ17)</f>
        <v>2827</v>
      </c>
    </row>
    <row r="17" spans="1:38">
      <c r="A17" s="194">
        <v>44667</v>
      </c>
      <c r="B17" s="309">
        <f>IF(YEAR(Table9[[#This Row],[Date]]) = 2022, WEEKNUM(Table9[[#This Row],[Date]])-13, WEEKNUM(Table9[[#This Row],[Date]])+40)</f>
        <v>3</v>
      </c>
      <c r="C17" s="9" t="s">
        <v>53</v>
      </c>
      <c r="D17" s="254" t="s">
        <v>59</v>
      </c>
      <c r="E17" s="1">
        <v>213</v>
      </c>
      <c r="F17" s="1">
        <v>181</v>
      </c>
      <c r="G17" s="67">
        <v>3.9024390243902439E-2</v>
      </c>
      <c r="H17" s="67">
        <v>0.11728395061728394</v>
      </c>
      <c r="I17" s="1">
        <v>6983</v>
      </c>
      <c r="J17" s="1">
        <v>6223</v>
      </c>
      <c r="K17" s="1">
        <v>6983</v>
      </c>
      <c r="L17" s="1">
        <v>6223</v>
      </c>
      <c r="M17" s="18">
        <v>0.79</v>
      </c>
      <c r="N17" s="18">
        <v>0.15</v>
      </c>
      <c r="O17" s="18">
        <v>0.85</v>
      </c>
      <c r="P17" s="18">
        <v>0.54</v>
      </c>
      <c r="Q17" s="18">
        <v>1</v>
      </c>
      <c r="R17" s="17">
        <v>0</v>
      </c>
      <c r="S17" s="17">
        <v>0</v>
      </c>
      <c r="T17" s="259">
        <v>0</v>
      </c>
      <c r="U17" s="258" t="str">
        <f t="shared" si="0"/>
        <v>Normal</v>
      </c>
      <c r="V17" s="258" t="str">
        <f t="shared" si="1"/>
        <v>Normal</v>
      </c>
      <c r="W17" s="264">
        <f t="shared" si="2"/>
        <v>3.9024390243902439E-2</v>
      </c>
      <c r="X17" s="264">
        <f t="shared" si="3"/>
        <v>0.11728395061728394</v>
      </c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7">
        <f t="shared" si="4"/>
        <v>44718</v>
      </c>
      <c r="AK17" s="1" cm="1">
        <f t="array" ref="AK17">SUMIFS(calls_off_OECS,period_OECS,"&gt;="&amp;AJ17,period_OECS,"&lt;"&amp;AJ18)</f>
        <v>2680</v>
      </c>
      <c r="AL17" s="100" cm="1">
        <f t="array" ref="AL17">SUMIFS(calls_ans_OECS,period_OECS,"&gt;="&amp;AJ17,period_OECS,"&lt;"&amp;AJ18)</f>
        <v>2468</v>
      </c>
    </row>
    <row r="18" spans="1:38">
      <c r="A18" s="195">
        <v>44668</v>
      </c>
      <c r="B18" s="310">
        <f>IF(YEAR(Table9[[#This Row],[Date]]) = 2022, WEEKNUM(Table9[[#This Row],[Date]])-13, WEEKNUM(Table9[[#This Row],[Date]])+40)</f>
        <v>4</v>
      </c>
      <c r="C18" s="36" t="s">
        <v>47</v>
      </c>
      <c r="D18" s="254" t="s">
        <v>59</v>
      </c>
      <c r="E18" s="32">
        <v>0</v>
      </c>
      <c r="F18" s="32">
        <v>0</v>
      </c>
      <c r="G18" s="66">
        <v>0</v>
      </c>
      <c r="H18" s="66">
        <v>0</v>
      </c>
      <c r="I18" s="32">
        <v>0</v>
      </c>
      <c r="J18" s="32">
        <v>0</v>
      </c>
      <c r="K18" s="32">
        <v>0</v>
      </c>
      <c r="L18" s="32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108">
        <v>0</v>
      </c>
      <c r="S18" s="108">
        <v>0</v>
      </c>
      <c r="T18" s="259">
        <v>0</v>
      </c>
      <c r="U18" s="258" t="str">
        <f t="shared" si="0"/>
        <v>Normal</v>
      </c>
      <c r="V18" s="258" t="str">
        <f t="shared" si="1"/>
        <v>Normal</v>
      </c>
      <c r="W18" s="264">
        <f t="shared" si="2"/>
        <v>0</v>
      </c>
      <c r="X18" s="264">
        <f t="shared" si="3"/>
        <v>0</v>
      </c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7">
        <f t="shared" si="4"/>
        <v>44725</v>
      </c>
      <c r="AK18" s="1" cm="1">
        <f t="array" ref="AK18">SUMIFS(calls_off_OECS,period_OECS,"&gt;="&amp;AJ18,period_OECS,"&lt;"&amp;AJ19)</f>
        <v>2604</v>
      </c>
      <c r="AL18" s="100" cm="1">
        <f t="array" ref="AL18">SUMIFS(calls_ans_OECS,period_OECS,"&gt;="&amp;AJ18,period_OECS,"&lt;"&amp;AJ19)</f>
        <v>2366</v>
      </c>
    </row>
    <row r="19" spans="1:38">
      <c r="A19" s="194">
        <v>44669</v>
      </c>
      <c r="B19" s="309">
        <f>IF(YEAR(Table9[[#This Row],[Date]]) = 2022, WEEKNUM(Table9[[#This Row],[Date]])-13, WEEKNUM(Table9[[#This Row],[Date]])+40)</f>
        <v>4</v>
      </c>
      <c r="C19" s="9" t="s">
        <v>48</v>
      </c>
      <c r="D19" s="254" t="s">
        <v>59</v>
      </c>
      <c r="E19" s="1">
        <v>0</v>
      </c>
      <c r="F19" s="1">
        <v>0</v>
      </c>
      <c r="G19" s="67">
        <v>0</v>
      </c>
      <c r="H19" s="67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7">
        <v>0</v>
      </c>
      <c r="S19" s="17">
        <v>0</v>
      </c>
      <c r="T19" s="259">
        <v>0</v>
      </c>
      <c r="U19" s="258" t="str">
        <f t="shared" si="0"/>
        <v>Normal</v>
      </c>
      <c r="V19" s="258" t="str">
        <f t="shared" si="1"/>
        <v>Normal</v>
      </c>
      <c r="W19" s="264">
        <f t="shared" si="2"/>
        <v>0</v>
      </c>
      <c r="X19" s="264">
        <f t="shared" si="3"/>
        <v>0</v>
      </c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J19" s="27">
        <f t="shared" si="4"/>
        <v>44732</v>
      </c>
      <c r="AK19" s="1" cm="1">
        <f t="array" ref="AK19">SUMIFS(calls_off_OECS,period_OECS,"&gt;="&amp;AJ19,period_OECS,"&lt;"&amp;AJ20)</f>
        <v>2951</v>
      </c>
      <c r="AL19" s="100" cm="1">
        <f t="array" ref="AL19">SUMIFS(calls_ans_OECS,period_OECS,"&gt;="&amp;AJ19,period_OECS,"&lt;"&amp;AJ20)</f>
        <v>2538</v>
      </c>
    </row>
    <row r="20" spans="1:38">
      <c r="A20" s="195">
        <v>44670</v>
      </c>
      <c r="B20" s="310">
        <f>IF(YEAR(Table9[[#This Row],[Date]]) = 2022, WEEKNUM(Table9[[#This Row],[Date]])-13, WEEKNUM(Table9[[#This Row],[Date]])+40)</f>
        <v>4</v>
      </c>
      <c r="C20" s="36" t="s">
        <v>49</v>
      </c>
      <c r="D20" s="254" t="s">
        <v>59</v>
      </c>
      <c r="E20" s="32">
        <v>723</v>
      </c>
      <c r="F20" s="32">
        <v>605</v>
      </c>
      <c r="G20" s="66">
        <v>0.20499999999999999</v>
      </c>
      <c r="H20" s="66">
        <v>7.0796460176991149E-2</v>
      </c>
      <c r="I20" s="32">
        <v>7706</v>
      </c>
      <c r="J20" s="32">
        <v>6828</v>
      </c>
      <c r="K20" s="32">
        <v>7706</v>
      </c>
      <c r="L20" s="32">
        <v>6828</v>
      </c>
      <c r="M20" s="37">
        <v>0.55000000000000004</v>
      </c>
      <c r="N20" s="37">
        <v>0.16</v>
      </c>
      <c r="O20" s="37">
        <v>0.84</v>
      </c>
      <c r="P20" s="37">
        <v>0.85</v>
      </c>
      <c r="Q20" s="37">
        <v>1</v>
      </c>
      <c r="R20" s="108">
        <v>0</v>
      </c>
      <c r="S20" s="108">
        <v>0</v>
      </c>
      <c r="T20" s="259">
        <v>0</v>
      </c>
      <c r="U20" s="258" t="str">
        <f t="shared" si="0"/>
        <v>Normal</v>
      </c>
      <c r="V20" s="258" t="str">
        <f t="shared" si="1"/>
        <v>Normal</v>
      </c>
      <c r="W20" s="264">
        <f t="shared" si="2"/>
        <v>0.20499999999999999</v>
      </c>
      <c r="X20" s="264">
        <f t="shared" si="3"/>
        <v>7.0796460176991149E-2</v>
      </c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J20" s="27">
        <f t="shared" si="4"/>
        <v>44739</v>
      </c>
      <c r="AK20" s="1" cm="1">
        <f t="array" ref="AK20">SUMIFS(calls_off_OECS,period_OECS,"&gt;="&amp;AJ20,period_OECS,"&lt;"&amp;AJ21)</f>
        <v>2689</v>
      </c>
      <c r="AL20" s="100" cm="1">
        <f t="array" ref="AL20">SUMIFS(calls_ans_OECS,period_OECS,"&gt;="&amp;AJ20,period_OECS,"&lt;"&amp;AJ21)</f>
        <v>2479</v>
      </c>
    </row>
    <row r="21" spans="1:38">
      <c r="A21" s="194">
        <v>44671</v>
      </c>
      <c r="B21" s="309">
        <f>IF(YEAR(Table9[[#This Row],[Date]]) = 2022, WEEKNUM(Table9[[#This Row],[Date]])-13, WEEKNUM(Table9[[#This Row],[Date]])+40)</f>
        <v>4</v>
      </c>
      <c r="C21" s="9" t="s">
        <v>50</v>
      </c>
      <c r="D21" s="254" t="s">
        <v>59</v>
      </c>
      <c r="E21" s="1">
        <v>594</v>
      </c>
      <c r="F21" s="1">
        <v>524</v>
      </c>
      <c r="G21" s="67">
        <v>-3.3557046979865771E-3</v>
      </c>
      <c r="H21" s="67">
        <v>-4.2047531992687383E-2</v>
      </c>
      <c r="I21" s="1">
        <v>8300</v>
      </c>
      <c r="J21" s="1">
        <v>7352</v>
      </c>
      <c r="K21" s="1">
        <v>8300</v>
      </c>
      <c r="L21" s="1">
        <v>7352</v>
      </c>
      <c r="M21" s="18">
        <v>0.71</v>
      </c>
      <c r="N21" s="18">
        <v>0.12</v>
      </c>
      <c r="O21" s="18">
        <v>0.88</v>
      </c>
      <c r="P21" s="18">
        <v>0.73</v>
      </c>
      <c r="Q21" s="18">
        <v>1</v>
      </c>
      <c r="R21" s="17">
        <v>0</v>
      </c>
      <c r="S21" s="17">
        <v>0</v>
      </c>
      <c r="T21" s="259">
        <v>0</v>
      </c>
      <c r="U21" s="258" t="str">
        <f t="shared" si="0"/>
        <v>Normal</v>
      </c>
      <c r="V21" s="258" t="str">
        <f t="shared" si="1"/>
        <v>Normal</v>
      </c>
      <c r="W21" s="264">
        <f t="shared" si="2"/>
        <v>-3.3557046979865771E-3</v>
      </c>
      <c r="X21" s="264">
        <f t="shared" si="3"/>
        <v>-4.2047531992687383E-2</v>
      </c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J21" s="27">
        <f t="shared" si="4"/>
        <v>44746</v>
      </c>
      <c r="AK21" s="1" cm="1">
        <f t="array" ref="AK21">SUMIFS(calls_off_OECS,period_OECS,"&gt;="&amp;AJ21,period_OECS,"&lt;"&amp;AJ22)</f>
        <v>2911</v>
      </c>
      <c r="AL21" s="100" cm="1">
        <f t="array" ref="AL21">SUMIFS(calls_ans_OECS,period_OECS,"&gt;="&amp;AJ21,period_OECS,"&lt;"&amp;AJ22)</f>
        <v>2692</v>
      </c>
    </row>
    <row r="22" spans="1:38">
      <c r="A22" s="195">
        <v>44672</v>
      </c>
      <c r="B22" s="310">
        <f>IF(YEAR(Table9[[#This Row],[Date]]) = 2022, WEEKNUM(Table9[[#This Row],[Date]])-13, WEEKNUM(Table9[[#This Row],[Date]])+40)</f>
        <v>4</v>
      </c>
      <c r="C22" s="36" t="s">
        <v>51</v>
      </c>
      <c r="D22" s="254" t="s">
        <v>59</v>
      </c>
      <c r="E22" s="32">
        <v>588</v>
      </c>
      <c r="F22" s="32">
        <v>528</v>
      </c>
      <c r="G22" s="66">
        <v>7.2992700729927001E-2</v>
      </c>
      <c r="H22" s="66">
        <v>9.5435684647302899E-2</v>
      </c>
      <c r="I22" s="32">
        <v>8888</v>
      </c>
      <c r="J22" s="32">
        <v>7880</v>
      </c>
      <c r="K22" s="32">
        <v>8888</v>
      </c>
      <c r="L22" s="32">
        <v>7880</v>
      </c>
      <c r="M22" s="37">
        <v>0.68</v>
      </c>
      <c r="N22" s="37">
        <v>0.1</v>
      </c>
      <c r="O22" s="37">
        <v>0.9</v>
      </c>
      <c r="P22" s="37">
        <v>0.77</v>
      </c>
      <c r="Q22" s="37">
        <v>1</v>
      </c>
      <c r="R22" s="108">
        <v>0</v>
      </c>
      <c r="S22" s="108">
        <v>0</v>
      </c>
      <c r="T22" s="259">
        <v>0</v>
      </c>
      <c r="U22" s="258" t="str">
        <f t="shared" si="0"/>
        <v>Normal</v>
      </c>
      <c r="V22" s="258" t="str">
        <f t="shared" si="1"/>
        <v>Normal</v>
      </c>
      <c r="W22" s="264">
        <f t="shared" si="2"/>
        <v>7.2992700729927001E-2</v>
      </c>
      <c r="X22" s="264">
        <f t="shared" si="3"/>
        <v>9.5435684647302899E-2</v>
      </c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33">
        <f t="shared" si="4"/>
        <v>44753</v>
      </c>
      <c r="AK22" s="1" cm="1">
        <f t="array" ref="AK22">SUMIFS(calls_off_OECS,period_OECS,"&gt;="&amp;AJ22,period_OECS,"&lt;"&amp;AJ23)</f>
        <v>2759</v>
      </c>
      <c r="AL22" s="100" cm="1">
        <f t="array" ref="AL22">SUMIFS(calls_ans_OECS,period_OECS,"&gt;="&amp;AJ22,period_OECS,"&lt;"&amp;AJ23)</f>
        <v>2584</v>
      </c>
    </row>
    <row r="23" spans="1:38">
      <c r="A23" s="194">
        <v>44673</v>
      </c>
      <c r="B23" s="309">
        <f>IF(YEAR(Table9[[#This Row],[Date]]) = 2022, WEEKNUM(Table9[[#This Row],[Date]])-13, WEEKNUM(Table9[[#This Row],[Date]])+40)</f>
        <v>4</v>
      </c>
      <c r="C23" s="9" t="s">
        <v>52</v>
      </c>
      <c r="D23" s="254" t="s">
        <v>59</v>
      </c>
      <c r="E23" s="1">
        <v>592</v>
      </c>
      <c r="F23" s="1">
        <v>517</v>
      </c>
      <c r="G23" s="67">
        <v>0</v>
      </c>
      <c r="H23" s="67">
        <v>0</v>
      </c>
      <c r="I23" s="1">
        <v>9480</v>
      </c>
      <c r="J23" s="1">
        <v>8397</v>
      </c>
      <c r="K23" s="1">
        <v>9480</v>
      </c>
      <c r="L23" s="1">
        <v>8397</v>
      </c>
      <c r="M23" s="18">
        <v>0.7</v>
      </c>
      <c r="N23" s="18">
        <v>0.13</v>
      </c>
      <c r="O23" s="18">
        <v>0.87</v>
      </c>
      <c r="P23" s="18">
        <v>0.72</v>
      </c>
      <c r="Q23" s="18">
        <v>1</v>
      </c>
      <c r="R23" s="17">
        <v>0</v>
      </c>
      <c r="S23" s="17">
        <v>0</v>
      </c>
      <c r="T23" s="259">
        <v>0</v>
      </c>
      <c r="U23" s="258" t="str">
        <f t="shared" si="0"/>
        <v>Normal</v>
      </c>
      <c r="V23" s="258" t="str">
        <f t="shared" si="1"/>
        <v>Normal</v>
      </c>
      <c r="W23" s="264">
        <f t="shared" si="2"/>
        <v>0</v>
      </c>
      <c r="X23" s="264">
        <f t="shared" si="3"/>
        <v>0</v>
      </c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33">
        <f t="shared" si="4"/>
        <v>44760</v>
      </c>
      <c r="AK23" s="1" cm="1">
        <f t="array" ref="AK23">SUMIFS(calls_off_OECS,period_OECS,"&gt;="&amp;AJ23,period_OECS,"&lt;"&amp;AJ24)</f>
        <v>2499</v>
      </c>
      <c r="AL23" s="100" cm="1">
        <f t="array" ref="AL23">SUMIFS(calls_ans_OECS,period_OECS,"&gt;="&amp;AJ23,period_OECS,"&lt;"&amp;AJ24)</f>
        <v>2344</v>
      </c>
    </row>
    <row r="24" spans="1:38">
      <c r="A24" s="195">
        <v>44674</v>
      </c>
      <c r="B24" s="310">
        <f>IF(YEAR(Table9[[#This Row],[Date]]) = 2022, WEEKNUM(Table9[[#This Row],[Date]])-13, WEEKNUM(Table9[[#This Row],[Date]])+40)</f>
        <v>4</v>
      </c>
      <c r="C24" s="36" t="s">
        <v>53</v>
      </c>
      <c r="D24" s="254" t="s">
        <v>59</v>
      </c>
      <c r="E24" s="32">
        <v>200</v>
      </c>
      <c r="F24" s="32">
        <v>180</v>
      </c>
      <c r="G24" s="66">
        <v>-6.1032863849765258E-2</v>
      </c>
      <c r="H24" s="66">
        <v>-5.5248618784530384E-3</v>
      </c>
      <c r="I24" s="32">
        <v>9680</v>
      </c>
      <c r="J24" s="32">
        <v>8577</v>
      </c>
      <c r="K24" s="32">
        <v>9680</v>
      </c>
      <c r="L24" s="32">
        <v>8577</v>
      </c>
      <c r="M24" s="37">
        <v>0.8</v>
      </c>
      <c r="N24" s="37">
        <v>0.1</v>
      </c>
      <c r="O24" s="37">
        <v>0.9</v>
      </c>
      <c r="P24" s="37">
        <v>0.25</v>
      </c>
      <c r="Q24" s="37">
        <v>1</v>
      </c>
      <c r="R24" s="108">
        <v>0</v>
      </c>
      <c r="S24" s="108">
        <v>0</v>
      </c>
      <c r="T24" s="259">
        <v>0</v>
      </c>
      <c r="U24" s="258" t="str">
        <f t="shared" si="0"/>
        <v>Normal</v>
      </c>
      <c r="V24" s="258" t="str">
        <f t="shared" si="1"/>
        <v>Normal</v>
      </c>
      <c r="W24" s="264">
        <f t="shared" si="2"/>
        <v>-6.1032863849765258E-2</v>
      </c>
      <c r="X24" s="264">
        <f t="shared" si="3"/>
        <v>-5.5248618784530384E-3</v>
      </c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33">
        <f t="shared" si="4"/>
        <v>44767</v>
      </c>
      <c r="AK24" s="1" cm="1">
        <f t="array" ref="AK24">SUMIFS(calls_off_OECS,period_OECS,"&gt;="&amp;AJ24,period_OECS,"&lt;"&amp;AJ25)</f>
        <v>3143</v>
      </c>
      <c r="AL24" s="100">
        <f>SUMIFS(F18:F264,A19:A265,"&gt;="&amp;AJ24,A18:A264,"&lt;"&amp;AJ25)</f>
        <v>2858</v>
      </c>
    </row>
    <row r="25" spans="1:38">
      <c r="A25" s="194">
        <v>44675</v>
      </c>
      <c r="B25" s="309">
        <f>IF(YEAR(Table9[[#This Row],[Date]]) = 2022, WEEKNUM(Table9[[#This Row],[Date]])-13, WEEKNUM(Table9[[#This Row],[Date]])+40)</f>
        <v>5</v>
      </c>
      <c r="C25" s="9" t="s">
        <v>47</v>
      </c>
      <c r="D25" s="254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>
        <v>0</v>
      </c>
      <c r="S25" s="17">
        <v>0</v>
      </c>
      <c r="T25" s="259">
        <v>0</v>
      </c>
      <c r="U25" s="258" t="str">
        <f t="shared" si="0"/>
        <v>Normal</v>
      </c>
      <c r="V25" s="258" t="str">
        <f t="shared" si="1"/>
        <v>Normal</v>
      </c>
      <c r="W25" s="264">
        <f t="shared" si="2"/>
        <v>0</v>
      </c>
      <c r="X25" s="264">
        <f t="shared" si="3"/>
        <v>0</v>
      </c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33">
        <f t="shared" si="4"/>
        <v>44774</v>
      </c>
      <c r="AK25" s="1" cm="1">
        <f t="array" ref="AK25">SUMIFS(calls_off_OECS,period_OECS,"&gt;="&amp;AJ25,period_OECS,"&lt;"&amp;AJ26)</f>
        <v>2387</v>
      </c>
      <c r="AL25" s="100">
        <f>SUMIFS(F19:F259,A20:A260,"&gt;="&amp;AJ25,A19:A259,"&lt;"&amp;AJ26)</f>
        <v>2166</v>
      </c>
    </row>
    <row r="26" spans="1:38">
      <c r="A26" s="195">
        <v>44676</v>
      </c>
      <c r="B26" s="310">
        <f>IF(YEAR(Table9[[#This Row],[Date]]) = 2022, WEEKNUM(Table9[[#This Row],[Date]])-13, WEEKNUM(Table9[[#This Row],[Date]])+40)</f>
        <v>5</v>
      </c>
      <c r="C26" s="36" t="s">
        <v>48</v>
      </c>
      <c r="D26" s="254" t="s">
        <v>59</v>
      </c>
      <c r="E26" s="32">
        <v>687</v>
      </c>
      <c r="F26" s="32">
        <v>608</v>
      </c>
      <c r="G26" s="66">
        <v>0</v>
      </c>
      <c r="H26" s="66">
        <v>0</v>
      </c>
      <c r="I26" s="32">
        <v>10367</v>
      </c>
      <c r="J26" s="32">
        <v>9185</v>
      </c>
      <c r="K26" s="32">
        <v>10367</v>
      </c>
      <c r="L26" s="32">
        <v>9185</v>
      </c>
      <c r="M26" s="37">
        <v>0.66</v>
      </c>
      <c r="N26" s="37">
        <v>0.11</v>
      </c>
      <c r="O26" s="37">
        <v>0.89</v>
      </c>
      <c r="P26" s="37">
        <v>0.72</v>
      </c>
      <c r="Q26" s="37">
        <v>1</v>
      </c>
      <c r="R26" s="108">
        <v>0</v>
      </c>
      <c r="S26" s="108">
        <v>0</v>
      </c>
      <c r="T26" s="259">
        <v>0</v>
      </c>
      <c r="U26" s="258" t="str">
        <f t="shared" si="0"/>
        <v>Normal</v>
      </c>
      <c r="V26" s="258" t="str">
        <f t="shared" si="1"/>
        <v>Normal</v>
      </c>
      <c r="W26" s="264">
        <f t="shared" si="2"/>
        <v>0</v>
      </c>
      <c r="X26" s="264">
        <f t="shared" si="3"/>
        <v>0</v>
      </c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33">
        <f t="shared" si="4"/>
        <v>44781</v>
      </c>
      <c r="AK26" s="1" cm="1">
        <f t="array" ref="AK26">SUMIFS(calls_off_OECS,period_OECS,"&gt;="&amp;AJ26,period_OECS,"&lt;"&amp;AJ27)</f>
        <v>2927</v>
      </c>
      <c r="AL26" s="100">
        <f>SUMIFS(F2:F366,A2:A366,"&gt;="&amp;AJ26,A2:A366,"&lt;"&amp;AJ27)</f>
        <v>2730</v>
      </c>
    </row>
    <row r="27" spans="1:38">
      <c r="A27" s="194">
        <v>44677</v>
      </c>
      <c r="B27" s="309">
        <f>IF(YEAR(Table9[[#This Row],[Date]]) = 2022, WEEKNUM(Table9[[#This Row],[Date]])-13, WEEKNUM(Table9[[#This Row],[Date]])+40)</f>
        <v>5</v>
      </c>
      <c r="C27" s="9" t="s">
        <v>49</v>
      </c>
      <c r="D27" s="254" t="s">
        <v>59</v>
      </c>
      <c r="E27" s="1">
        <v>638</v>
      </c>
      <c r="F27" s="1">
        <v>589</v>
      </c>
      <c r="G27" s="67">
        <v>-0.11756569847856155</v>
      </c>
      <c r="H27" s="67">
        <v>-2.6446280991735537E-2</v>
      </c>
      <c r="I27" s="1">
        <v>11005</v>
      </c>
      <c r="J27" s="1">
        <v>9774</v>
      </c>
      <c r="K27" s="1">
        <v>11005</v>
      </c>
      <c r="L27" s="1">
        <v>9774</v>
      </c>
      <c r="M27" s="18">
        <v>0.79</v>
      </c>
      <c r="N27" s="18">
        <v>0.08</v>
      </c>
      <c r="O27" s="18">
        <v>0.92</v>
      </c>
      <c r="P27" s="18">
        <v>0.79</v>
      </c>
      <c r="Q27" s="18">
        <v>1</v>
      </c>
      <c r="R27" s="17">
        <v>0</v>
      </c>
      <c r="S27" s="17">
        <v>0</v>
      </c>
      <c r="T27" s="259">
        <v>0</v>
      </c>
      <c r="U27" s="258" t="str">
        <f t="shared" si="0"/>
        <v>Normal</v>
      </c>
      <c r="V27" s="258" t="str">
        <f t="shared" si="1"/>
        <v>Normal</v>
      </c>
      <c r="W27" s="264">
        <f t="shared" si="2"/>
        <v>-0.11756569847856155</v>
      </c>
      <c r="X27" s="264">
        <f t="shared" si="3"/>
        <v>-2.6446280991735537E-2</v>
      </c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33">
        <f t="shared" si="4"/>
        <v>44788</v>
      </c>
      <c r="AK27" s="1" cm="1">
        <f t="array" ref="AK27">SUMIFS(calls_off_OECS,period_OECS,"&gt;="&amp;AJ27,period_OECS,"&lt;"&amp;AJ28)</f>
        <v>2864</v>
      </c>
      <c r="AL27" s="100">
        <f>SUMIFS(F3:F259,A3:A259,"&gt;="&amp;AJ27,A3:A259,"&lt;"&amp;AJ28)</f>
        <v>2634</v>
      </c>
    </row>
    <row r="28" spans="1:38">
      <c r="A28" s="195">
        <v>44678</v>
      </c>
      <c r="B28" s="310">
        <f>IF(YEAR(Table9[[#This Row],[Date]]) = 2022, WEEKNUM(Table9[[#This Row],[Date]])-13, WEEKNUM(Table9[[#This Row],[Date]])+40)</f>
        <v>5</v>
      </c>
      <c r="C28" s="36" t="s">
        <v>50</v>
      </c>
      <c r="D28" s="254" t="s">
        <v>59</v>
      </c>
      <c r="E28" s="32">
        <v>594</v>
      </c>
      <c r="F28" s="32">
        <v>562</v>
      </c>
      <c r="G28" s="66">
        <v>0</v>
      </c>
      <c r="H28" s="66">
        <v>7.2519083969465645E-2</v>
      </c>
      <c r="I28" s="32">
        <v>11599</v>
      </c>
      <c r="J28" s="32">
        <v>10336</v>
      </c>
      <c r="K28" s="32">
        <v>11599</v>
      </c>
      <c r="L28" s="32">
        <v>10336</v>
      </c>
      <c r="M28" s="37">
        <v>0.89</v>
      </c>
      <c r="N28" s="37">
        <v>0.05</v>
      </c>
      <c r="O28" s="37">
        <v>0.95</v>
      </c>
      <c r="P28" s="37">
        <v>0.54</v>
      </c>
      <c r="Q28" s="37">
        <v>1</v>
      </c>
      <c r="R28" s="108">
        <v>0</v>
      </c>
      <c r="S28" s="108">
        <v>0</v>
      </c>
      <c r="T28" s="259">
        <v>0</v>
      </c>
      <c r="U28" s="258" t="str">
        <f t="shared" si="0"/>
        <v>Normal</v>
      </c>
      <c r="V28" s="258" t="str">
        <f t="shared" si="1"/>
        <v>Normal</v>
      </c>
      <c r="W28" s="264">
        <f t="shared" si="2"/>
        <v>0</v>
      </c>
      <c r="X28" s="264">
        <f t="shared" si="3"/>
        <v>7.2519083969465645E-2</v>
      </c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33">
        <f t="shared" si="4"/>
        <v>44795</v>
      </c>
      <c r="AK28" s="1" cm="1">
        <f t="array" ref="AK28">SUMIFS(calls_off_OECS,period_OECS,"&gt;="&amp;AJ28,period_OECS,"&lt;"&amp;AJ29)</f>
        <v>1970</v>
      </c>
      <c r="AL28" s="100">
        <f>SUMIFS(Table2[Calls Ans],Table2[Date],"&gt;="&amp;AJ28,A2:A366,"&lt;"&amp;AJ29)</f>
        <v>1836</v>
      </c>
    </row>
    <row r="29" spans="1:38">
      <c r="A29" s="194">
        <v>44679</v>
      </c>
      <c r="B29" s="309">
        <f>IF(YEAR(Table9[[#This Row],[Date]]) = 2022, WEEKNUM(Table9[[#This Row],[Date]])-13, WEEKNUM(Table9[[#This Row],[Date]])+40)</f>
        <v>5</v>
      </c>
      <c r="C29" s="9" t="s">
        <v>51</v>
      </c>
      <c r="D29" s="254" t="s">
        <v>59</v>
      </c>
      <c r="E29" s="1">
        <v>514</v>
      </c>
      <c r="F29" s="1">
        <v>492</v>
      </c>
      <c r="G29" s="67">
        <v>-0.12585034013605442</v>
      </c>
      <c r="H29" s="67">
        <v>-6.8181818181818177E-2</v>
      </c>
      <c r="I29" s="1">
        <v>12113</v>
      </c>
      <c r="J29" s="1">
        <v>10828</v>
      </c>
      <c r="K29" s="1">
        <v>12113</v>
      </c>
      <c r="L29" s="1">
        <v>10828</v>
      </c>
      <c r="M29" s="18">
        <v>0.9</v>
      </c>
      <c r="N29" s="18">
        <v>0.04</v>
      </c>
      <c r="O29" s="18">
        <v>0.96</v>
      </c>
      <c r="P29" s="18">
        <v>0.59</v>
      </c>
      <c r="Q29" s="18">
        <v>1</v>
      </c>
      <c r="R29" s="17">
        <v>0</v>
      </c>
      <c r="S29" s="17">
        <v>0</v>
      </c>
      <c r="T29" s="259">
        <v>0</v>
      </c>
      <c r="U29" s="258" t="str">
        <f t="shared" si="0"/>
        <v>Normal</v>
      </c>
      <c r="V29" s="258" t="str">
        <f t="shared" si="1"/>
        <v>Normal</v>
      </c>
      <c r="W29" s="264">
        <f t="shared" si="2"/>
        <v>-0.12585034013605442</v>
      </c>
      <c r="X29" s="264">
        <f t="shared" si="3"/>
        <v>-6.8181818181818177E-2</v>
      </c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33">
        <f t="shared" si="4"/>
        <v>44802</v>
      </c>
      <c r="AK29" s="1" cm="1">
        <f t="array" ref="AK29">SUMIFS(calls_off_OECS,period_OECS,"&gt;="&amp;AJ29,period_OECS,"&lt;"&amp;AJ30)</f>
        <v>2476</v>
      </c>
      <c r="AL29" s="100">
        <f>SUMIFS(Table2[Calls Ans],Table2[Date],"&gt;="&amp;AJ29,Table2[Date],"&lt;"&amp;AJ30)</f>
        <v>2229</v>
      </c>
    </row>
    <row r="30" spans="1:38">
      <c r="A30" s="195">
        <v>44680</v>
      </c>
      <c r="B30" s="310">
        <f>IF(YEAR(Table9[[#This Row],[Date]]) = 2022, WEEKNUM(Table9[[#This Row],[Date]])-13, WEEKNUM(Table9[[#This Row],[Date]])+40)</f>
        <v>5</v>
      </c>
      <c r="C30" s="36" t="s">
        <v>52</v>
      </c>
      <c r="D30" s="254" t="s">
        <v>59</v>
      </c>
      <c r="E30" s="32">
        <v>631</v>
      </c>
      <c r="F30" s="32">
        <v>588</v>
      </c>
      <c r="G30" s="66">
        <v>6.5878378378378372E-2</v>
      </c>
      <c r="H30" s="66">
        <v>0.13733075435203096</v>
      </c>
      <c r="I30" s="32">
        <v>12744</v>
      </c>
      <c r="J30" s="32">
        <v>11416</v>
      </c>
      <c r="K30" s="32">
        <v>12744</v>
      </c>
      <c r="L30" s="32">
        <v>11416</v>
      </c>
      <c r="M30" s="37">
        <v>0.77</v>
      </c>
      <c r="N30" s="37">
        <v>7.0000000000000007E-2</v>
      </c>
      <c r="O30" s="37">
        <v>0.93</v>
      </c>
      <c r="P30" s="37">
        <v>0.54</v>
      </c>
      <c r="Q30" s="37">
        <v>1</v>
      </c>
      <c r="R30" s="108">
        <v>0</v>
      </c>
      <c r="S30" s="108">
        <v>0</v>
      </c>
      <c r="T30" s="259">
        <v>0</v>
      </c>
      <c r="U30" s="258" t="str">
        <f t="shared" si="0"/>
        <v>Normal</v>
      </c>
      <c r="V30" s="258" t="str">
        <f t="shared" si="1"/>
        <v>Normal</v>
      </c>
      <c r="W30" s="264">
        <f t="shared" si="2"/>
        <v>6.5878378378378372E-2</v>
      </c>
      <c r="X30" s="264">
        <f t="shared" si="3"/>
        <v>0.13733075435203096</v>
      </c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33">
        <f t="shared" si="4"/>
        <v>44809</v>
      </c>
      <c r="AK30" s="1" cm="1">
        <f t="array" ref="AK30">SUMIFS(calls_off_OECS,period_OECS,"&gt;="&amp;AJ30,period_OECS,"&lt;"&amp;AJ31)</f>
        <v>3244</v>
      </c>
      <c r="AL30" s="100">
        <f>SUMIFS(Table2[Calls Ans],Table2[Date],"&gt;="&amp;AJ30,Table2[Date],"&lt;"&amp;AJ31)</f>
        <v>2921</v>
      </c>
    </row>
    <row r="31" spans="1:38">
      <c r="A31" s="194">
        <v>44681</v>
      </c>
      <c r="B31" s="309">
        <f>IF(YEAR(Table9[[#This Row],[Date]]) = 2022, WEEKNUM(Table9[[#This Row],[Date]])-13, WEEKNUM(Table9[[#This Row],[Date]])+40)</f>
        <v>5</v>
      </c>
      <c r="C31" s="9" t="s">
        <v>53</v>
      </c>
      <c r="D31" s="254" t="s">
        <v>59</v>
      </c>
      <c r="E31" s="1">
        <v>230</v>
      </c>
      <c r="F31" s="1">
        <v>220</v>
      </c>
      <c r="G31" s="67">
        <v>0.15</v>
      </c>
      <c r="H31" s="67">
        <v>0.22222222222222221</v>
      </c>
      <c r="I31" s="1">
        <v>12974</v>
      </c>
      <c r="J31" s="1">
        <v>11636</v>
      </c>
      <c r="K31" s="1">
        <v>12974</v>
      </c>
      <c r="L31" s="1">
        <v>11636</v>
      </c>
      <c r="M31" s="18">
        <v>0.9</v>
      </c>
      <c r="N31" s="18">
        <v>0.04</v>
      </c>
      <c r="O31" s="18">
        <v>0.96</v>
      </c>
      <c r="P31" s="18">
        <v>0.55000000000000004</v>
      </c>
      <c r="Q31" s="18">
        <v>1</v>
      </c>
      <c r="R31" s="17">
        <v>0</v>
      </c>
      <c r="S31" s="17">
        <v>0</v>
      </c>
      <c r="T31" s="259">
        <v>0</v>
      </c>
      <c r="U31" s="258" t="str">
        <f t="shared" si="0"/>
        <v>Normal</v>
      </c>
      <c r="V31" s="258" t="str">
        <f t="shared" si="1"/>
        <v>Normal</v>
      </c>
      <c r="W31" s="264">
        <f t="shared" si="2"/>
        <v>0.15</v>
      </c>
      <c r="X31" s="264">
        <f t="shared" si="3"/>
        <v>0.22222222222222221</v>
      </c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J31" s="33">
        <f t="shared" si="4"/>
        <v>44816</v>
      </c>
      <c r="AK31" s="1" cm="1">
        <f t="array" ref="AK31">SUMIFS(calls_off_OECS,period_OECS,"&gt;="&amp;AJ31,period_OECS,"&lt;"&amp;AJ32)</f>
        <v>2783</v>
      </c>
      <c r="AL31" s="100">
        <f>SUMIFS(Table2[Calls Ans],Table2[Date],"&gt;="&amp;AJ31,Table2[Date],"&lt;"&amp;AJ32)</f>
        <v>2582</v>
      </c>
    </row>
    <row r="32" spans="1:38">
      <c r="A32" s="195">
        <v>44682</v>
      </c>
      <c r="B32" s="310">
        <f>IF(YEAR(Table9[[#This Row],[Date]]) = 2022, WEEKNUM(Table9[[#This Row],[Date]])-13, WEEKNUM(Table9[[#This Row],[Date]])+40)</f>
        <v>6</v>
      </c>
      <c r="C32" s="36" t="s">
        <v>47</v>
      </c>
      <c r="D32" s="254" t="s">
        <v>59</v>
      </c>
      <c r="E32" s="32">
        <v>0</v>
      </c>
      <c r="F32" s="32">
        <v>0</v>
      </c>
      <c r="G32" s="66">
        <v>0</v>
      </c>
      <c r="H32" s="66">
        <v>0</v>
      </c>
      <c r="I32" s="32">
        <v>0</v>
      </c>
      <c r="J32" s="32">
        <v>0</v>
      </c>
      <c r="K32" s="32">
        <v>0</v>
      </c>
      <c r="L32" s="32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108">
        <v>0</v>
      </c>
      <c r="S32" s="108">
        <v>0</v>
      </c>
      <c r="T32" s="259">
        <v>0</v>
      </c>
      <c r="U32" s="258" t="str">
        <f t="shared" si="0"/>
        <v>Normal</v>
      </c>
      <c r="V32" s="258" t="str">
        <f t="shared" si="1"/>
        <v>Normal</v>
      </c>
      <c r="W32" s="264">
        <f t="shared" si="2"/>
        <v>0</v>
      </c>
      <c r="X32" s="264">
        <f t="shared" si="3"/>
        <v>0</v>
      </c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J32" s="33">
        <f t="shared" si="4"/>
        <v>44823</v>
      </c>
      <c r="AK32" s="1" cm="1">
        <f t="array" ref="AK32">SUMIFS(calls_off_OECS,period_OECS,"&gt;="&amp;AJ32,period_OECS,"&lt;"&amp;AJ33)</f>
        <v>2753</v>
      </c>
      <c r="AL32" s="100">
        <f>SUMIFS(Table2[Calls Ans],Table2[Date],"&gt;="&amp;AJ32,Table2[Date],"&lt;"&amp;AJ33)</f>
        <v>2530</v>
      </c>
    </row>
    <row r="33" spans="1:41">
      <c r="A33" s="194">
        <v>44683</v>
      </c>
      <c r="B33" s="309">
        <f>IF(YEAR(Table9[[#This Row],[Date]]) = 2022, WEEKNUM(Table9[[#This Row],[Date]])-13, WEEKNUM(Table9[[#This Row],[Date]])+40)</f>
        <v>6</v>
      </c>
      <c r="C33" s="9" t="s">
        <v>48</v>
      </c>
      <c r="D33" s="254" t="s">
        <v>59</v>
      </c>
      <c r="E33" s="1">
        <v>0</v>
      </c>
      <c r="F33" s="1">
        <v>0</v>
      </c>
      <c r="G33" s="67">
        <v>0</v>
      </c>
      <c r="H33" s="67">
        <v>0</v>
      </c>
      <c r="I33" s="1">
        <v>0</v>
      </c>
      <c r="J33" s="1">
        <v>0</v>
      </c>
      <c r="K33" s="1">
        <v>0</v>
      </c>
      <c r="L33" s="1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7">
        <v>0</v>
      </c>
      <c r="S33" s="17">
        <v>0</v>
      </c>
      <c r="T33" s="259">
        <v>0</v>
      </c>
      <c r="U33" s="258" t="str">
        <f t="shared" si="0"/>
        <v>Normal</v>
      </c>
      <c r="V33" s="258" t="str">
        <f t="shared" si="1"/>
        <v>Normal</v>
      </c>
      <c r="W33" s="264">
        <f t="shared" si="2"/>
        <v>0</v>
      </c>
      <c r="X33" s="264">
        <f t="shared" si="3"/>
        <v>0</v>
      </c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J33" s="33">
        <f t="shared" si="4"/>
        <v>44830</v>
      </c>
      <c r="AK33" s="1" cm="1">
        <f t="array" ref="AK33">SUMIFS(calls_off_OECS,period_OECS,"&gt;="&amp;AJ33,period_OECS,"&lt;"&amp;AJ34)</f>
        <v>2897</v>
      </c>
      <c r="AL33" s="100">
        <f>SUMIFS(Table2[Calls Ans],Table2[Date],"&gt;="&amp;AJ33,Table2[Date],"&lt;"&amp;AJ34)</f>
        <v>2657</v>
      </c>
    </row>
    <row r="34" spans="1:41">
      <c r="A34" s="195">
        <v>44684</v>
      </c>
      <c r="B34" s="310">
        <f>IF(YEAR(Table9[[#This Row],[Date]]) = 2022, WEEKNUM(Table9[[#This Row],[Date]])-13, WEEKNUM(Table9[[#This Row],[Date]])+40)</f>
        <v>6</v>
      </c>
      <c r="C34" s="36" t="s">
        <v>49</v>
      </c>
      <c r="D34" s="254" t="s">
        <v>59</v>
      </c>
      <c r="E34" s="32">
        <v>818</v>
      </c>
      <c r="F34" s="32">
        <v>706</v>
      </c>
      <c r="G34" s="66">
        <v>0.28213166144200624</v>
      </c>
      <c r="H34" s="66">
        <v>0.19864176570458403</v>
      </c>
      <c r="I34" s="32">
        <v>818</v>
      </c>
      <c r="J34" s="32">
        <v>706</v>
      </c>
      <c r="K34" s="32">
        <v>13792</v>
      </c>
      <c r="L34" s="32">
        <v>12342</v>
      </c>
      <c r="M34" s="37">
        <v>0.61</v>
      </c>
      <c r="N34" s="37">
        <v>0.14000000000000001</v>
      </c>
      <c r="O34" s="37">
        <v>0.86</v>
      </c>
      <c r="P34" s="37">
        <v>0.71</v>
      </c>
      <c r="Q34" s="37">
        <v>1</v>
      </c>
      <c r="R34" s="108">
        <v>0</v>
      </c>
      <c r="S34" s="108">
        <v>0</v>
      </c>
      <c r="T34" s="259">
        <v>0</v>
      </c>
      <c r="U34" s="258" t="str">
        <f t="shared" si="0"/>
        <v>Normal</v>
      </c>
      <c r="V34" s="258" t="str">
        <f t="shared" si="1"/>
        <v>Normal</v>
      </c>
      <c r="W34" s="264">
        <f t="shared" si="2"/>
        <v>0.28213166144200624</v>
      </c>
      <c r="X34" s="264">
        <f t="shared" si="3"/>
        <v>0.19864176570458403</v>
      </c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33">
        <f t="shared" si="4"/>
        <v>44837</v>
      </c>
      <c r="AK34" s="1" cm="1">
        <f t="array" ref="AK34">SUMIFS(calls_off_OECS,period_OECS,"&gt;="&amp;AJ34,period_OECS,"&lt;"&amp;AJ35)</f>
        <v>2897</v>
      </c>
      <c r="AL34" s="100">
        <f>SUMIFS(Table2[Calls Ans],Table2[Date],"&gt;="&amp;AJ34,Table2[Date],"&lt;"&amp;AJ35)</f>
        <v>2719</v>
      </c>
    </row>
    <row r="35" spans="1:41">
      <c r="A35" s="194">
        <v>44685</v>
      </c>
      <c r="B35" s="309">
        <f>IF(YEAR(Table9[[#This Row],[Date]]) = 2022, WEEKNUM(Table9[[#This Row],[Date]])-13, WEEKNUM(Table9[[#This Row],[Date]])+40)</f>
        <v>6</v>
      </c>
      <c r="C35" s="9" t="s">
        <v>50</v>
      </c>
      <c r="D35" s="254" t="s">
        <v>59</v>
      </c>
      <c r="E35" s="1">
        <v>690</v>
      </c>
      <c r="F35" s="1">
        <v>632</v>
      </c>
      <c r="G35" s="67">
        <v>0.16161616161616163</v>
      </c>
      <c r="H35" s="67">
        <v>0.12455516014234876</v>
      </c>
      <c r="I35" s="1">
        <v>1508</v>
      </c>
      <c r="J35" s="1">
        <v>1338</v>
      </c>
      <c r="K35" s="1">
        <v>14482</v>
      </c>
      <c r="L35" s="1">
        <v>12974</v>
      </c>
      <c r="M35" s="18">
        <v>0.82</v>
      </c>
      <c r="N35" s="18">
        <v>0.08</v>
      </c>
      <c r="O35" s="18">
        <v>0.92</v>
      </c>
      <c r="P35" s="18">
        <v>0.72</v>
      </c>
      <c r="Q35" s="18">
        <v>1</v>
      </c>
      <c r="R35" s="17">
        <v>0</v>
      </c>
      <c r="S35" s="17">
        <v>0</v>
      </c>
      <c r="T35" s="259">
        <v>0</v>
      </c>
      <c r="U35" s="258" t="str">
        <f t="shared" si="0"/>
        <v>Normal</v>
      </c>
      <c r="V35" s="258" t="str">
        <f t="shared" si="1"/>
        <v>Normal</v>
      </c>
      <c r="W35" s="264">
        <f t="shared" si="2"/>
        <v>0.16161616161616163</v>
      </c>
      <c r="X35" s="264">
        <f t="shared" si="3"/>
        <v>0.12455516014234876</v>
      </c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33">
        <f>AJ34+7</f>
        <v>44844</v>
      </c>
      <c r="AK35" s="1" cm="1">
        <f t="array" ref="AK35">SUMIFS(calls_off_OECS,period_OECS,"&gt;="&amp;AJ35,period_OECS,"&lt;"&amp;AJ36)</f>
        <v>2914</v>
      </c>
      <c r="AL35" s="100">
        <f>SUMIFS(Table2[Calls Ans],Table2[Date],"&gt;="&amp;AJ35,Table2[Date],"&lt;"&amp;AJ36)</f>
        <v>2714</v>
      </c>
    </row>
    <row r="36" spans="1:41">
      <c r="A36" s="195">
        <v>44686</v>
      </c>
      <c r="B36" s="310">
        <f>IF(YEAR(Table9[[#This Row],[Date]]) = 2022, WEEKNUM(Table9[[#This Row],[Date]])-13, WEEKNUM(Table9[[#This Row],[Date]])+40)</f>
        <v>6</v>
      </c>
      <c r="C36" s="36" t="s">
        <v>51</v>
      </c>
      <c r="D36" s="254" t="s">
        <v>59</v>
      </c>
      <c r="E36" s="32">
        <v>702</v>
      </c>
      <c r="F36" s="32">
        <v>628</v>
      </c>
      <c r="G36" s="66">
        <v>0.36575875486381321</v>
      </c>
      <c r="H36" s="66">
        <v>0.27642276422764228</v>
      </c>
      <c r="I36" s="32">
        <v>2210</v>
      </c>
      <c r="J36" s="32">
        <v>1966</v>
      </c>
      <c r="K36" s="32">
        <v>15184</v>
      </c>
      <c r="L36" s="32">
        <v>13602</v>
      </c>
      <c r="M36" s="37">
        <v>0.73</v>
      </c>
      <c r="N36" s="37">
        <v>0.11</v>
      </c>
      <c r="O36" s="37">
        <v>0.89</v>
      </c>
      <c r="P36" s="37">
        <v>0.77</v>
      </c>
      <c r="Q36" s="37">
        <v>1</v>
      </c>
      <c r="R36" s="108">
        <v>0</v>
      </c>
      <c r="S36" s="108">
        <v>0</v>
      </c>
      <c r="T36" s="259">
        <v>0</v>
      </c>
      <c r="U36" s="258" t="str">
        <f t="shared" si="0"/>
        <v>Normal</v>
      </c>
      <c r="V36" s="258" t="str">
        <f t="shared" si="1"/>
        <v>Normal</v>
      </c>
      <c r="W36" s="264">
        <f t="shared" si="2"/>
        <v>0.36575875486381321</v>
      </c>
      <c r="X36" s="264">
        <f t="shared" si="3"/>
        <v>0.27642276422764228</v>
      </c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J36" s="33">
        <f t="shared" si="4"/>
        <v>44851</v>
      </c>
      <c r="AK36" s="1" cm="1">
        <f t="array" ref="AK36">SUMIFS(calls_off_OECS,period_OECS,"&gt;="&amp;AJ36,period_OECS,"&lt;"&amp;AJ37)</f>
        <v>2628</v>
      </c>
      <c r="AL36" s="100">
        <f>SUMIFS(Table2[Calls Ans],Table2[Date],"&gt;="&amp;AJ36,Table2[Date],"&lt;"&amp;AJ37)</f>
        <v>2433</v>
      </c>
    </row>
    <row r="37" spans="1:41">
      <c r="A37" s="194">
        <v>44687</v>
      </c>
      <c r="B37" s="309">
        <f>IF(YEAR(Table9[[#This Row],[Date]]) = 2022, WEEKNUM(Table9[[#This Row],[Date]])-13, WEEKNUM(Table9[[#This Row],[Date]])+40)</f>
        <v>6</v>
      </c>
      <c r="C37" s="9" t="s">
        <v>52</v>
      </c>
      <c r="D37" s="254" t="s">
        <v>59</v>
      </c>
      <c r="E37" s="1">
        <v>827</v>
      </c>
      <c r="F37" s="1">
        <v>709</v>
      </c>
      <c r="G37" s="67">
        <v>0.31061806656101426</v>
      </c>
      <c r="H37" s="67">
        <v>0.20578231292517007</v>
      </c>
      <c r="I37" s="1">
        <v>3037</v>
      </c>
      <c r="J37" s="1">
        <v>2675</v>
      </c>
      <c r="K37" s="1">
        <v>16011</v>
      </c>
      <c r="L37" s="1">
        <v>14311</v>
      </c>
      <c r="M37" s="18">
        <v>0.64</v>
      </c>
      <c r="N37" s="18">
        <v>0.14000000000000001</v>
      </c>
      <c r="O37" s="18">
        <v>0.86</v>
      </c>
      <c r="P37" s="18">
        <v>0.69</v>
      </c>
      <c r="Q37" s="18">
        <v>1</v>
      </c>
      <c r="R37" s="17">
        <v>0</v>
      </c>
      <c r="S37" s="17">
        <v>0</v>
      </c>
      <c r="T37" s="259">
        <v>0</v>
      </c>
      <c r="U37" s="258" t="str">
        <f t="shared" si="0"/>
        <v>Normal</v>
      </c>
      <c r="V37" s="258" t="str">
        <f t="shared" si="1"/>
        <v>Normal</v>
      </c>
      <c r="W37" s="264">
        <f t="shared" si="2"/>
        <v>0.31061806656101426</v>
      </c>
      <c r="X37" s="264">
        <f t="shared" si="3"/>
        <v>0.20578231292517007</v>
      </c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33">
        <f t="shared" si="4"/>
        <v>44858</v>
      </c>
      <c r="AK37" s="1" cm="1">
        <f t="array" ref="AK37">SUMIFS(calls_off_OECS,period_OECS,"&gt;="&amp;AJ37,period_OECS,"&lt;"&amp;AJ38)</f>
        <v>2692</v>
      </c>
      <c r="AL37" s="100">
        <f>SUMIFS(Table2[Calls Ans],Table2[Date],"&gt;="&amp;AJ37,Table2[Date],"&lt;"&amp;AJ38)</f>
        <v>2516</v>
      </c>
    </row>
    <row r="38" spans="1:41">
      <c r="A38" s="195">
        <v>44688</v>
      </c>
      <c r="B38" s="310">
        <f>IF(YEAR(Table9[[#This Row],[Date]]) = 2022, WEEKNUM(Table9[[#This Row],[Date]])-13, WEEKNUM(Table9[[#This Row],[Date]])+40)</f>
        <v>6</v>
      </c>
      <c r="C38" s="36" t="s">
        <v>53</v>
      </c>
      <c r="D38" s="254" t="s">
        <v>59</v>
      </c>
      <c r="E38" s="32">
        <v>306</v>
      </c>
      <c r="F38" s="32">
        <v>269</v>
      </c>
      <c r="G38" s="66">
        <v>0.33043478260869563</v>
      </c>
      <c r="H38" s="66">
        <v>0.22272727272727272</v>
      </c>
      <c r="I38" s="32">
        <v>3343</v>
      </c>
      <c r="J38" s="32">
        <v>2944</v>
      </c>
      <c r="K38" s="32">
        <v>16317</v>
      </c>
      <c r="L38" s="32">
        <v>14580</v>
      </c>
      <c r="M38" s="37">
        <v>0.66</v>
      </c>
      <c r="N38" s="37">
        <v>0.12</v>
      </c>
      <c r="O38" s="37">
        <v>0.88</v>
      </c>
      <c r="P38" s="37">
        <v>0.65</v>
      </c>
      <c r="Q38" s="37">
        <v>1</v>
      </c>
      <c r="R38" s="108">
        <v>0</v>
      </c>
      <c r="S38" s="108">
        <v>0</v>
      </c>
      <c r="T38" s="259">
        <v>0</v>
      </c>
      <c r="U38" s="258" t="str">
        <f t="shared" si="0"/>
        <v>Normal</v>
      </c>
      <c r="V38" s="258" t="str">
        <f t="shared" si="1"/>
        <v>Normal</v>
      </c>
      <c r="W38" s="264">
        <f t="shared" si="2"/>
        <v>0.33043478260869563</v>
      </c>
      <c r="X38" s="264">
        <f t="shared" si="3"/>
        <v>0.22272727272727272</v>
      </c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33">
        <f t="shared" si="4"/>
        <v>44865</v>
      </c>
      <c r="AK38" s="1" cm="1">
        <f t="array" ref="AK38">SUMIFS(calls_off_OECS,period_OECS,"&gt;="&amp;AJ38,period_OECS,"&lt;"&amp;AJ39)</f>
        <v>2955</v>
      </c>
      <c r="AL38" s="100">
        <f>SUMIFS(Table2[Calls Ans],Table2[Date],"&gt;="&amp;AJ38,Table2[Date],"&lt;"&amp;AJ39)</f>
        <v>2763</v>
      </c>
    </row>
    <row r="39" spans="1:41">
      <c r="A39" s="194">
        <v>44689</v>
      </c>
      <c r="B39" s="309">
        <f>IF(YEAR(Table9[[#This Row],[Date]]) = 2022, WEEKNUM(Table9[[#This Row],[Date]])-13, WEEKNUM(Table9[[#This Row],[Date]])+40)</f>
        <v>7</v>
      </c>
      <c r="C39" s="9" t="s">
        <v>47</v>
      </c>
      <c r="D39" s="254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7">
        <v>0</v>
      </c>
      <c r="S39" s="17">
        <v>0</v>
      </c>
      <c r="T39" s="259">
        <v>0</v>
      </c>
      <c r="U39" s="258" t="str">
        <f t="shared" si="0"/>
        <v>Normal</v>
      </c>
      <c r="V39" s="258" t="str">
        <f t="shared" si="1"/>
        <v>Normal</v>
      </c>
      <c r="W39" s="264">
        <f t="shared" si="2"/>
        <v>0</v>
      </c>
      <c r="X39" s="264">
        <f t="shared" si="3"/>
        <v>0</v>
      </c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33">
        <f t="shared" si="4"/>
        <v>44872</v>
      </c>
      <c r="AK39" s="1" cm="1">
        <f t="array" ref="AK39">SUMIFS(calls_off_OECS,period_OECS,"&gt;="&amp;AJ39,period_OECS,"&lt;"&amp;AJ40)</f>
        <v>3473</v>
      </c>
      <c r="AL39" s="100">
        <f>SUMIFS(Table2[Calls Ans],Table2[Date],"&gt;="&amp;AJ39,Table2[Date],"&lt;"&amp;AJ40)</f>
        <v>3328</v>
      </c>
      <c r="AN39">
        <f>(Table8[[#This Row],[Sum of Calls - Offered]]-AK38)/AK38</f>
        <v>0.17529610829103215</v>
      </c>
      <c r="AO39">
        <f>(Table8[[#This Row],[Sum of Calls - Answered]]-AL38)/AL38</f>
        <v>0.20448787549764749</v>
      </c>
    </row>
    <row r="40" spans="1:41">
      <c r="A40" s="195">
        <v>44690</v>
      </c>
      <c r="B40" s="310">
        <f>IF(YEAR(Table9[[#This Row],[Date]]) = 2022, WEEKNUM(Table9[[#This Row],[Date]])-13, WEEKNUM(Table9[[#This Row],[Date]])+40)</f>
        <v>7</v>
      </c>
      <c r="C40" s="36" t="s">
        <v>48</v>
      </c>
      <c r="D40" s="254" t="s">
        <v>59</v>
      </c>
      <c r="E40" s="32">
        <v>754</v>
      </c>
      <c r="F40" s="32">
        <v>689</v>
      </c>
      <c r="G40" s="66">
        <v>0</v>
      </c>
      <c r="H40" s="66">
        <v>0</v>
      </c>
      <c r="I40" s="32">
        <v>4097</v>
      </c>
      <c r="J40" s="32">
        <v>3633</v>
      </c>
      <c r="K40" s="32">
        <v>17071</v>
      </c>
      <c r="L40" s="32">
        <v>15269</v>
      </c>
      <c r="M40" s="37">
        <v>0.76</v>
      </c>
      <c r="N40" s="37">
        <v>0.09</v>
      </c>
      <c r="O40" s="37">
        <v>0.91</v>
      </c>
      <c r="P40" s="37">
        <v>0.82</v>
      </c>
      <c r="Q40" s="37">
        <v>1</v>
      </c>
      <c r="R40" s="108">
        <v>0</v>
      </c>
      <c r="S40" s="108">
        <v>0</v>
      </c>
      <c r="T40" s="259">
        <v>0</v>
      </c>
      <c r="U40" s="258" t="str">
        <f t="shared" si="0"/>
        <v>Normal</v>
      </c>
      <c r="V40" s="258" t="str">
        <f t="shared" si="1"/>
        <v>Normal</v>
      </c>
      <c r="W40" s="264">
        <f t="shared" si="2"/>
        <v>0</v>
      </c>
      <c r="X40" s="264">
        <f t="shared" si="3"/>
        <v>0</v>
      </c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33">
        <f t="shared" si="4"/>
        <v>44879</v>
      </c>
      <c r="AK40" s="1" cm="1">
        <f t="array" ref="AK40">SUMIFS(calls_off_OECS,period_OECS,"&gt;="&amp;AJ40,period_OECS,"&lt;"&amp;AJ41)</f>
        <v>3495</v>
      </c>
      <c r="AL40" s="100">
        <f>SUMIFS(Table2[Calls Ans],Table2[Date],"&gt;="&amp;AJ40,Table2[Date],"&lt;"&amp;AJ41)</f>
        <v>3312</v>
      </c>
    </row>
    <row r="41" spans="1:41">
      <c r="A41" s="194">
        <v>44691</v>
      </c>
      <c r="B41" s="309">
        <f>IF(YEAR(Table9[[#This Row],[Date]]) = 2022, WEEKNUM(Table9[[#This Row],[Date]])-13, WEEKNUM(Table9[[#This Row],[Date]])+40)</f>
        <v>7</v>
      </c>
      <c r="C41" s="9" t="s">
        <v>49</v>
      </c>
      <c r="D41" s="254" t="s">
        <v>59</v>
      </c>
      <c r="E41" s="1">
        <v>663</v>
      </c>
      <c r="F41" s="1">
        <v>615</v>
      </c>
      <c r="G41" s="67">
        <v>-0.18948655256723718</v>
      </c>
      <c r="H41" s="67">
        <v>-0.12889518413597734</v>
      </c>
      <c r="I41" s="1">
        <v>4760</v>
      </c>
      <c r="J41" s="1">
        <v>4248</v>
      </c>
      <c r="K41" s="1">
        <v>17734</v>
      </c>
      <c r="L41" s="1">
        <v>15884</v>
      </c>
      <c r="M41" s="18">
        <v>0.83</v>
      </c>
      <c r="N41" s="18">
        <v>7.0000000000000007E-2</v>
      </c>
      <c r="O41" s="18">
        <v>0.93</v>
      </c>
      <c r="P41" s="18">
        <v>0.6</v>
      </c>
      <c r="Q41" s="18">
        <v>1</v>
      </c>
      <c r="R41" s="17">
        <v>0</v>
      </c>
      <c r="S41" s="17">
        <v>0</v>
      </c>
      <c r="T41" s="259">
        <v>0</v>
      </c>
      <c r="U41" s="258" t="str">
        <f t="shared" si="0"/>
        <v>Normal</v>
      </c>
      <c r="V41" s="258" t="str">
        <f t="shared" si="1"/>
        <v>Normal</v>
      </c>
      <c r="W41" s="264">
        <f t="shared" si="2"/>
        <v>-0.18948655256723718</v>
      </c>
      <c r="X41" s="264">
        <f t="shared" si="3"/>
        <v>-0.12889518413597734</v>
      </c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J41" s="33">
        <f t="shared" si="4"/>
        <v>44886</v>
      </c>
      <c r="AK41" s="1" cm="1">
        <f t="array" ref="AK41">SUMIFS(calls_off_OECS,period_OECS,"&gt;="&amp;AJ41,period_OECS,"&lt;"&amp;AJ42)</f>
        <v>4127</v>
      </c>
      <c r="AL41" s="100" cm="1">
        <f t="array" ref="AL41">SUMIFS(calls_ans_OECS, period_OECS,"&gt;="&amp;AJ41,period_OECS,"&lt;"&amp;AJ42)</f>
        <v>3930</v>
      </c>
    </row>
    <row r="42" spans="1:41">
      <c r="A42" s="195">
        <v>44692</v>
      </c>
      <c r="B42" s="310">
        <f>IF(YEAR(Table9[[#This Row],[Date]]) = 2022, WEEKNUM(Table9[[#This Row],[Date]])-13, WEEKNUM(Table9[[#This Row],[Date]])+40)</f>
        <v>7</v>
      </c>
      <c r="C42" s="36" t="s">
        <v>50</v>
      </c>
      <c r="D42" s="254" t="s">
        <v>59</v>
      </c>
      <c r="E42" s="32">
        <v>545</v>
      </c>
      <c r="F42" s="32">
        <v>516</v>
      </c>
      <c r="G42" s="66">
        <v>-0.21014492753623187</v>
      </c>
      <c r="H42" s="66">
        <v>-0.18354430379746836</v>
      </c>
      <c r="I42" s="32">
        <v>5305</v>
      </c>
      <c r="J42" s="32">
        <v>4764</v>
      </c>
      <c r="K42" s="32">
        <v>18279</v>
      </c>
      <c r="L42" s="32">
        <v>16400</v>
      </c>
      <c r="M42" s="37">
        <v>0.76</v>
      </c>
      <c r="N42" s="37">
        <v>0.09</v>
      </c>
      <c r="O42" s="37">
        <v>0.91</v>
      </c>
      <c r="P42" s="37">
        <v>0.82</v>
      </c>
      <c r="Q42" s="37">
        <v>1</v>
      </c>
      <c r="R42" s="108">
        <v>0</v>
      </c>
      <c r="S42" s="108">
        <v>0</v>
      </c>
      <c r="T42" s="259">
        <v>0</v>
      </c>
      <c r="U42" s="258" t="str">
        <f t="shared" si="0"/>
        <v>Normal</v>
      </c>
      <c r="V42" s="258" t="str">
        <f t="shared" si="1"/>
        <v>Normal</v>
      </c>
      <c r="W42" s="264">
        <f t="shared" si="2"/>
        <v>-0.21014492753623187</v>
      </c>
      <c r="X42" s="264">
        <f t="shared" si="3"/>
        <v>-0.18354430379746836</v>
      </c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J42" s="33">
        <f t="shared" si="4"/>
        <v>44893</v>
      </c>
      <c r="AK42" s="1" cm="1">
        <f t="array" ref="AK42">SUMIFS(calls_off_OECS,period_OECS,"&gt;="&amp;AJ42,period_OECS,"&lt;"&amp;AJ43)</f>
        <v>4539</v>
      </c>
      <c r="AL42" s="100" cm="1">
        <f t="array" ref="AL42">SUMIFS(calls_ans_OECS, period_OECS,"&gt;="&amp;AJ42,period_OECS,"&lt;"&amp;AJ43)</f>
        <v>4283</v>
      </c>
    </row>
    <row r="43" spans="1:41">
      <c r="A43" s="194">
        <v>44693</v>
      </c>
      <c r="B43" s="309">
        <f>IF(YEAR(Table9[[#This Row],[Date]]) = 2022, WEEKNUM(Table9[[#This Row],[Date]])-13, WEEKNUM(Table9[[#This Row],[Date]])+40)</f>
        <v>7</v>
      </c>
      <c r="C43" s="9" t="s">
        <v>51</v>
      </c>
      <c r="D43" s="254" t="s">
        <v>59</v>
      </c>
      <c r="E43" s="1">
        <v>476</v>
      </c>
      <c r="F43" s="1">
        <v>454</v>
      </c>
      <c r="G43" s="67">
        <v>-0.32193732193732194</v>
      </c>
      <c r="H43" s="67">
        <v>-0.27707006369426751</v>
      </c>
      <c r="I43" s="1">
        <v>5781</v>
      </c>
      <c r="J43" s="1">
        <v>5218</v>
      </c>
      <c r="K43" s="1">
        <v>18755</v>
      </c>
      <c r="L43" s="1">
        <v>16854</v>
      </c>
      <c r="M43" s="18">
        <v>0.9</v>
      </c>
      <c r="N43" s="18">
        <v>0.05</v>
      </c>
      <c r="O43" s="18">
        <v>0.95</v>
      </c>
      <c r="P43" s="18">
        <v>0.45</v>
      </c>
      <c r="Q43" s="18">
        <v>1</v>
      </c>
      <c r="R43" s="17">
        <v>0</v>
      </c>
      <c r="S43" s="17">
        <v>0</v>
      </c>
      <c r="T43" s="259">
        <v>0</v>
      </c>
      <c r="U43" s="258" t="str">
        <f t="shared" si="0"/>
        <v>Normal</v>
      </c>
      <c r="V43" s="258" t="str">
        <f t="shared" si="1"/>
        <v>Normal</v>
      </c>
      <c r="W43" s="264">
        <f t="shared" si="2"/>
        <v>-0.32193732193732194</v>
      </c>
      <c r="X43" s="264">
        <f t="shared" si="3"/>
        <v>-0.27707006369426751</v>
      </c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33">
        <f t="shared" si="4"/>
        <v>44900</v>
      </c>
      <c r="AK43" s="1" cm="1">
        <f t="array" ref="AK43">SUMIFS(calls_off_OECS,period_OECS,"&gt;="&amp;AJ43,period_OECS,"&lt;"&amp;AJ44)</f>
        <v>3463</v>
      </c>
      <c r="AL43" s="100" cm="1">
        <f t="array" ref="AL43">SUMIFS(calls_ans_OECS, period_OECS,"&gt;="&amp;AJ43,period_OECS,"&lt;"&amp;AJ44)</f>
        <v>3304</v>
      </c>
    </row>
    <row r="44" spans="1:41">
      <c r="A44" s="195">
        <v>44694</v>
      </c>
      <c r="B44" s="310">
        <f>IF(YEAR(Table9[[#This Row],[Date]]) = 2022, WEEKNUM(Table9[[#This Row],[Date]])-13, WEEKNUM(Table9[[#This Row],[Date]])+40)</f>
        <v>7</v>
      </c>
      <c r="C44" s="36" t="s">
        <v>52</v>
      </c>
      <c r="D44" s="254" t="s">
        <v>59</v>
      </c>
      <c r="E44" s="32">
        <v>569</v>
      </c>
      <c r="F44" s="32">
        <v>538</v>
      </c>
      <c r="G44" s="66">
        <v>-0.31197097944377267</v>
      </c>
      <c r="H44" s="66">
        <v>-0.24118476727785615</v>
      </c>
      <c r="I44" s="32">
        <v>6350</v>
      </c>
      <c r="J44" s="32">
        <v>5756</v>
      </c>
      <c r="K44" s="32">
        <v>19324</v>
      </c>
      <c r="L44" s="32">
        <v>17392</v>
      </c>
      <c r="M44" s="37">
        <v>0.87</v>
      </c>
      <c r="N44" s="37">
        <v>0.05</v>
      </c>
      <c r="O44" s="37">
        <v>0.95</v>
      </c>
      <c r="P44" s="37">
        <v>0.62</v>
      </c>
      <c r="Q44" s="37">
        <v>1</v>
      </c>
      <c r="R44" s="108">
        <v>0</v>
      </c>
      <c r="S44" s="108">
        <v>0</v>
      </c>
      <c r="T44" s="259">
        <v>0</v>
      </c>
      <c r="U44" s="258" t="str">
        <f t="shared" si="0"/>
        <v>Normal</v>
      </c>
      <c r="V44" s="258" t="str">
        <f t="shared" si="1"/>
        <v>Normal</v>
      </c>
      <c r="W44" s="264">
        <f t="shared" si="2"/>
        <v>-0.31197097944377267</v>
      </c>
      <c r="X44" s="264">
        <f t="shared" si="3"/>
        <v>-0.24118476727785615</v>
      </c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33">
        <f t="shared" si="4"/>
        <v>44907</v>
      </c>
      <c r="AK44" s="1" cm="1">
        <f t="array" ref="AK44">SUMIFS(calls_off_OECS,period_OECS,"&gt;="&amp;AJ44,period_OECS,"&lt;"&amp;AJ45)</f>
        <v>3542</v>
      </c>
      <c r="AL44" s="100" cm="1">
        <f t="array" ref="AL44">SUMIFS(calls_ans_OECS, period_OECS,"&gt;="&amp;AJ44,period_OECS,"&lt;"&amp;AJ45)</f>
        <v>3302</v>
      </c>
    </row>
    <row r="45" spans="1:41">
      <c r="A45" s="194">
        <v>44695</v>
      </c>
      <c r="B45" s="309">
        <f>IF(YEAR(Table9[[#This Row],[Date]]) = 2022, WEEKNUM(Table9[[#This Row],[Date]])-13, WEEKNUM(Table9[[#This Row],[Date]])+40)</f>
        <v>7</v>
      </c>
      <c r="C45" s="9" t="s">
        <v>53</v>
      </c>
      <c r="D45" s="254" t="s">
        <v>59</v>
      </c>
      <c r="E45" s="1">
        <v>161</v>
      </c>
      <c r="F45" s="1">
        <v>158</v>
      </c>
      <c r="G45" s="67">
        <v>-0.47385620915032678</v>
      </c>
      <c r="H45" s="67">
        <v>-0.41263940520446096</v>
      </c>
      <c r="I45" s="1">
        <v>6511</v>
      </c>
      <c r="J45" s="1">
        <v>5914</v>
      </c>
      <c r="K45" s="1">
        <v>19485</v>
      </c>
      <c r="L45" s="1">
        <v>17550</v>
      </c>
      <c r="M45" s="18">
        <v>0.92</v>
      </c>
      <c r="N45" s="18">
        <v>0.02</v>
      </c>
      <c r="O45" s="18">
        <v>0.98</v>
      </c>
      <c r="P45" s="18">
        <v>0.53</v>
      </c>
      <c r="Q45" s="18">
        <v>1</v>
      </c>
      <c r="R45" s="17">
        <v>0</v>
      </c>
      <c r="S45" s="17">
        <v>0</v>
      </c>
      <c r="T45" s="259">
        <v>0</v>
      </c>
      <c r="U45" s="258" t="str">
        <f t="shared" si="0"/>
        <v>Outlier</v>
      </c>
      <c r="V45" s="258" t="str">
        <f t="shared" si="1"/>
        <v>Outlier</v>
      </c>
      <c r="W45" s="264">
        <f t="shared" si="2"/>
        <v>-0.47385620915032678</v>
      </c>
      <c r="X45" s="264">
        <f t="shared" si="3"/>
        <v>-0.41263940520446096</v>
      </c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33">
        <f t="shared" si="4"/>
        <v>44914</v>
      </c>
      <c r="AK45" s="1" cm="1">
        <f t="array" ref="AK45">SUMIFS(calls_off_OECS,period_OECS,"&gt;="&amp;AJ45,period_OECS,"&lt;"&amp;AJ46)</f>
        <v>3933</v>
      </c>
      <c r="AL45" s="100" cm="1">
        <f t="array" ref="AL45">SUMIFS(calls_ans_OECS, period_OECS,"&gt;="&amp;AJ45,period_OECS,"&lt;"&amp;AJ46)</f>
        <v>3662</v>
      </c>
    </row>
    <row r="46" spans="1:41">
      <c r="A46" s="195">
        <v>44696</v>
      </c>
      <c r="B46" s="310">
        <f>IF(YEAR(Table9[[#This Row],[Date]]) = 2022, WEEKNUM(Table9[[#This Row],[Date]])-13, WEEKNUM(Table9[[#This Row],[Date]])+40)</f>
        <v>8</v>
      </c>
      <c r="C46" s="36" t="s">
        <v>47</v>
      </c>
      <c r="D46" s="254" t="s">
        <v>59</v>
      </c>
      <c r="E46" s="32">
        <v>0</v>
      </c>
      <c r="F46" s="32">
        <v>0</v>
      </c>
      <c r="G46" s="66">
        <v>0</v>
      </c>
      <c r="H46" s="66">
        <v>0</v>
      </c>
      <c r="I46" s="32">
        <v>0</v>
      </c>
      <c r="J46" s="32">
        <v>0</v>
      </c>
      <c r="K46" s="32">
        <v>0</v>
      </c>
      <c r="L46" s="32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108">
        <v>0</v>
      </c>
      <c r="S46" s="108">
        <v>0</v>
      </c>
      <c r="T46" s="259">
        <v>0</v>
      </c>
      <c r="U46" s="258" t="str">
        <f t="shared" si="0"/>
        <v>Normal</v>
      </c>
      <c r="V46" s="258" t="str">
        <f t="shared" si="1"/>
        <v>Normal</v>
      </c>
      <c r="W46" s="264">
        <f t="shared" si="2"/>
        <v>0</v>
      </c>
      <c r="X46" s="264">
        <f t="shared" si="3"/>
        <v>0</v>
      </c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33">
        <f t="shared" si="4"/>
        <v>44921</v>
      </c>
      <c r="AK46" s="1" cm="1">
        <f t="array" ref="AK46">SUMIFS(calls_off_OECS,period_OECS,"&gt;="&amp;AJ46,period_OECS,"&lt;"&amp;AJ47)</f>
        <v>1877</v>
      </c>
      <c r="AL46" s="100" cm="1">
        <f t="array" ref="AL46">SUMIFS(calls_ans_OECS, period_OECS,"&gt;="&amp;AJ46,period_OECS,"&lt;"&amp;AJ47)</f>
        <v>1822</v>
      </c>
    </row>
    <row r="47" spans="1:41">
      <c r="A47" s="194">
        <v>44697</v>
      </c>
      <c r="B47" s="309">
        <f>IF(YEAR(Table9[[#This Row],[Date]]) = 2022, WEEKNUM(Table9[[#This Row],[Date]])-13, WEEKNUM(Table9[[#This Row],[Date]])+40)</f>
        <v>8</v>
      </c>
      <c r="C47" s="9" t="s">
        <v>48</v>
      </c>
      <c r="D47" s="254" t="s">
        <v>59</v>
      </c>
      <c r="E47" s="1">
        <v>599</v>
      </c>
      <c r="F47" s="1">
        <v>577</v>
      </c>
      <c r="G47" s="67">
        <v>-0.20557029177718833</v>
      </c>
      <c r="H47" s="67">
        <v>-0.1625544267053701</v>
      </c>
      <c r="I47" s="1">
        <v>7110</v>
      </c>
      <c r="J47" s="1">
        <v>6491</v>
      </c>
      <c r="K47" s="1">
        <v>20084</v>
      </c>
      <c r="L47" s="1">
        <v>18127</v>
      </c>
      <c r="M47" s="18">
        <v>0.83</v>
      </c>
      <c r="N47" s="18">
        <v>0.04</v>
      </c>
      <c r="O47" s="18">
        <v>0.96</v>
      </c>
      <c r="P47" s="18">
        <v>0.66</v>
      </c>
      <c r="Q47" s="18">
        <v>1</v>
      </c>
      <c r="R47" s="17">
        <v>0</v>
      </c>
      <c r="S47" s="17">
        <v>0</v>
      </c>
      <c r="T47" s="259">
        <v>0</v>
      </c>
      <c r="U47" s="258" t="str">
        <f t="shared" si="0"/>
        <v>Normal</v>
      </c>
      <c r="V47" s="258" t="str">
        <f t="shared" si="1"/>
        <v>Normal</v>
      </c>
      <c r="W47" s="264">
        <f t="shared" si="2"/>
        <v>-0.20557029177718833</v>
      </c>
      <c r="X47" s="264">
        <f t="shared" si="3"/>
        <v>-0.1625544267053701</v>
      </c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J47" s="33">
        <f t="shared" si="4"/>
        <v>44928</v>
      </c>
      <c r="AK47" s="1" cm="1">
        <f t="array" ref="AK47">SUMIFS(calls_off_OECS,period_OECS,"&gt;="&amp;AJ47,period_OECS,"&lt;"&amp;AJ48)</f>
        <v>2079</v>
      </c>
      <c r="AL47" s="100" cm="1">
        <f t="array" ref="AL47">SUMIFS(calls_ans_OECS, period_OECS,"&gt;="&amp;AJ47,period_OECS,"&lt;"&amp;AJ48)</f>
        <v>2022</v>
      </c>
    </row>
    <row r="48" spans="1:41">
      <c r="A48" s="195">
        <v>44698</v>
      </c>
      <c r="B48" s="310">
        <f>IF(YEAR(Table9[[#This Row],[Date]]) = 2022, WEEKNUM(Table9[[#This Row],[Date]])-13, WEEKNUM(Table9[[#This Row],[Date]])+40)</f>
        <v>8</v>
      </c>
      <c r="C48" s="36" t="s">
        <v>49</v>
      </c>
      <c r="D48" s="254" t="s">
        <v>59</v>
      </c>
      <c r="E48" s="32">
        <v>621</v>
      </c>
      <c r="F48" s="32">
        <v>591</v>
      </c>
      <c r="G48" s="66">
        <v>-6.3348416289592757E-2</v>
      </c>
      <c r="H48" s="66">
        <v>-3.9024390243902439E-2</v>
      </c>
      <c r="I48" s="32">
        <v>7731</v>
      </c>
      <c r="J48" s="32">
        <v>7082</v>
      </c>
      <c r="K48" s="32">
        <v>20705</v>
      </c>
      <c r="L48" s="32">
        <v>18718</v>
      </c>
      <c r="M48" s="37">
        <v>0.81</v>
      </c>
      <c r="N48" s="37">
        <v>0.05</v>
      </c>
      <c r="O48" s="37">
        <v>0.95</v>
      </c>
      <c r="P48" s="37">
        <v>0.69</v>
      </c>
      <c r="Q48" s="37">
        <v>1</v>
      </c>
      <c r="R48" s="108">
        <v>0</v>
      </c>
      <c r="S48" s="108">
        <v>0</v>
      </c>
      <c r="T48" s="259">
        <v>0</v>
      </c>
      <c r="U48" s="258" t="str">
        <f t="shared" si="0"/>
        <v>Normal</v>
      </c>
      <c r="V48" s="258" t="str">
        <f t="shared" si="1"/>
        <v>Normal</v>
      </c>
      <c r="W48" s="264">
        <f t="shared" si="2"/>
        <v>-6.3348416289592757E-2</v>
      </c>
      <c r="X48" s="264">
        <f t="shared" si="3"/>
        <v>-3.9024390243902439E-2</v>
      </c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J48" s="33">
        <f t="shared" si="4"/>
        <v>44935</v>
      </c>
      <c r="AK48" s="1" cm="1">
        <f t="array" ref="AK48">SUMIFS(calls_off_OECS,period_OECS,"&gt;="&amp;AJ48,period_OECS,"&lt;"&amp;AJ49)</f>
        <v>2627</v>
      </c>
      <c r="AL48" s="100" cm="1">
        <f t="array" ref="AL48">SUMIFS(calls_ans_OECS, period_OECS,"&gt;="&amp;AJ48,period_OECS,"&lt;"&amp;AJ49)</f>
        <v>2504</v>
      </c>
    </row>
    <row r="49" spans="1:38">
      <c r="A49" s="194">
        <v>44699</v>
      </c>
      <c r="B49" s="309">
        <f>IF(YEAR(Table9[[#This Row],[Date]]) = 2022, WEEKNUM(Table9[[#This Row],[Date]])-13, WEEKNUM(Table9[[#This Row],[Date]])+40)</f>
        <v>8</v>
      </c>
      <c r="C49" s="9" t="s">
        <v>50</v>
      </c>
      <c r="D49" s="254" t="s">
        <v>59</v>
      </c>
      <c r="E49" s="1">
        <v>578</v>
      </c>
      <c r="F49" s="1">
        <v>543</v>
      </c>
      <c r="G49" s="67">
        <v>6.0550458715596334E-2</v>
      </c>
      <c r="H49" s="67">
        <v>5.232558139534884E-2</v>
      </c>
      <c r="I49" s="1">
        <v>8309</v>
      </c>
      <c r="J49" s="1">
        <v>7625</v>
      </c>
      <c r="K49" s="1">
        <v>21283</v>
      </c>
      <c r="L49" s="1">
        <v>19261</v>
      </c>
      <c r="M49" s="18">
        <v>0.85</v>
      </c>
      <c r="N49" s="18">
        <v>0.05</v>
      </c>
      <c r="O49" s="18">
        <v>0.95</v>
      </c>
      <c r="P49" s="18">
        <v>0.54</v>
      </c>
      <c r="Q49" s="18">
        <v>1</v>
      </c>
      <c r="R49" s="17">
        <v>0</v>
      </c>
      <c r="S49" s="17">
        <v>0</v>
      </c>
      <c r="T49" s="259">
        <v>0</v>
      </c>
      <c r="U49" s="258" t="str">
        <f t="shared" si="0"/>
        <v>Normal</v>
      </c>
      <c r="V49" s="258" t="str">
        <f t="shared" si="1"/>
        <v>Normal</v>
      </c>
      <c r="W49" s="264">
        <f t="shared" si="2"/>
        <v>6.0550458715596334E-2</v>
      </c>
      <c r="X49" s="264">
        <f t="shared" si="3"/>
        <v>5.232558139534884E-2</v>
      </c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J49" s="33">
        <f t="shared" si="4"/>
        <v>44942</v>
      </c>
      <c r="AK49" s="1" cm="1">
        <f t="array" ref="AK49">SUMIFS(calls_off_OECS,period_OECS,"&gt;="&amp;AJ49,period_OECS,"&lt;"&amp;AJ50)</f>
        <v>2163</v>
      </c>
      <c r="AL49" s="100" cm="1">
        <f t="array" ref="AL49">SUMIFS(calls_ans_OECS, period_OECS,"&gt;="&amp;AJ49,period_OECS,"&lt;"&amp;AJ50)</f>
        <v>2077</v>
      </c>
    </row>
    <row r="50" spans="1:38">
      <c r="A50" s="195">
        <v>44700</v>
      </c>
      <c r="B50" s="310">
        <f>IF(YEAR(Table9[[#This Row],[Date]]) = 2022, WEEKNUM(Table9[[#This Row],[Date]])-13, WEEKNUM(Table9[[#This Row],[Date]])+40)</f>
        <v>8</v>
      </c>
      <c r="C50" s="36" t="s">
        <v>51</v>
      </c>
      <c r="D50" s="254" t="s">
        <v>59</v>
      </c>
      <c r="E50" s="32">
        <v>513</v>
      </c>
      <c r="F50" s="32">
        <v>484</v>
      </c>
      <c r="G50" s="66">
        <v>7.7731092436974791E-2</v>
      </c>
      <c r="H50" s="66">
        <v>6.6079295154185022E-2</v>
      </c>
      <c r="I50" s="32">
        <v>8822</v>
      </c>
      <c r="J50" s="32">
        <v>8109</v>
      </c>
      <c r="K50" s="32">
        <v>21796</v>
      </c>
      <c r="L50" s="32">
        <v>19745</v>
      </c>
      <c r="M50" s="37">
        <v>0.86</v>
      </c>
      <c r="N50" s="37">
        <v>0.06</v>
      </c>
      <c r="O50" s="37">
        <v>0.94</v>
      </c>
      <c r="P50" s="37">
        <v>0.56999999999999995</v>
      </c>
      <c r="Q50" s="37">
        <v>1</v>
      </c>
      <c r="R50" s="108">
        <v>0</v>
      </c>
      <c r="S50" s="108">
        <v>0</v>
      </c>
      <c r="T50" s="259">
        <v>0</v>
      </c>
      <c r="U50" s="258" t="str">
        <f t="shared" si="0"/>
        <v>Normal</v>
      </c>
      <c r="V50" s="258" t="str">
        <f t="shared" si="1"/>
        <v>Normal</v>
      </c>
      <c r="W50" s="264">
        <f t="shared" si="2"/>
        <v>7.7731092436974791E-2</v>
      </c>
      <c r="X50" s="264">
        <f t="shared" si="3"/>
        <v>6.6079295154185022E-2</v>
      </c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J50" s="33">
        <f t="shared" si="4"/>
        <v>44949</v>
      </c>
      <c r="AK50" s="1" cm="1">
        <f t="array" ref="AK50">SUMIFS(calls_off_OECS,period_OECS,"&gt;="&amp;AJ50,period_OECS,"&lt;"&amp;AJ51)</f>
        <v>2291</v>
      </c>
      <c r="AL50" s="100" cm="1">
        <f t="array" ref="AL50">SUMIFS(calls_ans_OECS, period_OECS,"&gt;="&amp;AJ50,period_OECS,"&lt;"&amp;AJ51)</f>
        <v>2198</v>
      </c>
    </row>
    <row r="51" spans="1:38">
      <c r="A51" s="194">
        <v>44701</v>
      </c>
      <c r="B51" s="309">
        <f>IF(YEAR(Table9[[#This Row],[Date]]) = 2022, WEEKNUM(Table9[[#This Row],[Date]])-13, WEEKNUM(Table9[[#This Row],[Date]])+40)</f>
        <v>8</v>
      </c>
      <c r="C51" s="9" t="s">
        <v>52</v>
      </c>
      <c r="D51" s="254" t="s">
        <v>59</v>
      </c>
      <c r="E51" s="1">
        <v>495</v>
      </c>
      <c r="F51" s="1">
        <v>450</v>
      </c>
      <c r="G51" s="67">
        <v>-0.13005272407732865</v>
      </c>
      <c r="H51" s="67">
        <v>-0.16356877323420074</v>
      </c>
      <c r="I51" s="1">
        <v>9317</v>
      </c>
      <c r="J51" s="1">
        <v>8559</v>
      </c>
      <c r="K51" s="1">
        <v>22291</v>
      </c>
      <c r="L51" s="1">
        <v>20195</v>
      </c>
      <c r="M51" s="18">
        <v>0.77</v>
      </c>
      <c r="N51" s="18">
        <v>0.09</v>
      </c>
      <c r="O51" s="18">
        <v>0.91</v>
      </c>
      <c r="P51" s="18">
        <v>0.55000000000000004</v>
      </c>
      <c r="Q51" s="18">
        <v>1</v>
      </c>
      <c r="R51" s="17">
        <v>0</v>
      </c>
      <c r="S51" s="17">
        <v>0</v>
      </c>
      <c r="T51" s="259">
        <v>0</v>
      </c>
      <c r="U51" s="258" t="str">
        <f t="shared" si="0"/>
        <v>Normal</v>
      </c>
      <c r="V51" s="258" t="str">
        <f t="shared" si="1"/>
        <v>Normal</v>
      </c>
      <c r="W51" s="264">
        <f t="shared" si="2"/>
        <v>-0.13005272407732865</v>
      </c>
      <c r="X51" s="264">
        <f t="shared" si="3"/>
        <v>-0.16356877323420074</v>
      </c>
      <c r="Y51" s="236"/>
      <c r="Z51" s="236"/>
      <c r="AA51" s="236"/>
      <c r="AB51" s="236"/>
      <c r="AC51" s="236"/>
      <c r="AD51" s="236"/>
      <c r="AE51" s="236"/>
      <c r="AF51" s="236"/>
      <c r="AG51" s="236"/>
      <c r="AH51" s="236"/>
      <c r="AI51" s="236"/>
      <c r="AJ51" s="33">
        <f t="shared" si="4"/>
        <v>44956</v>
      </c>
      <c r="AK51" s="1" cm="1">
        <f t="array" ref="AK51">SUMIFS(calls_off_OECS,period_OECS,"&gt;="&amp;AJ51,period_OECS,"&lt;"&amp;AJ52)</f>
        <v>2698</v>
      </c>
      <c r="AL51" s="100" cm="1">
        <f t="array" ref="AL51">SUMIFS(calls_ans_OECS, period_OECS,"&gt;="&amp;AJ51,period_OECS,"&lt;"&amp;AJ52)</f>
        <v>2549</v>
      </c>
    </row>
    <row r="52" spans="1:38">
      <c r="A52" s="195">
        <v>44702</v>
      </c>
      <c r="B52" s="310">
        <f>IF(YEAR(Table9[[#This Row],[Date]]) = 2022, WEEKNUM(Table9[[#This Row],[Date]])-13, WEEKNUM(Table9[[#This Row],[Date]])+40)</f>
        <v>8</v>
      </c>
      <c r="C52" s="36" t="s">
        <v>53</v>
      </c>
      <c r="D52" s="254" t="s">
        <v>59</v>
      </c>
      <c r="E52" s="32">
        <v>169</v>
      </c>
      <c r="F52" s="32">
        <v>162</v>
      </c>
      <c r="G52" s="66">
        <v>4.9689440993788817E-2</v>
      </c>
      <c r="H52" s="66">
        <v>2.5316455696202531E-2</v>
      </c>
      <c r="I52" s="32">
        <v>9486</v>
      </c>
      <c r="J52" s="32">
        <v>8721</v>
      </c>
      <c r="K52" s="32">
        <v>22460</v>
      </c>
      <c r="L52" s="32">
        <v>20357</v>
      </c>
      <c r="M52" s="37">
        <v>0.87</v>
      </c>
      <c r="N52" s="37">
        <v>0.04</v>
      </c>
      <c r="O52" s="37">
        <v>0.96</v>
      </c>
      <c r="P52" s="37">
        <v>0.66</v>
      </c>
      <c r="Q52" s="37">
        <v>1</v>
      </c>
      <c r="R52" s="108">
        <v>0</v>
      </c>
      <c r="S52" s="108">
        <v>0</v>
      </c>
      <c r="T52" s="259">
        <v>0</v>
      </c>
      <c r="U52" s="258" t="str">
        <f t="shared" si="0"/>
        <v>Normal</v>
      </c>
      <c r="V52" s="258" t="str">
        <f t="shared" si="1"/>
        <v>Normal</v>
      </c>
      <c r="W52" s="264">
        <f t="shared" si="2"/>
        <v>4.9689440993788817E-2</v>
      </c>
      <c r="X52" s="264">
        <f t="shared" si="3"/>
        <v>2.5316455696202531E-2</v>
      </c>
      <c r="Y52" s="236"/>
      <c r="Z52" s="236"/>
      <c r="AA52" s="236"/>
      <c r="AB52" s="236"/>
      <c r="AC52" s="236"/>
      <c r="AD52" s="236"/>
      <c r="AE52" s="236"/>
      <c r="AF52" s="236"/>
      <c r="AG52" s="236"/>
      <c r="AH52" s="236"/>
      <c r="AI52" s="236"/>
      <c r="AJ52" s="33">
        <f t="shared" si="4"/>
        <v>44963</v>
      </c>
      <c r="AK52" s="1" cm="1">
        <f t="array" ref="AK52">SUMIFS(calls_off_OECS,period_OECS,"&gt;="&amp;AJ52,period_OECS,"&lt;"&amp;AJ53)</f>
        <v>2253</v>
      </c>
      <c r="AL52" s="100" cm="1">
        <f t="array" ref="AL52">SUMIFS(calls_ans_OECS, period_OECS,"&gt;="&amp;AJ52,period_OECS,"&lt;"&amp;AJ53)</f>
        <v>2167</v>
      </c>
    </row>
    <row r="53" spans="1:38">
      <c r="A53" s="194">
        <v>44703</v>
      </c>
      <c r="B53" s="309">
        <f>IF(YEAR(Table9[[#This Row],[Date]]) = 2022, WEEKNUM(Table9[[#This Row],[Date]])-13, WEEKNUM(Table9[[#This Row],[Date]])+40)</f>
        <v>9</v>
      </c>
      <c r="C53" s="9" t="s">
        <v>47</v>
      </c>
      <c r="D53" s="254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7">
        <v>0</v>
      </c>
      <c r="S53" s="17">
        <v>0</v>
      </c>
      <c r="T53" s="259">
        <v>0</v>
      </c>
      <c r="U53" s="258" t="str">
        <f t="shared" si="0"/>
        <v>Normal</v>
      </c>
      <c r="V53" s="258" t="str">
        <f t="shared" si="1"/>
        <v>Normal</v>
      </c>
      <c r="W53" s="264">
        <f t="shared" si="2"/>
        <v>0</v>
      </c>
      <c r="X53" s="264">
        <f t="shared" si="3"/>
        <v>0</v>
      </c>
      <c r="Y53" s="236"/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33">
        <f t="shared" si="4"/>
        <v>44970</v>
      </c>
      <c r="AK53" s="1" cm="1">
        <f t="array" ref="AK53">SUMIFS(calls_off_OECS,period_OECS,"&gt;="&amp;AJ53,period_OECS,"&lt;"&amp;AJ54)</f>
        <v>1975</v>
      </c>
      <c r="AL53" s="100" cm="1">
        <f t="array" ref="AL53">SUMIFS(calls_ans_OECS, period_OECS,"&gt;="&amp;AJ53,period_OECS,"&lt;"&amp;AJ54)</f>
        <v>1905</v>
      </c>
    </row>
    <row r="54" spans="1:38">
      <c r="A54" s="195">
        <v>44704</v>
      </c>
      <c r="B54" s="310">
        <f>IF(YEAR(Table9[[#This Row],[Date]]) = 2022, WEEKNUM(Table9[[#This Row],[Date]])-13, WEEKNUM(Table9[[#This Row],[Date]])+40)</f>
        <v>9</v>
      </c>
      <c r="C54" s="36" t="s">
        <v>48</v>
      </c>
      <c r="D54" s="254" t="s">
        <v>59</v>
      </c>
      <c r="E54" s="32">
        <v>577</v>
      </c>
      <c r="F54" s="32">
        <v>527</v>
      </c>
      <c r="G54" s="66">
        <v>-3.6727879799666109E-2</v>
      </c>
      <c r="H54" s="66">
        <v>-8.6655112651646451E-2</v>
      </c>
      <c r="I54" s="32">
        <v>10063</v>
      </c>
      <c r="J54" s="32">
        <v>9248</v>
      </c>
      <c r="K54" s="32">
        <v>23037</v>
      </c>
      <c r="L54" s="32">
        <v>20884</v>
      </c>
      <c r="M54" s="37">
        <v>0.76</v>
      </c>
      <c r="N54" s="37">
        <v>0.09</v>
      </c>
      <c r="O54" s="37">
        <v>0.91</v>
      </c>
      <c r="P54" s="37">
        <v>0.54</v>
      </c>
      <c r="Q54" s="37">
        <v>1</v>
      </c>
      <c r="R54" s="108">
        <v>0</v>
      </c>
      <c r="S54" s="108">
        <v>0</v>
      </c>
      <c r="T54" s="259">
        <v>0</v>
      </c>
      <c r="U54" s="258" t="str">
        <f t="shared" si="0"/>
        <v>Normal</v>
      </c>
      <c r="V54" s="258" t="str">
        <f t="shared" si="1"/>
        <v>Normal</v>
      </c>
      <c r="W54" s="264">
        <f t="shared" si="2"/>
        <v>-3.6727879799666109E-2</v>
      </c>
      <c r="X54" s="264">
        <f t="shared" si="3"/>
        <v>-8.6655112651646451E-2</v>
      </c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33">
        <f t="shared" si="4"/>
        <v>44977</v>
      </c>
      <c r="AK54" s="1" cm="1">
        <f t="array" ref="AK54">SUMIFS(calls_off_OECS,period_OECS,"&gt;="&amp;AJ54,period_OECS,"&lt;"&amp;AJ55)</f>
        <v>2125</v>
      </c>
      <c r="AL54" s="100" cm="1">
        <f t="array" ref="AL54">SUMIFS(calls_ans_OECS, period_OECS,"&gt;="&amp;AJ54,period_OECS,"&lt;"&amp;AJ55)</f>
        <v>2052</v>
      </c>
    </row>
    <row r="55" spans="1:38">
      <c r="A55" s="194">
        <v>44705</v>
      </c>
      <c r="B55" s="309">
        <f>IF(YEAR(Table9[[#This Row],[Date]]) = 2022, WEEKNUM(Table9[[#This Row],[Date]])-13, WEEKNUM(Table9[[#This Row],[Date]])+40)</f>
        <v>9</v>
      </c>
      <c r="C55" s="9" t="s">
        <v>49</v>
      </c>
      <c r="D55" s="254" t="s">
        <v>59</v>
      </c>
      <c r="E55" s="1">
        <v>587</v>
      </c>
      <c r="F55" s="1">
        <v>559</v>
      </c>
      <c r="G55" s="67">
        <v>-5.4750402576489533E-2</v>
      </c>
      <c r="H55" s="67">
        <v>-5.4145516074450083E-2</v>
      </c>
      <c r="I55" s="1">
        <v>10650</v>
      </c>
      <c r="J55" s="1">
        <v>9807</v>
      </c>
      <c r="K55" s="1">
        <v>23624</v>
      </c>
      <c r="L55" s="1">
        <v>21443</v>
      </c>
      <c r="M55" s="18">
        <v>0.84</v>
      </c>
      <c r="N55" s="18">
        <v>0.05</v>
      </c>
      <c r="O55" s="18">
        <v>0.95</v>
      </c>
      <c r="P55" s="18">
        <v>0.54</v>
      </c>
      <c r="Q55" s="18">
        <v>1</v>
      </c>
      <c r="R55" s="17">
        <v>0</v>
      </c>
      <c r="S55" s="17">
        <v>0</v>
      </c>
      <c r="T55" s="259">
        <v>0</v>
      </c>
      <c r="U55" s="258" t="str">
        <f t="shared" si="0"/>
        <v>Normal</v>
      </c>
      <c r="V55" s="258" t="str">
        <f t="shared" si="1"/>
        <v>Normal</v>
      </c>
      <c r="W55" s="264">
        <f t="shared" si="2"/>
        <v>-5.4750402576489533E-2</v>
      </c>
      <c r="X55" s="264">
        <f t="shared" si="3"/>
        <v>-5.4145516074450083E-2</v>
      </c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J55" s="33">
        <f t="shared" si="4"/>
        <v>44984</v>
      </c>
      <c r="AK55" s="1" cm="1">
        <f t="array" ref="AK55">SUMIFS(calls_off_OECS,period_OECS,"&gt;="&amp;AJ55,period_OECS,"&lt;"&amp;AJ56)</f>
        <v>2489</v>
      </c>
      <c r="AL55" s="100" cm="1">
        <f t="array" ref="AL55">SUMIFS(calls_ans_OECS, period_OECS,"&gt;="&amp;AJ55,period_OECS,"&lt;"&amp;AJ56)</f>
        <v>2368</v>
      </c>
    </row>
    <row r="56" spans="1:38">
      <c r="A56" s="195">
        <v>44706</v>
      </c>
      <c r="B56" s="310">
        <f>IF(YEAR(Table9[[#This Row],[Date]]) = 2022, WEEKNUM(Table9[[#This Row],[Date]])-13, WEEKNUM(Table9[[#This Row],[Date]])+40)</f>
        <v>9</v>
      </c>
      <c r="C56" s="36" t="s">
        <v>50</v>
      </c>
      <c r="D56" s="254" t="s">
        <v>59</v>
      </c>
      <c r="E56" s="32">
        <v>564</v>
      </c>
      <c r="F56" s="32">
        <v>510</v>
      </c>
      <c r="G56" s="66">
        <v>-2.4221453287197232E-2</v>
      </c>
      <c r="H56" s="66">
        <v>-6.0773480662983423E-2</v>
      </c>
      <c r="I56" s="32">
        <v>11214</v>
      </c>
      <c r="J56" s="32">
        <v>10317</v>
      </c>
      <c r="K56" s="32">
        <v>24188</v>
      </c>
      <c r="L56" s="32">
        <v>21953</v>
      </c>
      <c r="M56" s="37">
        <v>0.75</v>
      </c>
      <c r="N56" s="37">
        <v>0.1</v>
      </c>
      <c r="O56" s="37">
        <v>0.9</v>
      </c>
      <c r="P56" s="37">
        <v>0.61</v>
      </c>
      <c r="Q56" s="37">
        <v>1</v>
      </c>
      <c r="R56" s="108">
        <v>0</v>
      </c>
      <c r="S56" s="108">
        <v>0</v>
      </c>
      <c r="T56" s="259">
        <v>0</v>
      </c>
      <c r="U56" s="258" t="str">
        <f t="shared" si="0"/>
        <v>Normal</v>
      </c>
      <c r="V56" s="258" t="str">
        <f t="shared" si="1"/>
        <v>Normal</v>
      </c>
      <c r="W56" s="264">
        <f t="shared" si="2"/>
        <v>-2.4221453287197232E-2</v>
      </c>
      <c r="X56" s="264">
        <f t="shared" si="3"/>
        <v>-6.0773480662983423E-2</v>
      </c>
      <c r="Y56" s="236"/>
      <c r="Z56" s="236"/>
      <c r="AA56" s="236"/>
      <c r="AB56" s="236"/>
      <c r="AC56" s="236"/>
      <c r="AD56" s="236"/>
      <c r="AE56" s="236"/>
      <c r="AF56" s="236"/>
      <c r="AG56" s="236"/>
      <c r="AH56" s="236"/>
      <c r="AI56" s="236"/>
      <c r="AJ56" s="33">
        <f t="shared" si="4"/>
        <v>44991</v>
      </c>
      <c r="AK56" s="1" cm="1">
        <f t="array" ref="AK56">SUMIFS(calls_off_OECS,period_OECS,"&gt;="&amp;AJ56,period_OECS,"&lt;"&amp;AJ57)</f>
        <v>2340</v>
      </c>
      <c r="AL56" s="100" cm="1">
        <f t="array" ref="AL56">SUMIFS(calls_ans_OECS, period_OECS,"&gt;="&amp;AJ56,period_OECS,"&lt;"&amp;AJ57)</f>
        <v>2240</v>
      </c>
    </row>
    <row r="57" spans="1:38">
      <c r="A57" s="194">
        <v>44707</v>
      </c>
      <c r="B57" s="309">
        <f>IF(YEAR(Table9[[#This Row],[Date]]) = 2022, WEEKNUM(Table9[[#This Row],[Date]])-13, WEEKNUM(Table9[[#This Row],[Date]])+40)</f>
        <v>9</v>
      </c>
      <c r="C57" s="9" t="s">
        <v>51</v>
      </c>
      <c r="D57" s="254" t="s">
        <v>59</v>
      </c>
      <c r="E57" s="1">
        <v>480</v>
      </c>
      <c r="F57" s="1">
        <v>470</v>
      </c>
      <c r="G57" s="67">
        <v>-6.4327485380116955E-2</v>
      </c>
      <c r="H57" s="67">
        <v>-2.8925619834710745E-2</v>
      </c>
      <c r="I57" s="1">
        <v>11694</v>
      </c>
      <c r="J57" s="1">
        <v>10787</v>
      </c>
      <c r="K57" s="1">
        <v>24668</v>
      </c>
      <c r="L57" s="1">
        <v>22423</v>
      </c>
      <c r="M57" s="18">
        <v>0.8</v>
      </c>
      <c r="N57" s="18">
        <v>0.02</v>
      </c>
      <c r="O57" s="18">
        <v>0.98</v>
      </c>
      <c r="P57" s="18">
        <v>0.54</v>
      </c>
      <c r="Q57" s="18">
        <v>1</v>
      </c>
      <c r="R57" s="17">
        <v>0</v>
      </c>
      <c r="S57" s="17">
        <v>0</v>
      </c>
      <c r="T57" s="259">
        <v>0</v>
      </c>
      <c r="U57" s="258" t="str">
        <f t="shared" si="0"/>
        <v>Normal</v>
      </c>
      <c r="V57" s="258" t="str">
        <f t="shared" si="1"/>
        <v>Normal</v>
      </c>
      <c r="W57" s="264">
        <f t="shared" si="2"/>
        <v>-6.4327485380116955E-2</v>
      </c>
      <c r="X57" s="264">
        <f t="shared" si="3"/>
        <v>-2.8925619834710745E-2</v>
      </c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33">
        <f t="shared" si="4"/>
        <v>44998</v>
      </c>
      <c r="AK57" s="1" cm="1">
        <f t="array" ref="AK57">SUMIFS(calls_off_OECS,period_OECS,"&gt;="&amp;AJ57,period_OECS,"&lt;"&amp;AJ58)</f>
        <v>1915</v>
      </c>
      <c r="AL57" s="100" cm="1">
        <f t="array" ref="AL57">SUMIFS(calls_ans_OECS, period_OECS,"&gt;="&amp;AJ57,period_OECS,"&lt;"&amp;AJ58)</f>
        <v>1826</v>
      </c>
    </row>
    <row r="58" spans="1:38">
      <c r="A58" s="195">
        <v>44708</v>
      </c>
      <c r="B58" s="310">
        <f>IF(YEAR(Table9[[#This Row],[Date]]) = 2022, WEEKNUM(Table9[[#This Row],[Date]])-13, WEEKNUM(Table9[[#This Row],[Date]])+40)</f>
        <v>9</v>
      </c>
      <c r="C58" s="36" t="s">
        <v>52</v>
      </c>
      <c r="D58" s="254" t="s">
        <v>59</v>
      </c>
      <c r="E58" s="32">
        <v>488</v>
      </c>
      <c r="F58" s="32">
        <v>465</v>
      </c>
      <c r="G58" s="66">
        <v>-1.4141414141414142E-2</v>
      </c>
      <c r="H58" s="66">
        <v>3.3333333333333333E-2</v>
      </c>
      <c r="I58" s="32">
        <v>12182</v>
      </c>
      <c r="J58" s="32">
        <v>11252</v>
      </c>
      <c r="K58" s="32">
        <v>25156</v>
      </c>
      <c r="L58" s="32">
        <v>22888</v>
      </c>
      <c r="M58" s="37">
        <v>0.93</v>
      </c>
      <c r="N58" s="37">
        <v>0.05</v>
      </c>
      <c r="O58" s="37">
        <v>0.95</v>
      </c>
      <c r="P58" s="37">
        <v>0.43</v>
      </c>
      <c r="Q58" s="37">
        <v>1</v>
      </c>
      <c r="R58" s="108">
        <v>0</v>
      </c>
      <c r="S58" s="108">
        <v>0</v>
      </c>
      <c r="T58" s="259">
        <v>0</v>
      </c>
      <c r="U58" s="258" t="str">
        <f t="shared" si="0"/>
        <v>Normal</v>
      </c>
      <c r="V58" s="258" t="str">
        <f t="shared" si="1"/>
        <v>Normal</v>
      </c>
      <c r="W58" s="264">
        <f t="shared" si="2"/>
        <v>-1.4141414141414142E-2</v>
      </c>
      <c r="X58" s="264">
        <f t="shared" si="3"/>
        <v>3.3333333333333333E-2</v>
      </c>
      <c r="Y58" s="236"/>
      <c r="Z58" s="236"/>
      <c r="AA58" s="236"/>
      <c r="AB58" s="236"/>
      <c r="AC58" s="236"/>
      <c r="AD58" s="236"/>
      <c r="AE58" s="236"/>
      <c r="AF58" s="236"/>
      <c r="AG58" s="236"/>
      <c r="AH58" s="236"/>
      <c r="AI58" s="236"/>
      <c r="AJ58" s="33">
        <f t="shared" si="4"/>
        <v>45005</v>
      </c>
      <c r="AK58" s="1" cm="1">
        <f t="array" ref="AK58">SUMIFS(calls_off_OECS,period_OECS,"&gt;="&amp;AJ58,period_OECS,"&lt;"&amp;AJ59)</f>
        <v>2387</v>
      </c>
      <c r="AL58" s="100" cm="1">
        <f t="array" ref="AL58">SUMIFS(calls_ans_OECS, period_OECS,"&gt;="&amp;AJ58,period_OECS,"&lt;"&amp;AJ59)</f>
        <v>2273</v>
      </c>
    </row>
    <row r="59" spans="1:38">
      <c r="A59" s="194">
        <v>44709</v>
      </c>
      <c r="B59" s="309">
        <f>IF(YEAR(Table9[[#This Row],[Date]]) = 2022, WEEKNUM(Table9[[#This Row],[Date]])-13, WEEKNUM(Table9[[#This Row],[Date]])+40)</f>
        <v>9</v>
      </c>
      <c r="C59" s="9" t="s">
        <v>53</v>
      </c>
      <c r="D59" s="254" t="s">
        <v>59</v>
      </c>
      <c r="E59" s="1">
        <v>147</v>
      </c>
      <c r="F59" s="1">
        <v>142</v>
      </c>
      <c r="G59" s="67">
        <v>-0.13017751479289941</v>
      </c>
      <c r="H59" s="67">
        <v>-0.12345679012345678</v>
      </c>
      <c r="I59" s="1">
        <v>12329</v>
      </c>
      <c r="J59" s="1">
        <v>11394</v>
      </c>
      <c r="K59" s="1">
        <v>25303</v>
      </c>
      <c r="L59" s="1">
        <v>23030</v>
      </c>
      <c r="M59" s="18">
        <v>0.92</v>
      </c>
      <c r="N59" s="18">
        <v>0.03</v>
      </c>
      <c r="O59" s="18">
        <v>0.97</v>
      </c>
      <c r="P59" s="18">
        <v>0.43</v>
      </c>
      <c r="Q59" s="18">
        <v>1</v>
      </c>
      <c r="R59" s="17">
        <v>0</v>
      </c>
      <c r="S59" s="17">
        <v>0</v>
      </c>
      <c r="T59" s="259">
        <v>0</v>
      </c>
      <c r="U59" s="258" t="str">
        <f t="shared" si="0"/>
        <v>Normal</v>
      </c>
      <c r="V59" s="258" t="str">
        <f t="shared" si="1"/>
        <v>Normal</v>
      </c>
      <c r="W59" s="264">
        <f t="shared" si="2"/>
        <v>-0.13017751479289941</v>
      </c>
      <c r="X59" s="264">
        <f t="shared" si="3"/>
        <v>-0.12345679012345678</v>
      </c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  <c r="AJ59" s="33">
        <f t="shared" si="4"/>
        <v>45012</v>
      </c>
      <c r="AK59" s="1" cm="1">
        <f t="array" ref="AK59">SUMIFS(calls_off_OECS,period_OECS,"&gt;="&amp;AJ59,period_OECS,"&lt;"&amp;AJ60)</f>
        <v>2324</v>
      </c>
      <c r="AL59" s="100" cm="1">
        <f t="array" ref="AL59">SUMIFS(calls_ans_OECS, period_OECS,"&gt;="&amp;AJ59,period_OECS,"&lt;"&amp;AJ60)</f>
        <v>2206</v>
      </c>
    </row>
    <row r="60" spans="1:38">
      <c r="A60" s="195">
        <v>44710</v>
      </c>
      <c r="B60" s="310">
        <f>IF(YEAR(Table9[[#This Row],[Date]]) = 2022, WEEKNUM(Table9[[#This Row],[Date]])-13, WEEKNUM(Table9[[#This Row],[Date]])+40)</f>
        <v>10</v>
      </c>
      <c r="C60" s="36" t="s">
        <v>47</v>
      </c>
      <c r="D60" s="254" t="s">
        <v>59</v>
      </c>
      <c r="E60" s="32">
        <v>0</v>
      </c>
      <c r="F60" s="32">
        <v>0</v>
      </c>
      <c r="G60" s="66">
        <v>0</v>
      </c>
      <c r="H60" s="66">
        <v>0</v>
      </c>
      <c r="I60" s="32">
        <v>0</v>
      </c>
      <c r="J60" s="32">
        <v>0</v>
      </c>
      <c r="K60" s="32">
        <v>0</v>
      </c>
      <c r="L60" s="32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108">
        <v>0</v>
      </c>
      <c r="S60" s="108">
        <v>0</v>
      </c>
      <c r="T60" s="259">
        <v>0</v>
      </c>
      <c r="U60" s="258" t="str">
        <f t="shared" si="0"/>
        <v>Normal</v>
      </c>
      <c r="V60" s="258" t="str">
        <f t="shared" si="1"/>
        <v>Normal</v>
      </c>
      <c r="W60" s="264">
        <f t="shared" si="2"/>
        <v>0</v>
      </c>
      <c r="X60" s="264">
        <f t="shared" si="3"/>
        <v>0</v>
      </c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J60" s="33">
        <f t="shared" si="4"/>
        <v>45019</v>
      </c>
      <c r="AK60" s="1" cm="1">
        <f t="array" ref="AK60">SUMIFS(calls_off_OECS,period_OECS,"&gt;="&amp;AJ60,period_OECS,"&lt;"&amp;AJ61)</f>
        <v>0</v>
      </c>
      <c r="AL60" s="100">
        <f>SUMIFS(F54:F161,A55:A162,"&gt;="&amp;AJ60,A54:A161,"&lt;"&amp;AJ61)</f>
        <v>0</v>
      </c>
    </row>
    <row r="61" spans="1:38">
      <c r="A61" s="194">
        <v>44711</v>
      </c>
      <c r="B61" s="309">
        <f>IF(YEAR(Table9[[#This Row],[Date]]) = 2022, WEEKNUM(Table9[[#This Row],[Date]])-13, WEEKNUM(Table9[[#This Row],[Date]])+40)</f>
        <v>10</v>
      </c>
      <c r="C61" s="9" t="s">
        <v>48</v>
      </c>
      <c r="D61" s="254" t="s">
        <v>59</v>
      </c>
      <c r="E61" s="1">
        <v>514</v>
      </c>
      <c r="F61" s="1">
        <v>480</v>
      </c>
      <c r="G61" s="67">
        <v>-0.10918544194107452</v>
      </c>
      <c r="H61" s="67">
        <v>-8.9184060721062622E-2</v>
      </c>
      <c r="I61" s="1">
        <v>12843</v>
      </c>
      <c r="J61" s="1">
        <v>11874</v>
      </c>
      <c r="K61" s="1">
        <v>25817</v>
      </c>
      <c r="L61" s="1">
        <v>23510</v>
      </c>
      <c r="M61" s="18">
        <v>0.87</v>
      </c>
      <c r="N61" s="18">
        <v>7.0000000000000007E-2</v>
      </c>
      <c r="O61" s="18">
        <v>0.93</v>
      </c>
      <c r="P61" s="18">
        <v>0.56999999999999995</v>
      </c>
      <c r="Q61" s="18">
        <v>1</v>
      </c>
      <c r="R61" s="17">
        <v>0</v>
      </c>
      <c r="S61" s="17">
        <v>0</v>
      </c>
      <c r="T61" s="259">
        <v>0</v>
      </c>
      <c r="U61" s="258" t="str">
        <f t="shared" si="0"/>
        <v>Normal</v>
      </c>
      <c r="V61" s="258" t="str">
        <f t="shared" si="1"/>
        <v>Normal</v>
      </c>
      <c r="W61" s="264">
        <f t="shared" si="2"/>
        <v>-0.10918544194107452</v>
      </c>
      <c r="X61" s="264">
        <f t="shared" si="3"/>
        <v>-8.9184060721062622E-2</v>
      </c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</row>
    <row r="62" spans="1:38">
      <c r="A62" s="195">
        <v>44712</v>
      </c>
      <c r="B62" s="310">
        <f>IF(YEAR(Table9[[#This Row],[Date]]) = 2022, WEEKNUM(Table9[[#This Row],[Date]])-13, WEEKNUM(Table9[[#This Row],[Date]])+40)</f>
        <v>10</v>
      </c>
      <c r="C62" s="36" t="s">
        <v>49</v>
      </c>
      <c r="D62" s="254" t="s">
        <v>59</v>
      </c>
      <c r="E62" s="32">
        <v>601</v>
      </c>
      <c r="F62" s="32">
        <v>549</v>
      </c>
      <c r="G62" s="66">
        <v>2.385008517887564E-2</v>
      </c>
      <c r="H62" s="66">
        <v>-1.7889087656529516E-2</v>
      </c>
      <c r="I62" s="32">
        <v>13444</v>
      </c>
      <c r="J62" s="32">
        <v>12423</v>
      </c>
      <c r="K62" s="32">
        <v>26418</v>
      </c>
      <c r="L62" s="32">
        <v>24059</v>
      </c>
      <c r="M62" s="37">
        <v>0.77</v>
      </c>
      <c r="N62" s="37">
        <v>0.09</v>
      </c>
      <c r="O62" s="37">
        <v>0.91</v>
      </c>
      <c r="P62" s="37">
        <v>0.66</v>
      </c>
      <c r="Q62" s="37">
        <v>1</v>
      </c>
      <c r="R62" s="108">
        <v>0</v>
      </c>
      <c r="S62" s="108">
        <v>0</v>
      </c>
      <c r="T62" s="259">
        <v>0</v>
      </c>
      <c r="U62" s="258" t="str">
        <f t="shared" si="0"/>
        <v>Normal</v>
      </c>
      <c r="V62" s="258" t="str">
        <f t="shared" si="1"/>
        <v>Normal</v>
      </c>
      <c r="W62" s="264">
        <f t="shared" si="2"/>
        <v>2.385008517887564E-2</v>
      </c>
      <c r="X62" s="264">
        <f t="shared" si="3"/>
        <v>-1.7889087656529516E-2</v>
      </c>
      <c r="Y62" s="236"/>
      <c r="Z62" s="236"/>
      <c r="AA62" s="236"/>
      <c r="AB62" s="236"/>
      <c r="AC62" s="236"/>
      <c r="AD62" s="236"/>
      <c r="AE62" s="236"/>
      <c r="AF62" s="236"/>
      <c r="AG62" s="236"/>
      <c r="AH62" s="236"/>
      <c r="AI62" s="236"/>
    </row>
    <row r="63" spans="1:38">
      <c r="A63" s="194">
        <v>44713</v>
      </c>
      <c r="B63" s="309">
        <f>IF(YEAR(Table9[[#This Row],[Date]]) = 2022, WEEKNUM(Table9[[#This Row],[Date]])-13, WEEKNUM(Table9[[#This Row],[Date]])+40)</f>
        <v>10</v>
      </c>
      <c r="C63" s="9" t="s">
        <v>50</v>
      </c>
      <c r="D63" s="254" t="s">
        <v>59</v>
      </c>
      <c r="E63" s="1">
        <v>588</v>
      </c>
      <c r="F63" s="1">
        <v>552</v>
      </c>
      <c r="G63" s="67">
        <v>4.2553191489361701E-2</v>
      </c>
      <c r="H63" s="67">
        <v>8.2352941176470587E-2</v>
      </c>
      <c r="I63" s="1">
        <v>588</v>
      </c>
      <c r="J63" s="1">
        <v>552</v>
      </c>
      <c r="K63" s="1">
        <v>27006</v>
      </c>
      <c r="L63" s="1">
        <v>24611</v>
      </c>
      <c r="M63" s="18">
        <v>0.8</v>
      </c>
      <c r="N63" s="18">
        <v>0.06</v>
      </c>
      <c r="O63" s="18">
        <v>0.94</v>
      </c>
      <c r="P63" s="18">
        <v>0.64</v>
      </c>
      <c r="Q63" s="18">
        <v>1</v>
      </c>
      <c r="R63" s="17">
        <v>0</v>
      </c>
      <c r="S63" s="17">
        <v>0</v>
      </c>
      <c r="T63" s="259">
        <v>0</v>
      </c>
      <c r="U63" s="258" t="str">
        <f t="shared" si="0"/>
        <v>Normal</v>
      </c>
      <c r="V63" s="258" t="str">
        <f t="shared" si="1"/>
        <v>Normal</v>
      </c>
      <c r="W63" s="264">
        <f t="shared" si="2"/>
        <v>4.2553191489361701E-2</v>
      </c>
      <c r="X63" s="264">
        <f t="shared" si="3"/>
        <v>8.2352941176470587E-2</v>
      </c>
      <c r="Y63" s="236"/>
      <c r="Z63" s="236"/>
      <c r="AA63" s="236"/>
      <c r="AB63" s="236"/>
      <c r="AC63" s="236"/>
      <c r="AD63" s="236"/>
      <c r="AE63" s="236"/>
      <c r="AF63" s="236"/>
      <c r="AG63" s="236"/>
      <c r="AH63" s="236"/>
      <c r="AI63" s="236"/>
    </row>
    <row r="64" spans="1:38">
      <c r="A64" s="195">
        <v>44714</v>
      </c>
      <c r="B64" s="310">
        <f>IF(YEAR(Table9[[#This Row],[Date]]) = 2022, WEEKNUM(Table9[[#This Row],[Date]])-13, WEEKNUM(Table9[[#This Row],[Date]])+40)</f>
        <v>10</v>
      </c>
      <c r="C64" s="36" t="s">
        <v>51</v>
      </c>
      <c r="D64" s="254" t="s">
        <v>59</v>
      </c>
      <c r="E64" s="32">
        <v>493</v>
      </c>
      <c r="F64" s="32">
        <v>464</v>
      </c>
      <c r="G64" s="66">
        <v>2.7083333333333334E-2</v>
      </c>
      <c r="H64" s="66">
        <v>-1.276595744680851E-2</v>
      </c>
      <c r="I64" s="32">
        <v>1081</v>
      </c>
      <c r="J64" s="32">
        <v>1016</v>
      </c>
      <c r="K64" s="32">
        <v>27499</v>
      </c>
      <c r="L64" s="32">
        <v>25075</v>
      </c>
      <c r="M64" s="37">
        <v>0.86</v>
      </c>
      <c r="N64" s="37">
        <v>0.06</v>
      </c>
      <c r="O64" s="37">
        <v>0.94</v>
      </c>
      <c r="P64" s="37">
        <v>0.66</v>
      </c>
      <c r="Q64" s="37">
        <v>1</v>
      </c>
      <c r="R64" s="108">
        <v>0</v>
      </c>
      <c r="S64" s="108">
        <v>0</v>
      </c>
      <c r="T64" s="259">
        <v>0</v>
      </c>
      <c r="U64" s="258" t="str">
        <f t="shared" si="0"/>
        <v>Normal</v>
      </c>
      <c r="V64" s="258" t="str">
        <f t="shared" si="1"/>
        <v>Normal</v>
      </c>
      <c r="W64" s="264">
        <f t="shared" si="2"/>
        <v>2.7083333333333334E-2</v>
      </c>
      <c r="X64" s="264">
        <f t="shared" si="3"/>
        <v>-1.276595744680851E-2</v>
      </c>
      <c r="Y64" s="236"/>
      <c r="Z64" s="236"/>
      <c r="AA64" s="236"/>
      <c r="AB64" s="236"/>
      <c r="AC64" s="236"/>
      <c r="AD64" s="236"/>
      <c r="AE64" s="236"/>
      <c r="AF64" s="236"/>
      <c r="AG64" s="236"/>
      <c r="AH64" s="236"/>
      <c r="AI64" s="236"/>
    </row>
    <row r="65" spans="1:35">
      <c r="A65" s="194">
        <v>44715</v>
      </c>
      <c r="B65" s="309">
        <f>IF(YEAR(Table9[[#This Row],[Date]]) = 2022, WEEKNUM(Table9[[#This Row],[Date]])-13, WEEKNUM(Table9[[#This Row],[Date]])+40)</f>
        <v>10</v>
      </c>
      <c r="C65" s="9" t="s">
        <v>52</v>
      </c>
      <c r="D65" s="254" t="s">
        <v>59</v>
      </c>
      <c r="E65" s="1">
        <v>618</v>
      </c>
      <c r="F65" s="1">
        <v>576</v>
      </c>
      <c r="G65" s="67">
        <v>0.26639344262295084</v>
      </c>
      <c r="H65" s="67">
        <v>0.23870967741935484</v>
      </c>
      <c r="I65" s="1">
        <v>1699</v>
      </c>
      <c r="J65" s="1">
        <v>1592</v>
      </c>
      <c r="K65" s="1">
        <v>28117</v>
      </c>
      <c r="L65" s="1">
        <v>25651</v>
      </c>
      <c r="M65" s="18">
        <v>0.66</v>
      </c>
      <c r="N65" s="18">
        <v>7.0000000000000007E-2</v>
      </c>
      <c r="O65" s="18">
        <v>0.93</v>
      </c>
      <c r="P65" s="18">
        <v>0.82</v>
      </c>
      <c r="Q65" s="18">
        <v>1</v>
      </c>
      <c r="R65" s="17">
        <v>0</v>
      </c>
      <c r="S65" s="17">
        <v>0</v>
      </c>
      <c r="T65" s="259">
        <v>0</v>
      </c>
      <c r="U65" s="258" t="str">
        <f t="shared" si="0"/>
        <v>Normal</v>
      </c>
      <c r="V65" s="258" t="str">
        <f t="shared" si="1"/>
        <v>Normal</v>
      </c>
      <c r="W65" s="264">
        <f t="shared" si="2"/>
        <v>0.26639344262295084</v>
      </c>
      <c r="X65" s="264">
        <f t="shared" si="3"/>
        <v>0.23870967741935484</v>
      </c>
      <c r="Y65" s="236"/>
      <c r="Z65" s="236"/>
      <c r="AA65" s="236"/>
      <c r="AB65" s="236"/>
      <c r="AC65" s="236"/>
      <c r="AD65" s="236"/>
      <c r="AE65" s="236"/>
      <c r="AF65" s="236"/>
      <c r="AG65" s="236"/>
      <c r="AH65" s="236"/>
      <c r="AI65" s="236"/>
    </row>
    <row r="66" spans="1:35">
      <c r="A66" s="195">
        <v>44716</v>
      </c>
      <c r="B66" s="310">
        <f>IF(YEAR(Table9[[#This Row],[Date]]) = 2022, WEEKNUM(Table9[[#This Row],[Date]])-13, WEEKNUM(Table9[[#This Row],[Date]])+40)</f>
        <v>10</v>
      </c>
      <c r="C66" s="36" t="s">
        <v>53</v>
      </c>
      <c r="D66" s="254" t="s">
        <v>59</v>
      </c>
      <c r="E66" s="32">
        <v>216</v>
      </c>
      <c r="F66" s="32">
        <v>206</v>
      </c>
      <c r="G66" s="66">
        <v>0.46938775510204084</v>
      </c>
      <c r="H66" s="66">
        <v>0.45070422535211269</v>
      </c>
      <c r="I66" s="32">
        <v>1915</v>
      </c>
      <c r="J66" s="32">
        <v>1798</v>
      </c>
      <c r="K66" s="32">
        <v>28333</v>
      </c>
      <c r="L66" s="32">
        <v>25857</v>
      </c>
      <c r="M66" s="37">
        <v>0.64</v>
      </c>
      <c r="N66" s="37">
        <v>0.05</v>
      </c>
      <c r="O66" s="37">
        <v>0.95</v>
      </c>
      <c r="P66" s="37">
        <v>0.87</v>
      </c>
      <c r="Q66" s="37">
        <v>1</v>
      </c>
      <c r="R66" s="108">
        <v>0</v>
      </c>
      <c r="S66" s="108">
        <v>0</v>
      </c>
      <c r="T66" s="259">
        <v>0</v>
      </c>
      <c r="U66" s="258" t="str">
        <f t="shared" si="0"/>
        <v>Outlier</v>
      </c>
      <c r="V66" s="258" t="str">
        <f t="shared" si="1"/>
        <v>Outlier</v>
      </c>
      <c r="W66" s="264">
        <f t="shared" si="2"/>
        <v>0.46938775510204084</v>
      </c>
      <c r="X66" s="264">
        <f t="shared" si="3"/>
        <v>0.45070422535211269</v>
      </c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</row>
    <row r="67" spans="1:35">
      <c r="A67" s="194">
        <v>44717</v>
      </c>
      <c r="B67" s="309">
        <f>IF(YEAR(Table9[[#This Row],[Date]]) = 2022, WEEKNUM(Table9[[#This Row],[Date]])-13, WEEKNUM(Table9[[#This Row],[Date]])+40)</f>
        <v>11</v>
      </c>
      <c r="C67" s="9" t="s">
        <v>47</v>
      </c>
      <c r="D67" s="254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7">
        <v>0</v>
      </c>
      <c r="S67" s="17">
        <v>0</v>
      </c>
      <c r="T67" s="259">
        <v>0</v>
      </c>
      <c r="U67" s="258" t="str">
        <f t="shared" ref="U67:U130" si="5">IF(OR(G67&lt;$AA$5,G67&gt;$AB$5), "Outlier", "Normal")</f>
        <v>Normal</v>
      </c>
      <c r="V67" s="258" t="str">
        <f t="shared" ref="V67:V130" si="6">IF(OR(H67&lt;$AA$6,H67&gt;$AB$6), "Outlier", "Normal")</f>
        <v>Normal</v>
      </c>
      <c r="W67" s="264">
        <f t="shared" ref="W67:W130" si="7">IF(U67="Normal",$G67,IF($G67&lt;150%, $G67, $AA$9))</f>
        <v>0</v>
      </c>
      <c r="X67" s="264">
        <f t="shared" ref="X67:X130" si="8">IF(V67="Normal",$H67,IF($H67&lt;150%, $H67, $AE$9))</f>
        <v>0</v>
      </c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</row>
    <row r="68" spans="1:35">
      <c r="A68" s="195">
        <v>44718</v>
      </c>
      <c r="B68" s="310">
        <f>IF(YEAR(Table9[[#This Row],[Date]]) = 2022, WEEKNUM(Table9[[#This Row],[Date]])-13, WEEKNUM(Table9[[#This Row],[Date]])+40)</f>
        <v>11</v>
      </c>
      <c r="C68" s="36" t="s">
        <v>48</v>
      </c>
      <c r="D68" s="254" t="s">
        <v>59</v>
      </c>
      <c r="E68" s="32">
        <v>0</v>
      </c>
      <c r="F68" s="32">
        <v>0</v>
      </c>
      <c r="G68" s="66">
        <v>0</v>
      </c>
      <c r="H68" s="66">
        <v>0</v>
      </c>
      <c r="I68" s="32">
        <v>0</v>
      </c>
      <c r="J68" s="32">
        <v>0</v>
      </c>
      <c r="K68" s="32">
        <v>0</v>
      </c>
      <c r="L68" s="32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108">
        <v>0</v>
      </c>
      <c r="S68" s="108">
        <v>0</v>
      </c>
      <c r="T68" s="259">
        <v>0</v>
      </c>
      <c r="U68" s="258" t="str">
        <f t="shared" si="5"/>
        <v>Normal</v>
      </c>
      <c r="V68" s="258" t="str">
        <f t="shared" si="6"/>
        <v>Normal</v>
      </c>
      <c r="W68" s="264">
        <f t="shared" si="7"/>
        <v>0</v>
      </c>
      <c r="X68" s="264">
        <f t="shared" si="8"/>
        <v>0</v>
      </c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</row>
    <row r="69" spans="1:35">
      <c r="A69" s="194">
        <v>44719</v>
      </c>
      <c r="B69" s="309">
        <f>IF(YEAR(Table9[[#This Row],[Date]]) = 2022, WEEKNUM(Table9[[#This Row],[Date]])-13, WEEKNUM(Table9[[#This Row],[Date]])+40)</f>
        <v>11</v>
      </c>
      <c r="C69" s="9" t="s">
        <v>49</v>
      </c>
      <c r="D69" s="254" t="s">
        <v>59</v>
      </c>
      <c r="E69" s="1">
        <v>734</v>
      </c>
      <c r="F69" s="1">
        <v>677</v>
      </c>
      <c r="G69" s="67">
        <v>0.22129783693843594</v>
      </c>
      <c r="H69" s="67">
        <v>0.2331511839708561</v>
      </c>
      <c r="I69" s="1">
        <v>2649</v>
      </c>
      <c r="J69" s="1">
        <v>2475</v>
      </c>
      <c r="K69" s="1">
        <v>29067</v>
      </c>
      <c r="L69" s="1">
        <v>26534</v>
      </c>
      <c r="M69" s="18">
        <v>0.73</v>
      </c>
      <c r="N69" s="18">
        <v>0.08</v>
      </c>
      <c r="O69" s="18">
        <v>0.92</v>
      </c>
      <c r="P69" s="18">
        <v>0.66</v>
      </c>
      <c r="Q69" s="18">
        <v>1</v>
      </c>
      <c r="R69" s="17">
        <v>0</v>
      </c>
      <c r="S69" s="17">
        <v>0</v>
      </c>
      <c r="T69" s="259">
        <v>0</v>
      </c>
      <c r="U69" s="258" t="str">
        <f t="shared" si="5"/>
        <v>Normal</v>
      </c>
      <c r="V69" s="258" t="str">
        <f t="shared" si="6"/>
        <v>Normal</v>
      </c>
      <c r="W69" s="264">
        <f t="shared" si="7"/>
        <v>0.22129783693843594</v>
      </c>
      <c r="X69" s="264">
        <f t="shared" si="8"/>
        <v>0.2331511839708561</v>
      </c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</row>
    <row r="70" spans="1:35">
      <c r="A70" s="195">
        <v>44720</v>
      </c>
      <c r="B70" s="310">
        <f>IF(YEAR(Table9[[#This Row],[Date]]) = 2022, WEEKNUM(Table9[[#This Row],[Date]])-13, WEEKNUM(Table9[[#This Row],[Date]])+40)</f>
        <v>11</v>
      </c>
      <c r="C70" s="36" t="s">
        <v>50</v>
      </c>
      <c r="D70" s="254" t="s">
        <v>59</v>
      </c>
      <c r="E70" s="32">
        <v>673</v>
      </c>
      <c r="F70" s="32">
        <v>615</v>
      </c>
      <c r="G70" s="66">
        <v>0.14455782312925169</v>
      </c>
      <c r="H70" s="66">
        <v>0.11413043478260869</v>
      </c>
      <c r="I70" s="32">
        <v>3322</v>
      </c>
      <c r="J70" s="32">
        <v>3090</v>
      </c>
      <c r="K70" s="32">
        <v>29740</v>
      </c>
      <c r="L70" s="32">
        <v>27149</v>
      </c>
      <c r="M70" s="37">
        <v>0.78</v>
      </c>
      <c r="N70" s="37">
        <v>0.09</v>
      </c>
      <c r="O70" s="37">
        <v>0.91</v>
      </c>
      <c r="P70" s="37">
        <v>0.72</v>
      </c>
      <c r="Q70" s="37">
        <v>1</v>
      </c>
      <c r="R70" s="108">
        <v>0</v>
      </c>
      <c r="S70" s="108">
        <v>0</v>
      </c>
      <c r="T70" s="259">
        <v>0</v>
      </c>
      <c r="U70" s="258" t="str">
        <f t="shared" si="5"/>
        <v>Normal</v>
      </c>
      <c r="V70" s="258" t="str">
        <f t="shared" si="6"/>
        <v>Normal</v>
      </c>
      <c r="W70" s="264">
        <f t="shared" si="7"/>
        <v>0.14455782312925169</v>
      </c>
      <c r="X70" s="264">
        <f t="shared" si="8"/>
        <v>0.11413043478260869</v>
      </c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</row>
    <row r="71" spans="1:35">
      <c r="A71" s="194">
        <v>44721</v>
      </c>
      <c r="B71" s="309">
        <f>IF(YEAR(Table9[[#This Row],[Date]]) = 2022, WEEKNUM(Table9[[#This Row],[Date]])-13, WEEKNUM(Table9[[#This Row],[Date]])+40)</f>
        <v>11</v>
      </c>
      <c r="C71" s="9" t="s">
        <v>51</v>
      </c>
      <c r="D71" s="254" t="s">
        <v>59</v>
      </c>
      <c r="E71" s="1">
        <v>601</v>
      </c>
      <c r="F71" s="1">
        <v>544</v>
      </c>
      <c r="G71" s="67">
        <v>0.21906693711967545</v>
      </c>
      <c r="H71" s="67">
        <v>0.17241379310344829</v>
      </c>
      <c r="I71" s="1">
        <v>3923</v>
      </c>
      <c r="J71" s="1">
        <v>3634</v>
      </c>
      <c r="K71" s="1">
        <v>30341</v>
      </c>
      <c r="L71" s="1">
        <v>27693</v>
      </c>
      <c r="M71" s="18">
        <v>0.76</v>
      </c>
      <c r="N71" s="18">
        <v>0.09</v>
      </c>
      <c r="O71" s="18">
        <v>0.91</v>
      </c>
      <c r="P71" s="18">
        <v>0.76</v>
      </c>
      <c r="Q71" s="18">
        <v>1</v>
      </c>
      <c r="R71" s="17">
        <v>0</v>
      </c>
      <c r="S71" s="17">
        <v>0</v>
      </c>
      <c r="T71" s="259">
        <v>0</v>
      </c>
      <c r="U71" s="258" t="str">
        <f t="shared" si="5"/>
        <v>Normal</v>
      </c>
      <c r="V71" s="258" t="str">
        <f t="shared" si="6"/>
        <v>Normal</v>
      </c>
      <c r="W71" s="264">
        <f t="shared" si="7"/>
        <v>0.21906693711967545</v>
      </c>
      <c r="X71" s="264">
        <f t="shared" si="8"/>
        <v>0.17241379310344829</v>
      </c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</row>
    <row r="72" spans="1:35">
      <c r="A72" s="195">
        <v>44722</v>
      </c>
      <c r="B72" s="310">
        <f>IF(YEAR(Table9[[#This Row],[Date]]) = 2022, WEEKNUM(Table9[[#This Row],[Date]])-13, WEEKNUM(Table9[[#This Row],[Date]])+40)</f>
        <v>11</v>
      </c>
      <c r="C72" s="36" t="s">
        <v>52</v>
      </c>
      <c r="D72" s="254" t="s">
        <v>59</v>
      </c>
      <c r="E72" s="32">
        <v>505</v>
      </c>
      <c r="F72" s="32">
        <v>471</v>
      </c>
      <c r="G72" s="66">
        <v>-0.18284789644012944</v>
      </c>
      <c r="H72" s="66">
        <v>-0.18229166666666666</v>
      </c>
      <c r="I72" s="32">
        <v>4428</v>
      </c>
      <c r="J72" s="32">
        <v>4105</v>
      </c>
      <c r="K72" s="32">
        <v>30846</v>
      </c>
      <c r="L72" s="32">
        <v>28164</v>
      </c>
      <c r="M72" s="37">
        <v>0.54</v>
      </c>
      <c r="N72" s="37">
        <v>7.0000000000000007E-2</v>
      </c>
      <c r="O72" s="37">
        <v>0.93</v>
      </c>
      <c r="P72" s="37">
        <v>0.86</v>
      </c>
      <c r="Q72" s="37">
        <v>1</v>
      </c>
      <c r="R72" s="108">
        <v>0</v>
      </c>
      <c r="S72" s="108">
        <v>0</v>
      </c>
      <c r="T72" s="259">
        <v>0</v>
      </c>
      <c r="U72" s="258" t="str">
        <f t="shared" si="5"/>
        <v>Normal</v>
      </c>
      <c r="V72" s="258" t="str">
        <f t="shared" si="6"/>
        <v>Normal</v>
      </c>
      <c r="W72" s="264">
        <f t="shared" si="7"/>
        <v>-0.18284789644012944</v>
      </c>
      <c r="X72" s="264">
        <f t="shared" si="8"/>
        <v>-0.18229166666666666</v>
      </c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</row>
    <row r="73" spans="1:35">
      <c r="A73" s="194">
        <v>44723</v>
      </c>
      <c r="B73" s="309">
        <f>IF(YEAR(Table9[[#This Row],[Date]]) = 2022, WEEKNUM(Table9[[#This Row],[Date]])-13, WEEKNUM(Table9[[#This Row],[Date]])+40)</f>
        <v>11</v>
      </c>
      <c r="C73" s="9" t="s">
        <v>53</v>
      </c>
      <c r="D73" s="254" t="s">
        <v>59</v>
      </c>
      <c r="E73" s="1">
        <v>167</v>
      </c>
      <c r="F73" s="1">
        <v>161</v>
      </c>
      <c r="G73" s="67">
        <v>-0.22685185185185186</v>
      </c>
      <c r="H73" s="67">
        <v>-0.21844660194174756</v>
      </c>
      <c r="I73" s="1">
        <v>4595</v>
      </c>
      <c r="J73" s="1">
        <v>4266</v>
      </c>
      <c r="K73" s="1">
        <v>31013</v>
      </c>
      <c r="L73" s="1">
        <v>28325</v>
      </c>
      <c r="M73" s="18">
        <v>0.86</v>
      </c>
      <c r="N73" s="18">
        <v>0.04</v>
      </c>
      <c r="O73" s="18">
        <v>0.96</v>
      </c>
      <c r="P73" s="18">
        <v>0.48</v>
      </c>
      <c r="Q73" s="18">
        <v>1</v>
      </c>
      <c r="R73" s="17">
        <v>0</v>
      </c>
      <c r="S73" s="17">
        <v>0</v>
      </c>
      <c r="T73" s="259">
        <v>0</v>
      </c>
      <c r="U73" s="258" t="str">
        <f t="shared" si="5"/>
        <v>Normal</v>
      </c>
      <c r="V73" s="258" t="str">
        <f t="shared" si="6"/>
        <v>Normal</v>
      </c>
      <c r="W73" s="264">
        <f t="shared" si="7"/>
        <v>-0.22685185185185186</v>
      </c>
      <c r="X73" s="264">
        <f t="shared" si="8"/>
        <v>-0.21844660194174756</v>
      </c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</row>
    <row r="74" spans="1:35">
      <c r="A74" s="195">
        <v>44724</v>
      </c>
      <c r="B74" s="310">
        <f>IF(YEAR(Table9[[#This Row],[Date]]) = 2022, WEEKNUM(Table9[[#This Row],[Date]])-13, WEEKNUM(Table9[[#This Row],[Date]])+40)</f>
        <v>12</v>
      </c>
      <c r="C74" s="36" t="s">
        <v>47</v>
      </c>
      <c r="D74" s="254" t="s">
        <v>59</v>
      </c>
      <c r="E74" s="32">
        <v>0</v>
      </c>
      <c r="F74" s="32">
        <v>0</v>
      </c>
      <c r="G74" s="66">
        <v>0</v>
      </c>
      <c r="H74" s="66">
        <v>0</v>
      </c>
      <c r="I74" s="32">
        <v>0</v>
      </c>
      <c r="J74" s="32">
        <v>0</v>
      </c>
      <c r="K74" s="32">
        <v>0</v>
      </c>
      <c r="L74" s="32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108">
        <v>0</v>
      </c>
      <c r="S74" s="108">
        <v>0</v>
      </c>
      <c r="T74" s="259">
        <v>0</v>
      </c>
      <c r="U74" s="258" t="str">
        <f t="shared" si="5"/>
        <v>Normal</v>
      </c>
      <c r="V74" s="258" t="str">
        <f t="shared" si="6"/>
        <v>Normal</v>
      </c>
      <c r="W74" s="264">
        <f t="shared" si="7"/>
        <v>0</v>
      </c>
      <c r="X74" s="264">
        <f t="shared" si="8"/>
        <v>0</v>
      </c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</row>
    <row r="75" spans="1:35">
      <c r="A75" s="194">
        <v>44725</v>
      </c>
      <c r="B75" s="309">
        <f>IF(YEAR(Table9[[#This Row],[Date]]) = 2022, WEEKNUM(Table9[[#This Row],[Date]])-13, WEEKNUM(Table9[[#This Row],[Date]])+40)</f>
        <v>12</v>
      </c>
      <c r="C75" s="9" t="s">
        <v>48</v>
      </c>
      <c r="D75" s="254" t="s">
        <v>59</v>
      </c>
      <c r="E75" s="1">
        <v>538</v>
      </c>
      <c r="F75" s="1">
        <v>507</v>
      </c>
      <c r="G75" s="67">
        <v>0</v>
      </c>
      <c r="H75" s="67">
        <v>0</v>
      </c>
      <c r="I75" s="1">
        <v>5133</v>
      </c>
      <c r="J75" s="1">
        <v>4773</v>
      </c>
      <c r="K75" s="1">
        <v>31551</v>
      </c>
      <c r="L75" s="1">
        <v>28832</v>
      </c>
      <c r="M75" s="18">
        <v>0.86</v>
      </c>
      <c r="N75" s="18">
        <v>0.06</v>
      </c>
      <c r="O75" s="18">
        <v>0.94</v>
      </c>
      <c r="P75" s="18">
        <v>0.49</v>
      </c>
      <c r="Q75" s="18">
        <v>1</v>
      </c>
      <c r="R75" s="17">
        <v>0</v>
      </c>
      <c r="S75" s="17">
        <v>0</v>
      </c>
      <c r="T75" s="259">
        <v>0</v>
      </c>
      <c r="U75" s="258" t="str">
        <f t="shared" si="5"/>
        <v>Normal</v>
      </c>
      <c r="V75" s="258" t="str">
        <f t="shared" si="6"/>
        <v>Normal</v>
      </c>
      <c r="W75" s="264">
        <f t="shared" si="7"/>
        <v>0</v>
      </c>
      <c r="X75" s="264">
        <f t="shared" si="8"/>
        <v>0</v>
      </c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</row>
    <row r="76" spans="1:35">
      <c r="A76" s="195">
        <v>44726</v>
      </c>
      <c r="B76" s="310">
        <f>IF(YEAR(Table9[[#This Row],[Date]]) = 2022, WEEKNUM(Table9[[#This Row],[Date]])-13, WEEKNUM(Table9[[#This Row],[Date]])+40)</f>
        <v>12</v>
      </c>
      <c r="C76" s="36" t="s">
        <v>49</v>
      </c>
      <c r="D76" s="254" t="s">
        <v>59</v>
      </c>
      <c r="E76" s="32">
        <v>526</v>
      </c>
      <c r="F76" s="32">
        <v>456</v>
      </c>
      <c r="G76" s="66">
        <v>-0.28337874659400547</v>
      </c>
      <c r="H76" s="66">
        <v>-0.32644017725258495</v>
      </c>
      <c r="I76" s="32">
        <v>5659</v>
      </c>
      <c r="J76" s="32">
        <v>5229</v>
      </c>
      <c r="K76" s="32">
        <v>32077</v>
      </c>
      <c r="L76" s="32">
        <v>29288</v>
      </c>
      <c r="M76" s="37">
        <v>0.75</v>
      </c>
      <c r="N76" s="37">
        <v>0.13</v>
      </c>
      <c r="O76" s="37">
        <v>0.87</v>
      </c>
      <c r="P76" s="37">
        <v>0.53</v>
      </c>
      <c r="Q76" s="37">
        <v>1</v>
      </c>
      <c r="R76" s="108">
        <v>0</v>
      </c>
      <c r="S76" s="108">
        <v>0</v>
      </c>
      <c r="T76" s="259">
        <v>0</v>
      </c>
      <c r="U76" s="258" t="str">
        <f t="shared" si="5"/>
        <v>Normal</v>
      </c>
      <c r="V76" s="258" t="str">
        <f t="shared" si="6"/>
        <v>Normal</v>
      </c>
      <c r="W76" s="264">
        <f t="shared" si="7"/>
        <v>-0.28337874659400547</v>
      </c>
      <c r="X76" s="264">
        <f t="shared" si="8"/>
        <v>-0.32644017725258495</v>
      </c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</row>
    <row r="77" spans="1:35">
      <c r="A77" s="194">
        <v>44727</v>
      </c>
      <c r="B77" s="309">
        <f>IF(YEAR(Table9[[#This Row],[Date]]) = 2022, WEEKNUM(Table9[[#This Row],[Date]])-13, WEEKNUM(Table9[[#This Row],[Date]])+40)</f>
        <v>12</v>
      </c>
      <c r="C77" s="9" t="s">
        <v>50</v>
      </c>
      <c r="D77" s="254" t="s">
        <v>59</v>
      </c>
      <c r="E77" s="1">
        <v>448</v>
      </c>
      <c r="F77" s="1">
        <v>428</v>
      </c>
      <c r="G77" s="67">
        <v>-0.33432392273402672</v>
      </c>
      <c r="H77" s="67">
        <v>-0.30406504065040652</v>
      </c>
      <c r="I77" s="1">
        <v>6107</v>
      </c>
      <c r="J77" s="1">
        <v>5657</v>
      </c>
      <c r="K77" s="1">
        <v>32525</v>
      </c>
      <c r="L77" s="1">
        <v>29716</v>
      </c>
      <c r="M77" s="18">
        <v>0.88</v>
      </c>
      <c r="N77" s="18">
        <v>0.04</v>
      </c>
      <c r="O77" s="18">
        <v>0.96</v>
      </c>
      <c r="P77" s="18">
        <v>0.49</v>
      </c>
      <c r="Q77" s="18">
        <v>1</v>
      </c>
      <c r="R77" s="17">
        <v>0</v>
      </c>
      <c r="S77" s="17">
        <v>0</v>
      </c>
      <c r="T77" s="259">
        <v>0</v>
      </c>
      <c r="U77" s="258" t="str">
        <f t="shared" si="5"/>
        <v>Normal</v>
      </c>
      <c r="V77" s="258" t="str">
        <f t="shared" si="6"/>
        <v>Normal</v>
      </c>
      <c r="W77" s="264">
        <f t="shared" si="7"/>
        <v>-0.33432392273402672</v>
      </c>
      <c r="X77" s="264">
        <f t="shared" si="8"/>
        <v>-0.30406504065040652</v>
      </c>
      <c r="Y77" s="236"/>
      <c r="Z77" s="236"/>
      <c r="AA77" s="236"/>
      <c r="AB77" s="236"/>
      <c r="AC77" s="236"/>
      <c r="AD77" s="236"/>
      <c r="AE77" s="236"/>
      <c r="AF77" s="236"/>
      <c r="AG77" s="236"/>
      <c r="AH77" s="236"/>
      <c r="AI77" s="236"/>
    </row>
    <row r="78" spans="1:35">
      <c r="A78" s="195">
        <v>44728</v>
      </c>
      <c r="B78" s="310">
        <f>IF(YEAR(Table9[[#This Row],[Date]]) = 2022, WEEKNUM(Table9[[#This Row],[Date]])-13, WEEKNUM(Table9[[#This Row],[Date]])+40)</f>
        <v>12</v>
      </c>
      <c r="C78" s="36" t="s">
        <v>51</v>
      </c>
      <c r="D78" s="254" t="s">
        <v>59</v>
      </c>
      <c r="E78" s="32">
        <v>345</v>
      </c>
      <c r="F78" s="32">
        <v>303</v>
      </c>
      <c r="G78" s="66">
        <v>-0.42595673876871881</v>
      </c>
      <c r="H78" s="66">
        <v>-0.44301470588235292</v>
      </c>
      <c r="I78" s="32">
        <v>6452</v>
      </c>
      <c r="J78" s="32">
        <v>5960</v>
      </c>
      <c r="K78" s="32">
        <v>32870</v>
      </c>
      <c r="L78" s="32">
        <v>30019</v>
      </c>
      <c r="M78" s="37">
        <v>0.73</v>
      </c>
      <c r="N78" s="37">
        <v>0.12</v>
      </c>
      <c r="O78" s="37">
        <v>0.88</v>
      </c>
      <c r="P78" s="37">
        <v>0.43</v>
      </c>
      <c r="Q78" s="37">
        <v>1</v>
      </c>
      <c r="R78" s="108">
        <v>0</v>
      </c>
      <c r="S78" s="108">
        <v>0</v>
      </c>
      <c r="T78" s="259">
        <v>0</v>
      </c>
      <c r="U78" s="258" t="str">
        <f t="shared" si="5"/>
        <v>Normal</v>
      </c>
      <c r="V78" s="258" t="str">
        <f t="shared" si="6"/>
        <v>Outlier</v>
      </c>
      <c r="W78" s="264">
        <f t="shared" si="7"/>
        <v>-0.42595673876871881</v>
      </c>
      <c r="X78" s="264">
        <f t="shared" si="8"/>
        <v>-0.44301470588235292</v>
      </c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</row>
    <row r="79" spans="1:35">
      <c r="A79" s="194">
        <v>44729</v>
      </c>
      <c r="B79" s="309">
        <f>IF(YEAR(Table9[[#This Row],[Date]]) = 2022, WEEKNUM(Table9[[#This Row],[Date]])-13, WEEKNUM(Table9[[#This Row],[Date]])+40)</f>
        <v>12</v>
      </c>
      <c r="C79" s="9" t="s">
        <v>52</v>
      </c>
      <c r="D79" s="254" t="s">
        <v>59</v>
      </c>
      <c r="E79" s="1">
        <v>557</v>
      </c>
      <c r="F79" s="1">
        <v>490</v>
      </c>
      <c r="G79" s="67">
        <v>0.10297029702970296</v>
      </c>
      <c r="H79" s="67">
        <v>4.0339702760084924E-2</v>
      </c>
      <c r="I79" s="1">
        <v>7009</v>
      </c>
      <c r="J79" s="1">
        <v>6450</v>
      </c>
      <c r="K79" s="1">
        <v>33427</v>
      </c>
      <c r="L79" s="1">
        <v>30509</v>
      </c>
      <c r="M79" s="18">
        <v>0.67</v>
      </c>
      <c r="N79" s="18">
        <v>0.12</v>
      </c>
      <c r="O79" s="18">
        <v>0.88</v>
      </c>
      <c r="P79" s="18">
        <v>0.56999999999999995</v>
      </c>
      <c r="Q79" s="18">
        <v>1</v>
      </c>
      <c r="R79" s="17">
        <v>0</v>
      </c>
      <c r="S79" s="17">
        <v>0</v>
      </c>
      <c r="T79" s="259">
        <v>0</v>
      </c>
      <c r="U79" s="258" t="str">
        <f t="shared" si="5"/>
        <v>Normal</v>
      </c>
      <c r="V79" s="258" t="str">
        <f t="shared" si="6"/>
        <v>Normal</v>
      </c>
      <c r="W79" s="264">
        <f t="shared" si="7"/>
        <v>0.10297029702970296</v>
      </c>
      <c r="X79" s="264">
        <f t="shared" si="8"/>
        <v>4.0339702760084924E-2</v>
      </c>
      <c r="Y79" s="236"/>
      <c r="Z79" s="236"/>
      <c r="AA79" s="236"/>
      <c r="AB79" s="236"/>
      <c r="AC79" s="236"/>
      <c r="AD79" s="236"/>
      <c r="AE79" s="236"/>
      <c r="AF79" s="236"/>
      <c r="AG79" s="236"/>
      <c r="AH79" s="236"/>
      <c r="AI79" s="236"/>
    </row>
    <row r="80" spans="1:35">
      <c r="A80" s="195">
        <v>44730</v>
      </c>
      <c r="B80" s="310">
        <f>IF(YEAR(Table9[[#This Row],[Date]]) = 2022, WEEKNUM(Table9[[#This Row],[Date]])-13, WEEKNUM(Table9[[#This Row],[Date]])+40)</f>
        <v>12</v>
      </c>
      <c r="C80" s="36" t="s">
        <v>53</v>
      </c>
      <c r="D80" s="254" t="s">
        <v>59</v>
      </c>
      <c r="E80" s="32">
        <v>190</v>
      </c>
      <c r="F80" s="32">
        <v>182</v>
      </c>
      <c r="G80" s="66">
        <v>0.1377245508982036</v>
      </c>
      <c r="H80" s="66">
        <v>0.13043478260869565</v>
      </c>
      <c r="I80" s="32">
        <v>7199</v>
      </c>
      <c r="J80" s="32">
        <v>6632</v>
      </c>
      <c r="K80" s="32">
        <v>33617</v>
      </c>
      <c r="L80" s="32">
        <v>30691</v>
      </c>
      <c r="M80" s="37">
        <v>0.85</v>
      </c>
      <c r="N80" s="37">
        <v>0.04</v>
      </c>
      <c r="O80" s="37">
        <v>0.96</v>
      </c>
      <c r="P80" s="37">
        <v>0.61</v>
      </c>
      <c r="Q80" s="37">
        <v>1</v>
      </c>
      <c r="R80" s="108">
        <v>0</v>
      </c>
      <c r="S80" s="108">
        <v>0</v>
      </c>
      <c r="T80" s="259">
        <v>0</v>
      </c>
      <c r="U80" s="258" t="str">
        <f t="shared" si="5"/>
        <v>Normal</v>
      </c>
      <c r="V80" s="258" t="str">
        <f t="shared" si="6"/>
        <v>Normal</v>
      </c>
      <c r="W80" s="264">
        <f t="shared" si="7"/>
        <v>0.1377245508982036</v>
      </c>
      <c r="X80" s="264">
        <f t="shared" si="8"/>
        <v>0.13043478260869565</v>
      </c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</row>
    <row r="81" spans="1:35">
      <c r="A81" s="194">
        <v>44731</v>
      </c>
      <c r="B81" s="309">
        <f>IF(YEAR(Table9[[#This Row],[Date]]) = 2022, WEEKNUM(Table9[[#This Row],[Date]])-13, WEEKNUM(Table9[[#This Row],[Date]])+40)</f>
        <v>13</v>
      </c>
      <c r="C81" s="9" t="s">
        <v>47</v>
      </c>
      <c r="D81" s="254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7">
        <v>0</v>
      </c>
      <c r="S81" s="17">
        <v>0</v>
      </c>
      <c r="T81" s="259">
        <v>0</v>
      </c>
      <c r="U81" s="258" t="str">
        <f t="shared" si="5"/>
        <v>Normal</v>
      </c>
      <c r="V81" s="258" t="str">
        <f t="shared" si="6"/>
        <v>Normal</v>
      </c>
      <c r="W81" s="264">
        <f t="shared" si="7"/>
        <v>0</v>
      </c>
      <c r="X81" s="264">
        <f t="shared" si="8"/>
        <v>0</v>
      </c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</row>
    <row r="82" spans="1:35">
      <c r="A82" s="195">
        <v>44732</v>
      </c>
      <c r="B82" s="310">
        <f>IF(YEAR(Table9[[#This Row],[Date]]) = 2022, WEEKNUM(Table9[[#This Row],[Date]])-13, WEEKNUM(Table9[[#This Row],[Date]])+40)</f>
        <v>13</v>
      </c>
      <c r="C82" s="36" t="s">
        <v>48</v>
      </c>
      <c r="D82" s="254" t="s">
        <v>59</v>
      </c>
      <c r="E82" s="32">
        <v>598</v>
      </c>
      <c r="F82" s="32">
        <v>548</v>
      </c>
      <c r="G82" s="66">
        <v>0.11152416356877323</v>
      </c>
      <c r="H82" s="66">
        <v>8.0867850098619326E-2</v>
      </c>
      <c r="I82" s="32">
        <v>7797</v>
      </c>
      <c r="J82" s="32">
        <v>7180</v>
      </c>
      <c r="K82" s="32">
        <v>34215</v>
      </c>
      <c r="L82" s="32">
        <v>31239</v>
      </c>
      <c r="M82" s="37">
        <v>0.75</v>
      </c>
      <c r="N82" s="37">
        <v>0.08</v>
      </c>
      <c r="O82" s="37">
        <v>0.92</v>
      </c>
      <c r="P82" s="37">
        <v>0.65</v>
      </c>
      <c r="Q82" s="37">
        <v>1</v>
      </c>
      <c r="R82" s="108">
        <v>0</v>
      </c>
      <c r="S82" s="108">
        <v>0</v>
      </c>
      <c r="T82" s="259">
        <v>0</v>
      </c>
      <c r="U82" s="258" t="str">
        <f t="shared" si="5"/>
        <v>Normal</v>
      </c>
      <c r="V82" s="258" t="str">
        <f t="shared" si="6"/>
        <v>Normal</v>
      </c>
      <c r="W82" s="264">
        <f t="shared" si="7"/>
        <v>0.11152416356877323</v>
      </c>
      <c r="X82" s="264">
        <f t="shared" si="8"/>
        <v>8.0867850098619326E-2</v>
      </c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</row>
    <row r="83" spans="1:35">
      <c r="A83" s="194">
        <v>44733</v>
      </c>
      <c r="B83" s="309">
        <f>IF(YEAR(Table9[[#This Row],[Date]]) = 2022, WEEKNUM(Table9[[#This Row],[Date]])-13, WEEKNUM(Table9[[#This Row],[Date]])+40)</f>
        <v>13</v>
      </c>
      <c r="C83" s="9" t="s">
        <v>49</v>
      </c>
      <c r="D83" s="254" t="s">
        <v>59</v>
      </c>
      <c r="E83" s="1">
        <v>483</v>
      </c>
      <c r="F83" s="1">
        <v>439</v>
      </c>
      <c r="G83" s="67">
        <v>-8.17490494296578E-2</v>
      </c>
      <c r="H83" s="67">
        <v>-3.7280701754385963E-2</v>
      </c>
      <c r="I83" s="1">
        <v>8280</v>
      </c>
      <c r="J83" s="1">
        <v>7619</v>
      </c>
      <c r="K83" s="1">
        <v>34698</v>
      </c>
      <c r="L83" s="1">
        <v>31678</v>
      </c>
      <c r="M83" s="18">
        <v>0.77</v>
      </c>
      <c r="N83" s="18">
        <v>0.09</v>
      </c>
      <c r="O83" s="18">
        <v>0.91</v>
      </c>
      <c r="P83" s="18">
        <v>0.52</v>
      </c>
      <c r="Q83" s="18">
        <v>1</v>
      </c>
      <c r="R83" s="17">
        <v>0</v>
      </c>
      <c r="S83" s="17">
        <v>0</v>
      </c>
      <c r="T83" s="259">
        <v>0</v>
      </c>
      <c r="U83" s="258" t="str">
        <f t="shared" si="5"/>
        <v>Normal</v>
      </c>
      <c r="V83" s="258" t="str">
        <f t="shared" si="6"/>
        <v>Normal</v>
      </c>
      <c r="W83" s="264">
        <f t="shared" si="7"/>
        <v>-8.17490494296578E-2</v>
      </c>
      <c r="X83" s="264">
        <f t="shared" si="8"/>
        <v>-3.7280701754385963E-2</v>
      </c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</row>
    <row r="84" spans="1:35">
      <c r="A84" s="195">
        <v>44734</v>
      </c>
      <c r="B84" s="310">
        <f>IF(YEAR(Table9[[#This Row],[Date]]) = 2022, WEEKNUM(Table9[[#This Row],[Date]])-13, WEEKNUM(Table9[[#This Row],[Date]])+40)</f>
        <v>13</v>
      </c>
      <c r="C84" s="36" t="s">
        <v>50</v>
      </c>
      <c r="D84" s="254" t="s">
        <v>59</v>
      </c>
      <c r="E84" s="32">
        <v>792</v>
      </c>
      <c r="F84" s="32">
        <v>527</v>
      </c>
      <c r="G84" s="66">
        <v>0.7678571428571429</v>
      </c>
      <c r="H84" s="66">
        <v>0.23130841121495327</v>
      </c>
      <c r="I84" s="32">
        <v>9072</v>
      </c>
      <c r="J84" s="32">
        <v>8146</v>
      </c>
      <c r="K84" s="32">
        <v>35490</v>
      </c>
      <c r="L84" s="32">
        <v>32205</v>
      </c>
      <c r="M84" s="37">
        <v>0.81</v>
      </c>
      <c r="N84" s="37">
        <v>7.0000000000000007E-2</v>
      </c>
      <c r="O84" s="37">
        <v>0.93</v>
      </c>
      <c r="P84" s="37">
        <v>0.56999999999999995</v>
      </c>
      <c r="Q84" s="37">
        <v>1</v>
      </c>
      <c r="R84" s="108">
        <v>0</v>
      </c>
      <c r="S84" s="108">
        <v>0</v>
      </c>
      <c r="T84" s="259">
        <v>0</v>
      </c>
      <c r="U84" s="258" t="str">
        <f t="shared" si="5"/>
        <v>Outlier</v>
      </c>
      <c r="V84" s="258" t="str">
        <f t="shared" si="6"/>
        <v>Normal</v>
      </c>
      <c r="W84" s="264">
        <f t="shared" si="7"/>
        <v>0.7678571428571429</v>
      </c>
      <c r="X84" s="264">
        <f t="shared" si="8"/>
        <v>0.23130841121495327</v>
      </c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</row>
    <row r="85" spans="1:35">
      <c r="A85" s="194">
        <v>44735</v>
      </c>
      <c r="B85" s="309">
        <f>IF(YEAR(Table9[[#This Row],[Date]]) = 2022, WEEKNUM(Table9[[#This Row],[Date]])-13, WEEKNUM(Table9[[#This Row],[Date]])+40)</f>
        <v>13</v>
      </c>
      <c r="C85" s="9" t="s">
        <v>51</v>
      </c>
      <c r="D85" s="254" t="s">
        <v>59</v>
      </c>
      <c r="E85" s="1">
        <v>485</v>
      </c>
      <c r="F85" s="1">
        <v>455</v>
      </c>
      <c r="G85" s="67">
        <v>0.40579710144927539</v>
      </c>
      <c r="H85" s="67">
        <v>0.50165016501650161</v>
      </c>
      <c r="I85" s="1">
        <v>9557</v>
      </c>
      <c r="J85" s="1">
        <v>8601</v>
      </c>
      <c r="K85" s="1">
        <v>35975</v>
      </c>
      <c r="L85" s="1">
        <v>32660</v>
      </c>
      <c r="M85" s="18">
        <v>0.86</v>
      </c>
      <c r="N85" s="18">
        <v>0.06</v>
      </c>
      <c r="O85" s="18">
        <v>0.94</v>
      </c>
      <c r="P85" s="18">
        <v>0.52</v>
      </c>
      <c r="Q85" s="18">
        <v>1</v>
      </c>
      <c r="R85" s="17">
        <v>0</v>
      </c>
      <c r="S85" s="17">
        <v>0</v>
      </c>
      <c r="T85" s="259">
        <v>0</v>
      </c>
      <c r="U85" s="258" t="str">
        <f t="shared" si="5"/>
        <v>Normal</v>
      </c>
      <c r="V85" s="258" t="str">
        <f t="shared" si="6"/>
        <v>Outlier</v>
      </c>
      <c r="W85" s="264">
        <f t="shared" si="7"/>
        <v>0.40579710144927539</v>
      </c>
      <c r="X85" s="264">
        <f t="shared" si="8"/>
        <v>0.50165016501650161</v>
      </c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</row>
    <row r="86" spans="1:35">
      <c r="A86" s="195">
        <v>44736</v>
      </c>
      <c r="B86" s="310">
        <f>IF(YEAR(Table9[[#This Row],[Date]]) = 2022, WEEKNUM(Table9[[#This Row],[Date]])-13, WEEKNUM(Table9[[#This Row],[Date]])+40)</f>
        <v>13</v>
      </c>
      <c r="C86" s="36" t="s">
        <v>52</v>
      </c>
      <c r="D86" s="254" t="s">
        <v>59</v>
      </c>
      <c r="E86" s="32">
        <v>430</v>
      </c>
      <c r="F86" s="32">
        <v>411</v>
      </c>
      <c r="G86" s="66">
        <v>-0.22800718132854578</v>
      </c>
      <c r="H86" s="66">
        <v>-0.16122448979591836</v>
      </c>
      <c r="I86" s="32">
        <v>9987</v>
      </c>
      <c r="J86" s="32">
        <v>9012</v>
      </c>
      <c r="K86" s="32">
        <v>36405</v>
      </c>
      <c r="L86" s="32">
        <v>33071</v>
      </c>
      <c r="M86" s="37">
        <v>0.88</v>
      </c>
      <c r="N86" s="37">
        <v>0.04</v>
      </c>
      <c r="O86" s="37">
        <v>0.96</v>
      </c>
      <c r="P86" s="37">
        <v>0.49</v>
      </c>
      <c r="Q86" s="37">
        <v>1</v>
      </c>
      <c r="R86" s="108">
        <v>0</v>
      </c>
      <c r="S86" s="108">
        <v>0</v>
      </c>
      <c r="T86" s="259">
        <v>0</v>
      </c>
      <c r="U86" s="258" t="str">
        <f t="shared" si="5"/>
        <v>Normal</v>
      </c>
      <c r="V86" s="258" t="str">
        <f t="shared" si="6"/>
        <v>Normal</v>
      </c>
      <c r="W86" s="264">
        <f t="shared" si="7"/>
        <v>-0.22800718132854578</v>
      </c>
      <c r="X86" s="264">
        <f t="shared" si="8"/>
        <v>-0.16122448979591836</v>
      </c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</row>
    <row r="87" spans="1:35">
      <c r="A87" s="194">
        <v>44737</v>
      </c>
      <c r="B87" s="309">
        <f>IF(YEAR(Table9[[#This Row],[Date]]) = 2022, WEEKNUM(Table9[[#This Row],[Date]])-13, WEEKNUM(Table9[[#This Row],[Date]])+40)</f>
        <v>13</v>
      </c>
      <c r="C87" s="9" t="s">
        <v>53</v>
      </c>
      <c r="D87" s="254" t="s">
        <v>59</v>
      </c>
      <c r="E87" s="1">
        <v>163</v>
      </c>
      <c r="F87" s="1">
        <v>158</v>
      </c>
      <c r="G87" s="67">
        <v>-0.14210526315789473</v>
      </c>
      <c r="H87" s="67">
        <v>-0.13186813186813187</v>
      </c>
      <c r="I87" s="1">
        <v>10150</v>
      </c>
      <c r="J87" s="1">
        <v>9170</v>
      </c>
      <c r="K87" s="1">
        <v>36568</v>
      </c>
      <c r="L87" s="1">
        <v>33229</v>
      </c>
      <c r="M87" s="18">
        <v>0.94</v>
      </c>
      <c r="N87" s="18">
        <v>0.03</v>
      </c>
      <c r="O87" s="18">
        <v>0.97</v>
      </c>
      <c r="P87" s="18">
        <v>0.48</v>
      </c>
      <c r="Q87" s="18">
        <v>1</v>
      </c>
      <c r="R87" s="17">
        <v>0</v>
      </c>
      <c r="S87" s="17">
        <v>0</v>
      </c>
      <c r="T87" s="259">
        <v>0</v>
      </c>
      <c r="U87" s="258" t="str">
        <f t="shared" si="5"/>
        <v>Normal</v>
      </c>
      <c r="V87" s="258" t="str">
        <f t="shared" si="6"/>
        <v>Normal</v>
      </c>
      <c r="W87" s="264">
        <f t="shared" si="7"/>
        <v>-0.14210526315789473</v>
      </c>
      <c r="X87" s="264">
        <f t="shared" si="8"/>
        <v>-0.13186813186813187</v>
      </c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</row>
    <row r="88" spans="1:35">
      <c r="A88" s="195">
        <v>44738</v>
      </c>
      <c r="B88" s="310">
        <f>IF(YEAR(Table9[[#This Row],[Date]]) = 2022, WEEKNUM(Table9[[#This Row],[Date]])-13, WEEKNUM(Table9[[#This Row],[Date]])+40)</f>
        <v>14</v>
      </c>
      <c r="C88" s="36" t="s">
        <v>47</v>
      </c>
      <c r="D88" s="254" t="s">
        <v>59</v>
      </c>
      <c r="E88" s="32">
        <v>0</v>
      </c>
      <c r="F88" s="32">
        <v>0</v>
      </c>
      <c r="G88" s="66">
        <v>0</v>
      </c>
      <c r="H88" s="66">
        <v>0</v>
      </c>
      <c r="I88" s="32">
        <v>0</v>
      </c>
      <c r="J88" s="32">
        <v>0</v>
      </c>
      <c r="K88" s="32">
        <v>0</v>
      </c>
      <c r="L88" s="32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108">
        <v>0</v>
      </c>
      <c r="S88" s="108">
        <v>0</v>
      </c>
      <c r="T88" s="259">
        <v>0</v>
      </c>
      <c r="U88" s="258" t="str">
        <f t="shared" si="5"/>
        <v>Normal</v>
      </c>
      <c r="V88" s="258" t="str">
        <f t="shared" si="6"/>
        <v>Normal</v>
      </c>
      <c r="W88" s="264">
        <f t="shared" si="7"/>
        <v>0</v>
      </c>
      <c r="X88" s="264">
        <f t="shared" si="8"/>
        <v>0</v>
      </c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</row>
    <row r="89" spans="1:35">
      <c r="A89" s="194">
        <v>44739</v>
      </c>
      <c r="B89" s="309">
        <f>IF(YEAR(Table9[[#This Row],[Date]]) = 2022, WEEKNUM(Table9[[#This Row],[Date]])-13, WEEKNUM(Table9[[#This Row],[Date]])+40)</f>
        <v>14</v>
      </c>
      <c r="C89" s="9" t="s">
        <v>48</v>
      </c>
      <c r="D89" s="254" t="s">
        <v>59</v>
      </c>
      <c r="E89" s="1">
        <v>540</v>
      </c>
      <c r="F89" s="1">
        <v>461</v>
      </c>
      <c r="G89" s="67">
        <v>0.11801242236024845</v>
      </c>
      <c r="H89" s="67">
        <v>5.011389521640091E-2</v>
      </c>
      <c r="I89" s="1">
        <v>10690</v>
      </c>
      <c r="J89" s="1">
        <v>9631</v>
      </c>
      <c r="K89" s="1">
        <v>37108</v>
      </c>
      <c r="L89" s="1">
        <v>33690</v>
      </c>
      <c r="M89" s="18">
        <v>0.76</v>
      </c>
      <c r="N89" s="18">
        <v>0.11</v>
      </c>
      <c r="O89" s="18">
        <v>0.89</v>
      </c>
      <c r="P89" s="18">
        <v>0.55000000000000004</v>
      </c>
      <c r="Q89" s="18">
        <v>1</v>
      </c>
      <c r="R89" s="17">
        <v>0</v>
      </c>
      <c r="S89" s="17">
        <v>0</v>
      </c>
      <c r="T89" s="259">
        <v>0</v>
      </c>
      <c r="U89" s="258" t="str">
        <f t="shared" si="5"/>
        <v>Normal</v>
      </c>
      <c r="V89" s="258" t="str">
        <f t="shared" si="6"/>
        <v>Normal</v>
      </c>
      <c r="W89" s="264">
        <f t="shared" si="7"/>
        <v>0.11801242236024845</v>
      </c>
      <c r="X89" s="264">
        <f t="shared" si="8"/>
        <v>5.011389521640091E-2</v>
      </c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</row>
    <row r="90" spans="1:35">
      <c r="A90" s="195">
        <v>44740</v>
      </c>
      <c r="B90" s="310">
        <f>IF(YEAR(Table9[[#This Row],[Date]]) = 2022, WEEKNUM(Table9[[#This Row],[Date]])-13, WEEKNUM(Table9[[#This Row],[Date]])+40)</f>
        <v>14</v>
      </c>
      <c r="C90" s="36" t="s">
        <v>49</v>
      </c>
      <c r="D90" s="254" t="s">
        <v>59</v>
      </c>
      <c r="E90" s="32">
        <v>508</v>
      </c>
      <c r="F90" s="32">
        <v>473</v>
      </c>
      <c r="G90" s="66">
        <v>-0.35858585858585856</v>
      </c>
      <c r="H90" s="66">
        <v>-0.10246679316888045</v>
      </c>
      <c r="I90" s="32">
        <v>11198</v>
      </c>
      <c r="J90" s="32">
        <v>10104</v>
      </c>
      <c r="K90" s="32">
        <v>37616</v>
      </c>
      <c r="L90" s="32">
        <v>34163</v>
      </c>
      <c r="M90" s="37">
        <v>0.8</v>
      </c>
      <c r="N90" s="37">
        <v>7.0000000000000007E-2</v>
      </c>
      <c r="O90" s="37">
        <v>0.93</v>
      </c>
      <c r="P90" s="37">
        <v>0.56999999999999995</v>
      </c>
      <c r="Q90" s="37">
        <v>1</v>
      </c>
      <c r="R90" s="108">
        <v>0</v>
      </c>
      <c r="S90" s="108">
        <v>0</v>
      </c>
      <c r="T90" s="259">
        <v>0</v>
      </c>
      <c r="U90" s="258" t="str">
        <f t="shared" si="5"/>
        <v>Normal</v>
      </c>
      <c r="V90" s="258" t="str">
        <f t="shared" si="6"/>
        <v>Normal</v>
      </c>
      <c r="W90" s="264">
        <f t="shared" si="7"/>
        <v>-0.35858585858585856</v>
      </c>
      <c r="X90" s="264">
        <f t="shared" si="8"/>
        <v>-0.10246679316888045</v>
      </c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</row>
    <row r="91" spans="1:35">
      <c r="A91" s="194">
        <v>44741</v>
      </c>
      <c r="B91" s="309">
        <f>IF(YEAR(Table9[[#This Row],[Date]]) = 2022, WEEKNUM(Table9[[#This Row],[Date]])-13, WEEKNUM(Table9[[#This Row],[Date]])+40)</f>
        <v>14</v>
      </c>
      <c r="C91" s="9" t="s">
        <v>50</v>
      </c>
      <c r="D91" s="254" t="s">
        <v>59</v>
      </c>
      <c r="E91" s="1">
        <v>480</v>
      </c>
      <c r="F91" s="1">
        <v>441</v>
      </c>
      <c r="G91" s="67">
        <v>-1.0309278350515464E-2</v>
      </c>
      <c r="H91" s="67">
        <v>-3.0769230769230771E-2</v>
      </c>
      <c r="I91" s="1">
        <v>11678</v>
      </c>
      <c r="J91" s="1">
        <v>10545</v>
      </c>
      <c r="K91" s="1">
        <v>38096</v>
      </c>
      <c r="L91" s="1">
        <v>34604</v>
      </c>
      <c r="M91" s="18">
        <v>0.79</v>
      </c>
      <c r="N91" s="18">
        <v>0.08</v>
      </c>
      <c r="O91" s="18">
        <v>0.92</v>
      </c>
      <c r="P91" s="18">
        <v>0.52</v>
      </c>
      <c r="Q91" s="18">
        <v>1</v>
      </c>
      <c r="R91" s="17">
        <v>0</v>
      </c>
      <c r="S91" s="17">
        <v>0</v>
      </c>
      <c r="T91" s="259">
        <v>0</v>
      </c>
      <c r="U91" s="258" t="str">
        <f t="shared" si="5"/>
        <v>Normal</v>
      </c>
      <c r="V91" s="258" t="str">
        <f t="shared" si="6"/>
        <v>Normal</v>
      </c>
      <c r="W91" s="264">
        <f t="shared" si="7"/>
        <v>-1.0309278350515464E-2</v>
      </c>
      <c r="X91" s="264">
        <f t="shared" si="8"/>
        <v>-3.0769230769230771E-2</v>
      </c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</row>
    <row r="92" spans="1:35">
      <c r="A92" s="196">
        <v>44742</v>
      </c>
      <c r="B92" s="311">
        <f>IF(YEAR(Table9[[#This Row],[Date]]) = 2022, WEEKNUM(Table9[[#This Row],[Date]])-13, WEEKNUM(Table9[[#This Row],[Date]])+40)</f>
        <v>14</v>
      </c>
      <c r="C92" s="89" t="s">
        <v>51</v>
      </c>
      <c r="D92" s="254" t="s">
        <v>59</v>
      </c>
      <c r="E92" s="80">
        <v>505</v>
      </c>
      <c r="F92" s="80">
        <v>471</v>
      </c>
      <c r="G92" s="90">
        <v>0.1744186046511628</v>
      </c>
      <c r="H92" s="90">
        <v>0.145985401459854</v>
      </c>
      <c r="I92" s="80">
        <v>12183</v>
      </c>
      <c r="J92" s="80">
        <v>11016</v>
      </c>
      <c r="K92" s="80">
        <v>38601</v>
      </c>
      <c r="L92" s="80">
        <v>35075</v>
      </c>
      <c r="M92" s="91">
        <v>0.8</v>
      </c>
      <c r="N92" s="91">
        <v>7.0000000000000007E-2</v>
      </c>
      <c r="O92" s="91">
        <v>0.93</v>
      </c>
      <c r="P92" s="91">
        <v>0.56999999999999995</v>
      </c>
      <c r="Q92" s="91">
        <v>1</v>
      </c>
      <c r="R92" s="108">
        <v>0</v>
      </c>
      <c r="S92" s="108">
        <v>0</v>
      </c>
      <c r="T92" s="259">
        <v>0</v>
      </c>
      <c r="U92" s="258" t="str">
        <f t="shared" si="5"/>
        <v>Normal</v>
      </c>
      <c r="V92" s="258" t="str">
        <f t="shared" si="6"/>
        <v>Normal</v>
      </c>
      <c r="W92" s="264">
        <f t="shared" si="7"/>
        <v>0.1744186046511628</v>
      </c>
      <c r="X92" s="264">
        <f t="shared" si="8"/>
        <v>0.145985401459854</v>
      </c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</row>
    <row r="93" spans="1:35">
      <c r="A93" s="194">
        <v>44743</v>
      </c>
      <c r="B93" s="309">
        <f>IF(YEAR(Table9[[#This Row],[Date]]) = 2022, WEEKNUM(Table9[[#This Row],[Date]])-13, WEEKNUM(Table9[[#This Row],[Date]])+40)</f>
        <v>14</v>
      </c>
      <c r="C93" s="9" t="s">
        <v>52</v>
      </c>
      <c r="D93" s="254" t="s">
        <v>59</v>
      </c>
      <c r="E93" s="1">
        <v>484</v>
      </c>
      <c r="F93" s="1">
        <v>464</v>
      </c>
      <c r="G93" s="67">
        <v>1.9693251533742331</v>
      </c>
      <c r="H93" s="67">
        <v>1.9367088607594938</v>
      </c>
      <c r="I93" s="1">
        <v>484</v>
      </c>
      <c r="J93" s="1">
        <v>464</v>
      </c>
      <c r="K93" s="1">
        <v>39085</v>
      </c>
      <c r="L93" s="1">
        <v>35539</v>
      </c>
      <c r="M93" s="18">
        <v>0.89</v>
      </c>
      <c r="N93" s="18">
        <v>0.04</v>
      </c>
      <c r="O93" s="18">
        <v>0.96</v>
      </c>
      <c r="P93" s="18">
        <v>0.54</v>
      </c>
      <c r="Q93" s="18">
        <v>1</v>
      </c>
      <c r="R93" s="17">
        <v>0</v>
      </c>
      <c r="S93" s="17">
        <v>0</v>
      </c>
      <c r="T93" s="259">
        <v>0</v>
      </c>
      <c r="U93" s="258" t="str">
        <f t="shared" si="5"/>
        <v>Outlier</v>
      </c>
      <c r="V93" s="258" t="str">
        <f t="shared" si="6"/>
        <v>Outlier</v>
      </c>
      <c r="W93" s="264">
        <f t="shared" si="7"/>
        <v>3.8866598404146913E-2</v>
      </c>
      <c r="X93" s="264">
        <f t="shared" si="8"/>
        <v>3.6987410590264454E-2</v>
      </c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</row>
    <row r="94" spans="1:35">
      <c r="A94" s="195">
        <v>44744</v>
      </c>
      <c r="B94" s="310">
        <f>IF(YEAR(Table9[[#This Row],[Date]]) = 2022, WEEKNUM(Table9[[#This Row],[Date]])-13, WEEKNUM(Table9[[#This Row],[Date]])+40)</f>
        <v>14</v>
      </c>
      <c r="C94" s="36" t="s">
        <v>53</v>
      </c>
      <c r="D94" s="254" t="s">
        <v>59</v>
      </c>
      <c r="E94" s="32">
        <v>172</v>
      </c>
      <c r="F94" s="32">
        <v>169</v>
      </c>
      <c r="G94" s="66">
        <v>5.5214723926380369E-2</v>
      </c>
      <c r="H94" s="66">
        <v>6.9620253164556958E-2</v>
      </c>
      <c r="I94" s="32">
        <v>656</v>
      </c>
      <c r="J94" s="32">
        <v>633</v>
      </c>
      <c r="K94" s="32">
        <v>39257</v>
      </c>
      <c r="L94" s="32">
        <v>35708</v>
      </c>
      <c r="M94" s="37">
        <v>0.98</v>
      </c>
      <c r="N94" s="37">
        <v>0.02</v>
      </c>
      <c r="O94" s="37">
        <v>0.98</v>
      </c>
      <c r="P94" s="37">
        <v>0.51</v>
      </c>
      <c r="Q94" s="37">
        <v>1</v>
      </c>
      <c r="R94" s="108">
        <v>0</v>
      </c>
      <c r="S94" s="108">
        <v>0</v>
      </c>
      <c r="T94" s="259">
        <v>0</v>
      </c>
      <c r="U94" s="258" t="str">
        <f t="shared" si="5"/>
        <v>Normal</v>
      </c>
      <c r="V94" s="258" t="str">
        <f t="shared" si="6"/>
        <v>Normal</v>
      </c>
      <c r="W94" s="264">
        <f t="shared" si="7"/>
        <v>5.5214723926380369E-2</v>
      </c>
      <c r="X94" s="264">
        <f t="shared" si="8"/>
        <v>6.9620253164556958E-2</v>
      </c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</row>
    <row r="95" spans="1:35">
      <c r="A95" s="194">
        <v>44745</v>
      </c>
      <c r="B95" s="309">
        <f>IF(YEAR(Table9[[#This Row],[Date]]) = 2022, WEEKNUM(Table9[[#This Row],[Date]])-13, WEEKNUM(Table9[[#This Row],[Date]])+40)</f>
        <v>15</v>
      </c>
      <c r="C95" s="9" t="s">
        <v>47</v>
      </c>
      <c r="D95" s="254" t="s">
        <v>59</v>
      </c>
      <c r="E95" s="1">
        <v>0</v>
      </c>
      <c r="F95" s="1">
        <v>0</v>
      </c>
      <c r="G95" s="67">
        <v>0</v>
      </c>
      <c r="H95" s="67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7">
        <v>0</v>
      </c>
      <c r="S95" s="17">
        <v>0</v>
      </c>
      <c r="T95" s="259">
        <v>0</v>
      </c>
      <c r="U95" s="258" t="str">
        <f t="shared" si="5"/>
        <v>Normal</v>
      </c>
      <c r="V95" s="258" t="str">
        <f t="shared" si="6"/>
        <v>Normal</v>
      </c>
      <c r="W95" s="264">
        <f t="shared" si="7"/>
        <v>0</v>
      </c>
      <c r="X95" s="264">
        <f t="shared" si="8"/>
        <v>0</v>
      </c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</row>
    <row r="96" spans="1:35">
      <c r="A96" s="195">
        <v>44746</v>
      </c>
      <c r="B96" s="310">
        <f>IF(YEAR(Table9[[#This Row],[Date]]) = 2022, WEEKNUM(Table9[[#This Row],[Date]])-13, WEEKNUM(Table9[[#This Row],[Date]])+40)</f>
        <v>15</v>
      </c>
      <c r="C96" s="36" t="s">
        <v>48</v>
      </c>
      <c r="D96" s="254" t="s">
        <v>59</v>
      </c>
      <c r="E96" s="32">
        <v>592</v>
      </c>
      <c r="F96" s="32">
        <v>536</v>
      </c>
      <c r="G96" s="66">
        <v>9.6296296296296297E-2</v>
      </c>
      <c r="H96" s="66">
        <v>0.16268980477223427</v>
      </c>
      <c r="I96" s="32">
        <v>1248</v>
      </c>
      <c r="J96" s="32">
        <v>1169</v>
      </c>
      <c r="K96" s="32">
        <v>39849</v>
      </c>
      <c r="L96" s="32">
        <v>36300</v>
      </c>
      <c r="M96" s="37">
        <v>0.72</v>
      </c>
      <c r="N96" s="37">
        <v>0.09</v>
      </c>
      <c r="O96" s="37">
        <v>0.91</v>
      </c>
      <c r="P96" s="37">
        <v>0.63</v>
      </c>
      <c r="Q96" s="37">
        <v>1</v>
      </c>
      <c r="R96" s="108">
        <v>0</v>
      </c>
      <c r="S96" s="108">
        <v>0</v>
      </c>
      <c r="T96" s="259">
        <v>0</v>
      </c>
      <c r="U96" s="258" t="str">
        <f t="shared" si="5"/>
        <v>Normal</v>
      </c>
      <c r="V96" s="258" t="str">
        <f t="shared" si="6"/>
        <v>Normal</v>
      </c>
      <c r="W96" s="264">
        <f t="shared" si="7"/>
        <v>9.6296296296296297E-2</v>
      </c>
      <c r="X96" s="264">
        <f t="shared" si="8"/>
        <v>0.16268980477223427</v>
      </c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</row>
    <row r="97" spans="1:35">
      <c r="A97" s="194">
        <v>44747</v>
      </c>
      <c r="B97" s="309">
        <f>IF(YEAR(Table9[[#This Row],[Date]]) = 2022, WEEKNUM(Table9[[#This Row],[Date]])-13, WEEKNUM(Table9[[#This Row],[Date]])+40)</f>
        <v>15</v>
      </c>
      <c r="C97" s="35" t="s">
        <v>49</v>
      </c>
      <c r="D97" s="255" t="s">
        <v>59</v>
      </c>
      <c r="E97" s="43">
        <v>505</v>
      </c>
      <c r="F97" s="1">
        <v>476</v>
      </c>
      <c r="G97" s="67">
        <v>-5.905511811023622E-3</v>
      </c>
      <c r="H97" s="67">
        <v>6.3424947145877377E-3</v>
      </c>
      <c r="I97" s="1">
        <v>1753</v>
      </c>
      <c r="J97" s="1">
        <v>1645</v>
      </c>
      <c r="K97" s="1">
        <v>40354</v>
      </c>
      <c r="L97" s="1">
        <v>36776</v>
      </c>
      <c r="M97" s="18">
        <v>0.76</v>
      </c>
      <c r="N97" s="18">
        <v>0.06</v>
      </c>
      <c r="O97" s="18">
        <v>0.94</v>
      </c>
      <c r="P97" s="18">
        <v>0.57999999999999996</v>
      </c>
      <c r="Q97" s="18">
        <v>1</v>
      </c>
      <c r="R97" s="17">
        <v>0</v>
      </c>
      <c r="S97" s="17">
        <v>0</v>
      </c>
      <c r="T97" s="259">
        <v>0</v>
      </c>
      <c r="U97" s="258" t="str">
        <f t="shared" si="5"/>
        <v>Normal</v>
      </c>
      <c r="V97" s="258" t="str">
        <f t="shared" si="6"/>
        <v>Normal</v>
      </c>
      <c r="W97" s="264">
        <f t="shared" si="7"/>
        <v>-5.905511811023622E-3</v>
      </c>
      <c r="X97" s="264">
        <f t="shared" si="8"/>
        <v>6.3424947145877377E-3</v>
      </c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</row>
    <row r="98" spans="1:35">
      <c r="A98" s="195">
        <v>44748</v>
      </c>
      <c r="B98" s="310">
        <f>IF(YEAR(Table9[[#This Row],[Date]]) = 2022, WEEKNUM(Table9[[#This Row],[Date]])-13, WEEKNUM(Table9[[#This Row],[Date]])+40)</f>
        <v>15</v>
      </c>
      <c r="C98" s="34" t="s">
        <v>50</v>
      </c>
      <c r="D98" s="255" t="s">
        <v>59</v>
      </c>
      <c r="E98" s="42">
        <v>646</v>
      </c>
      <c r="F98" s="32">
        <v>586</v>
      </c>
      <c r="G98" s="67">
        <v>0.34583333333333333</v>
      </c>
      <c r="H98" s="67">
        <v>0.3287981859410431</v>
      </c>
      <c r="I98" s="32">
        <v>2399</v>
      </c>
      <c r="J98" s="32">
        <v>2231</v>
      </c>
      <c r="K98" s="32">
        <v>41000</v>
      </c>
      <c r="L98" s="32">
        <v>37362</v>
      </c>
      <c r="M98" s="37">
        <v>0.71</v>
      </c>
      <c r="N98" s="37">
        <v>0.09</v>
      </c>
      <c r="O98" s="37">
        <v>0.91</v>
      </c>
      <c r="P98" s="37">
        <v>0.71</v>
      </c>
      <c r="Q98" s="37">
        <v>1</v>
      </c>
      <c r="R98" s="108">
        <v>0</v>
      </c>
      <c r="S98" s="108">
        <v>0</v>
      </c>
      <c r="T98" s="259">
        <v>0</v>
      </c>
      <c r="U98" s="258" t="str">
        <f t="shared" si="5"/>
        <v>Normal</v>
      </c>
      <c r="V98" s="258" t="str">
        <f t="shared" si="6"/>
        <v>Normal</v>
      </c>
      <c r="W98" s="264">
        <f t="shared" si="7"/>
        <v>0.34583333333333333</v>
      </c>
      <c r="X98" s="264">
        <f t="shared" si="8"/>
        <v>0.3287981859410431</v>
      </c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</row>
    <row r="99" spans="1:35">
      <c r="A99" s="194">
        <v>44749</v>
      </c>
      <c r="B99" s="309">
        <f>IF(YEAR(Table9[[#This Row],[Date]]) = 2022, WEEKNUM(Table9[[#This Row],[Date]])-13, WEEKNUM(Table9[[#This Row],[Date]])+40)</f>
        <v>15</v>
      </c>
      <c r="C99" s="35" t="s">
        <v>51</v>
      </c>
      <c r="D99" s="255" t="s">
        <v>59</v>
      </c>
      <c r="E99" s="43">
        <v>510</v>
      </c>
      <c r="F99" s="1">
        <v>484</v>
      </c>
      <c r="G99" s="67">
        <v>9.9009900990099011E-3</v>
      </c>
      <c r="H99" s="67">
        <v>2.7600849256900213E-2</v>
      </c>
      <c r="I99" s="1">
        <v>2909</v>
      </c>
      <c r="J99" s="1">
        <v>2715</v>
      </c>
      <c r="K99" s="1">
        <v>41510</v>
      </c>
      <c r="L99" s="1">
        <v>37846</v>
      </c>
      <c r="M99" s="18">
        <v>0.87</v>
      </c>
      <c r="N99" s="18">
        <v>0.05</v>
      </c>
      <c r="O99" s="18">
        <v>0.95</v>
      </c>
      <c r="P99" s="18">
        <v>0.47</v>
      </c>
      <c r="Q99" s="18">
        <v>1</v>
      </c>
      <c r="R99" s="17">
        <v>0</v>
      </c>
      <c r="S99" s="17">
        <v>0</v>
      </c>
      <c r="T99" s="259">
        <v>0</v>
      </c>
      <c r="U99" s="258" t="str">
        <f t="shared" si="5"/>
        <v>Normal</v>
      </c>
      <c r="V99" s="258" t="str">
        <f t="shared" si="6"/>
        <v>Normal</v>
      </c>
      <c r="W99" s="264">
        <f t="shared" si="7"/>
        <v>9.9009900990099011E-3</v>
      </c>
      <c r="X99" s="264">
        <f t="shared" si="8"/>
        <v>2.7600849256900213E-2</v>
      </c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</row>
    <row r="100" spans="1:35">
      <c r="A100" s="195">
        <v>44750</v>
      </c>
      <c r="B100" s="310">
        <f>IF(YEAR(Table9[[#This Row],[Date]]) = 2022, WEEKNUM(Table9[[#This Row],[Date]])-13, WEEKNUM(Table9[[#This Row],[Date]])+40)</f>
        <v>15</v>
      </c>
      <c r="C100" s="34" t="s">
        <v>52</v>
      </c>
      <c r="D100" s="255" t="s">
        <v>59</v>
      </c>
      <c r="E100" s="42">
        <v>492</v>
      </c>
      <c r="F100" s="32">
        <v>451</v>
      </c>
      <c r="G100" s="67">
        <v>1.6528925619834711E-2</v>
      </c>
      <c r="H100" s="67">
        <v>-2.8017241379310345E-2</v>
      </c>
      <c r="I100" s="32">
        <v>3401</v>
      </c>
      <c r="J100" s="32">
        <v>3166</v>
      </c>
      <c r="K100" s="32">
        <v>42002</v>
      </c>
      <c r="L100" s="32">
        <v>38297</v>
      </c>
      <c r="M100" s="37">
        <v>0.8</v>
      </c>
      <c r="N100" s="37">
        <v>0.08</v>
      </c>
      <c r="O100" s="37">
        <v>0.92</v>
      </c>
      <c r="P100" s="37">
        <v>0.53</v>
      </c>
      <c r="Q100" s="37">
        <v>1</v>
      </c>
      <c r="R100" s="108">
        <v>0</v>
      </c>
      <c r="S100" s="108">
        <v>0</v>
      </c>
      <c r="T100" s="259">
        <v>0</v>
      </c>
      <c r="U100" s="258" t="str">
        <f t="shared" si="5"/>
        <v>Normal</v>
      </c>
      <c r="V100" s="258" t="str">
        <f t="shared" si="6"/>
        <v>Normal</v>
      </c>
      <c r="W100" s="264">
        <f t="shared" si="7"/>
        <v>1.6528925619834711E-2</v>
      </c>
      <c r="X100" s="264">
        <f t="shared" si="8"/>
        <v>-2.8017241379310345E-2</v>
      </c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</row>
    <row r="101" spans="1:35">
      <c r="A101" s="194">
        <v>44751</v>
      </c>
      <c r="B101" s="309">
        <f>IF(YEAR(Table9[[#This Row],[Date]]) = 2022, WEEKNUM(Table9[[#This Row],[Date]])-13, WEEKNUM(Table9[[#This Row],[Date]])+40)</f>
        <v>15</v>
      </c>
      <c r="C101" s="35" t="s">
        <v>53</v>
      </c>
      <c r="D101" s="255" t="s">
        <v>59</v>
      </c>
      <c r="E101" s="43">
        <v>166</v>
      </c>
      <c r="F101" s="1">
        <v>159</v>
      </c>
      <c r="G101" s="67">
        <v>-3.4883720930232558E-2</v>
      </c>
      <c r="H101" s="67">
        <v>-5.9171597633136092E-2</v>
      </c>
      <c r="I101" s="1">
        <v>3567</v>
      </c>
      <c r="J101" s="1">
        <v>3325</v>
      </c>
      <c r="K101" s="1">
        <v>42168</v>
      </c>
      <c r="L101" s="1">
        <v>38456</v>
      </c>
      <c r="M101" s="18">
        <v>0.8</v>
      </c>
      <c r="N101" s="18">
        <v>0.04</v>
      </c>
      <c r="O101" s="18">
        <v>0.96</v>
      </c>
      <c r="P101" s="18">
        <v>0.49</v>
      </c>
      <c r="Q101" s="18">
        <v>1</v>
      </c>
      <c r="R101" s="17">
        <v>0</v>
      </c>
      <c r="S101" s="17">
        <v>0</v>
      </c>
      <c r="T101" s="259">
        <v>0</v>
      </c>
      <c r="U101" s="258" t="str">
        <f t="shared" si="5"/>
        <v>Normal</v>
      </c>
      <c r="V101" s="258" t="str">
        <f t="shared" si="6"/>
        <v>Normal</v>
      </c>
      <c r="W101" s="264">
        <f t="shared" si="7"/>
        <v>-3.4883720930232558E-2</v>
      </c>
      <c r="X101" s="264">
        <f t="shared" si="8"/>
        <v>-5.9171597633136092E-2</v>
      </c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</row>
    <row r="102" spans="1:35">
      <c r="A102" s="195">
        <v>44752</v>
      </c>
      <c r="B102" s="310">
        <f>IF(YEAR(Table9[[#This Row],[Date]]) = 2022, WEEKNUM(Table9[[#This Row],[Date]])-13, WEEKNUM(Table9[[#This Row],[Date]])+40)</f>
        <v>16</v>
      </c>
      <c r="C102" s="34" t="s">
        <v>47</v>
      </c>
      <c r="D102" s="255" t="s">
        <v>59</v>
      </c>
      <c r="E102" s="42">
        <v>0</v>
      </c>
      <c r="F102" s="32">
        <v>0</v>
      </c>
      <c r="G102" s="32">
        <v>0</v>
      </c>
      <c r="H102" s="66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7">
        <v>0</v>
      </c>
      <c r="O102" s="37">
        <v>0</v>
      </c>
      <c r="P102" s="37">
        <v>0</v>
      </c>
      <c r="Q102" s="37">
        <v>0</v>
      </c>
      <c r="R102" s="108">
        <v>0</v>
      </c>
      <c r="S102" s="108">
        <v>0</v>
      </c>
      <c r="T102" s="259">
        <v>0</v>
      </c>
      <c r="U102" s="258" t="str">
        <f t="shared" si="5"/>
        <v>Normal</v>
      </c>
      <c r="V102" s="258" t="str">
        <f t="shared" si="6"/>
        <v>Normal</v>
      </c>
      <c r="W102" s="264">
        <f t="shared" si="7"/>
        <v>0</v>
      </c>
      <c r="X102" s="264">
        <f t="shared" si="8"/>
        <v>0</v>
      </c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</row>
    <row r="103" spans="1:35">
      <c r="A103" s="194">
        <v>44753</v>
      </c>
      <c r="B103" s="309">
        <f>IF(YEAR(Table9[[#This Row],[Date]]) = 2022, WEEKNUM(Table9[[#This Row],[Date]])-13, WEEKNUM(Table9[[#This Row],[Date]])+40)</f>
        <v>16</v>
      </c>
      <c r="C103" s="35" t="s">
        <v>48</v>
      </c>
      <c r="D103" s="255" t="s">
        <v>59</v>
      </c>
      <c r="E103" s="43">
        <v>540</v>
      </c>
      <c r="F103" s="43">
        <v>503</v>
      </c>
      <c r="G103" s="67">
        <v>-8.7837837837837843E-2</v>
      </c>
      <c r="H103" s="67">
        <v>-6.1567164179104475E-2</v>
      </c>
      <c r="I103" s="1">
        <v>4107</v>
      </c>
      <c r="J103" s="1">
        <v>3828</v>
      </c>
      <c r="K103" s="1">
        <v>42708</v>
      </c>
      <c r="L103" s="1">
        <v>38959</v>
      </c>
      <c r="M103" s="92">
        <v>0.79</v>
      </c>
      <c r="N103" s="92">
        <v>7.0000000000000007E-2</v>
      </c>
      <c r="O103" s="92">
        <v>0.93</v>
      </c>
      <c r="P103" s="92">
        <v>0.59</v>
      </c>
      <c r="Q103" s="92">
        <v>1</v>
      </c>
      <c r="R103" s="17">
        <v>0</v>
      </c>
      <c r="S103" s="17">
        <v>0</v>
      </c>
      <c r="T103" s="259">
        <v>0</v>
      </c>
      <c r="U103" s="258" t="str">
        <f t="shared" si="5"/>
        <v>Normal</v>
      </c>
      <c r="V103" s="258" t="str">
        <f t="shared" si="6"/>
        <v>Normal</v>
      </c>
      <c r="W103" s="264">
        <f t="shared" si="7"/>
        <v>-8.7837837837837843E-2</v>
      </c>
      <c r="X103" s="264">
        <f t="shared" si="8"/>
        <v>-6.1567164179104475E-2</v>
      </c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</row>
    <row r="104" spans="1:35">
      <c r="A104" s="195">
        <v>44754</v>
      </c>
      <c r="B104" s="310">
        <f>IF(YEAR(Table9[[#This Row],[Date]]) = 2022, WEEKNUM(Table9[[#This Row],[Date]])-13, WEEKNUM(Table9[[#This Row],[Date]])+40)</f>
        <v>16</v>
      </c>
      <c r="C104" s="34" t="s">
        <v>49</v>
      </c>
      <c r="D104" s="255" t="s">
        <v>59</v>
      </c>
      <c r="E104" s="42">
        <v>476</v>
      </c>
      <c r="F104" s="42">
        <v>437</v>
      </c>
      <c r="G104" s="67">
        <v>-5.7425742574257428E-2</v>
      </c>
      <c r="H104" s="67">
        <v>-8.1932773109243698E-2</v>
      </c>
      <c r="I104" s="1">
        <v>4583</v>
      </c>
      <c r="J104" s="1">
        <v>4265</v>
      </c>
      <c r="K104" s="1">
        <v>43184</v>
      </c>
      <c r="L104" s="1">
        <v>39396</v>
      </c>
      <c r="M104" s="93">
        <v>0.78</v>
      </c>
      <c r="N104" s="93">
        <v>0.08</v>
      </c>
      <c r="O104" s="93">
        <v>0.92</v>
      </c>
      <c r="P104" s="93">
        <v>0.52</v>
      </c>
      <c r="Q104" s="93">
        <v>1</v>
      </c>
      <c r="R104" s="108">
        <v>0</v>
      </c>
      <c r="S104" s="108">
        <v>0</v>
      </c>
      <c r="T104" s="259">
        <v>0</v>
      </c>
      <c r="U104" s="258" t="str">
        <f t="shared" si="5"/>
        <v>Normal</v>
      </c>
      <c r="V104" s="258" t="str">
        <f t="shared" si="6"/>
        <v>Normal</v>
      </c>
      <c r="W104" s="264">
        <f t="shared" si="7"/>
        <v>-5.7425742574257428E-2</v>
      </c>
      <c r="X104" s="264">
        <f t="shared" si="8"/>
        <v>-8.1932773109243698E-2</v>
      </c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</row>
    <row r="105" spans="1:35">
      <c r="A105" s="194">
        <v>44755</v>
      </c>
      <c r="B105" s="309">
        <f>IF(YEAR(Table9[[#This Row],[Date]]) = 2022, WEEKNUM(Table9[[#This Row],[Date]])-13, WEEKNUM(Table9[[#This Row],[Date]])+40)</f>
        <v>16</v>
      </c>
      <c r="C105" s="35" t="s">
        <v>50</v>
      </c>
      <c r="D105" s="255" t="s">
        <v>59</v>
      </c>
      <c r="E105" s="43">
        <v>535</v>
      </c>
      <c r="F105" s="43">
        <v>504</v>
      </c>
      <c r="G105" s="67">
        <v>-0.17182662538699692</v>
      </c>
      <c r="H105" s="67">
        <v>-0.13993174061433447</v>
      </c>
      <c r="I105" s="1">
        <v>5118</v>
      </c>
      <c r="J105" s="1">
        <v>4769</v>
      </c>
      <c r="K105" s="1">
        <v>43719</v>
      </c>
      <c r="L105" s="1">
        <v>39900</v>
      </c>
      <c r="M105" s="92">
        <v>0.8</v>
      </c>
      <c r="N105" s="92">
        <v>0.06</v>
      </c>
      <c r="O105" s="92">
        <v>0.94</v>
      </c>
      <c r="P105" s="92">
        <v>0.5</v>
      </c>
      <c r="Q105" s="92">
        <v>1</v>
      </c>
      <c r="R105" s="17">
        <v>0</v>
      </c>
      <c r="S105" s="17">
        <v>0</v>
      </c>
      <c r="T105" s="259">
        <v>0</v>
      </c>
      <c r="U105" s="258" t="str">
        <f t="shared" si="5"/>
        <v>Normal</v>
      </c>
      <c r="V105" s="258" t="str">
        <f t="shared" si="6"/>
        <v>Normal</v>
      </c>
      <c r="W105" s="264">
        <f t="shared" si="7"/>
        <v>-0.17182662538699692</v>
      </c>
      <c r="X105" s="264">
        <f t="shared" si="8"/>
        <v>-0.13993174061433447</v>
      </c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</row>
    <row r="106" spans="1:35">
      <c r="A106" s="195">
        <v>44756</v>
      </c>
      <c r="B106" s="310">
        <f>IF(YEAR(Table9[[#This Row],[Date]]) = 2022, WEEKNUM(Table9[[#This Row],[Date]])-13, WEEKNUM(Table9[[#This Row],[Date]])+40)</f>
        <v>16</v>
      </c>
      <c r="C106" s="34" t="s">
        <v>51</v>
      </c>
      <c r="D106" s="255" t="s">
        <v>59</v>
      </c>
      <c r="E106" s="42">
        <v>492</v>
      </c>
      <c r="F106" s="42">
        <v>465</v>
      </c>
      <c r="G106" s="67">
        <v>-3.5294117647058823E-2</v>
      </c>
      <c r="H106" s="67">
        <v>-3.9256198347107439E-2</v>
      </c>
      <c r="I106" s="1">
        <v>5610</v>
      </c>
      <c r="J106" s="1">
        <v>5234</v>
      </c>
      <c r="K106" s="1">
        <v>44211</v>
      </c>
      <c r="L106" s="1">
        <v>40365</v>
      </c>
      <c r="M106" s="93">
        <v>0.86</v>
      </c>
      <c r="N106" s="93">
        <v>0.05</v>
      </c>
      <c r="O106" s="93">
        <v>0.95</v>
      </c>
      <c r="P106" s="93">
        <v>0.54</v>
      </c>
      <c r="Q106" s="93">
        <v>1</v>
      </c>
      <c r="R106" s="108">
        <v>0</v>
      </c>
      <c r="S106" s="108">
        <v>0</v>
      </c>
      <c r="T106" s="259">
        <v>0</v>
      </c>
      <c r="U106" s="258" t="str">
        <f t="shared" si="5"/>
        <v>Normal</v>
      </c>
      <c r="V106" s="258" t="str">
        <f t="shared" si="6"/>
        <v>Normal</v>
      </c>
      <c r="W106" s="264">
        <f t="shared" si="7"/>
        <v>-3.5294117647058823E-2</v>
      </c>
      <c r="X106" s="264">
        <f t="shared" si="8"/>
        <v>-3.9256198347107439E-2</v>
      </c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</row>
    <row r="107" spans="1:35">
      <c r="A107" s="194">
        <v>44757</v>
      </c>
      <c r="B107" s="309">
        <f>IF(YEAR(Table9[[#This Row],[Date]]) = 2022, WEEKNUM(Table9[[#This Row],[Date]])-13, WEEKNUM(Table9[[#This Row],[Date]])+40)</f>
        <v>16</v>
      </c>
      <c r="C107" s="35" t="s">
        <v>52</v>
      </c>
      <c r="D107" s="255" t="s">
        <v>59</v>
      </c>
      <c r="E107" s="43">
        <v>536</v>
      </c>
      <c r="F107" s="43">
        <v>505</v>
      </c>
      <c r="G107" s="67">
        <v>8.943089430894309E-2</v>
      </c>
      <c r="H107" s="67">
        <v>0.11973392461197339</v>
      </c>
      <c r="I107" s="1">
        <v>6146</v>
      </c>
      <c r="J107" s="1">
        <v>5739</v>
      </c>
      <c r="K107" s="1">
        <v>44747</v>
      </c>
      <c r="L107" s="1">
        <v>40870</v>
      </c>
      <c r="M107" s="92">
        <v>0.85</v>
      </c>
      <c r="N107" s="92">
        <v>0.06</v>
      </c>
      <c r="O107" s="92">
        <v>0.94</v>
      </c>
      <c r="P107" s="92">
        <v>0.6</v>
      </c>
      <c r="Q107" s="92">
        <v>1</v>
      </c>
      <c r="R107" s="17">
        <v>0</v>
      </c>
      <c r="S107" s="17">
        <v>0</v>
      </c>
      <c r="T107" s="259">
        <v>0</v>
      </c>
      <c r="U107" s="258" t="str">
        <f t="shared" si="5"/>
        <v>Normal</v>
      </c>
      <c r="V107" s="258" t="str">
        <f t="shared" si="6"/>
        <v>Normal</v>
      </c>
      <c r="W107" s="264">
        <f t="shared" si="7"/>
        <v>8.943089430894309E-2</v>
      </c>
      <c r="X107" s="264">
        <f t="shared" si="8"/>
        <v>0.11973392461197339</v>
      </c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</row>
    <row r="108" spans="1:35">
      <c r="A108" s="195">
        <v>44758</v>
      </c>
      <c r="B108" s="310">
        <f>IF(YEAR(Table9[[#This Row],[Date]]) = 2022, WEEKNUM(Table9[[#This Row],[Date]])-13, WEEKNUM(Table9[[#This Row],[Date]])+40)</f>
        <v>16</v>
      </c>
      <c r="C108" s="34" t="s">
        <v>53</v>
      </c>
      <c r="D108" s="255" t="s">
        <v>59</v>
      </c>
      <c r="E108" s="42">
        <v>180</v>
      </c>
      <c r="F108" s="42">
        <v>170</v>
      </c>
      <c r="G108" s="67">
        <v>8.4337349397590355E-2</v>
      </c>
      <c r="H108" s="67">
        <v>6.9182389937106917E-2</v>
      </c>
      <c r="I108" s="1">
        <v>6326</v>
      </c>
      <c r="J108" s="1">
        <v>5909</v>
      </c>
      <c r="K108" s="1">
        <v>44927</v>
      </c>
      <c r="L108" s="1">
        <v>41040</v>
      </c>
      <c r="M108" s="93">
        <v>0.86</v>
      </c>
      <c r="N108" s="93">
        <v>0.06</v>
      </c>
      <c r="O108" s="93">
        <v>0.94</v>
      </c>
      <c r="P108" s="93">
        <v>0.39</v>
      </c>
      <c r="Q108" s="93">
        <v>1</v>
      </c>
      <c r="R108" s="108">
        <v>0</v>
      </c>
      <c r="S108" s="108">
        <v>0</v>
      </c>
      <c r="T108" s="259">
        <v>0</v>
      </c>
      <c r="U108" s="258" t="str">
        <f t="shared" si="5"/>
        <v>Normal</v>
      </c>
      <c r="V108" s="258" t="str">
        <f t="shared" si="6"/>
        <v>Normal</v>
      </c>
      <c r="W108" s="264">
        <f t="shared" si="7"/>
        <v>8.4337349397590355E-2</v>
      </c>
      <c r="X108" s="264">
        <f t="shared" si="8"/>
        <v>6.9182389937106917E-2</v>
      </c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</row>
    <row r="109" spans="1:35">
      <c r="A109" s="194">
        <v>44759</v>
      </c>
      <c r="B109" s="309">
        <f>IF(YEAR(Table9[[#This Row],[Date]]) = 2022, WEEKNUM(Table9[[#This Row],[Date]])-13, WEEKNUM(Table9[[#This Row],[Date]])+40)</f>
        <v>17</v>
      </c>
      <c r="C109" s="35" t="s">
        <v>47</v>
      </c>
      <c r="D109" s="255" t="s">
        <v>59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319">
        <v>0</v>
      </c>
      <c r="Q109" s="43">
        <v>0</v>
      </c>
      <c r="R109" s="17">
        <v>0</v>
      </c>
      <c r="S109" s="17">
        <v>0</v>
      </c>
      <c r="T109" s="259">
        <v>0</v>
      </c>
      <c r="U109" s="258" t="str">
        <f t="shared" si="5"/>
        <v>Normal</v>
      </c>
      <c r="V109" s="258" t="str">
        <f t="shared" si="6"/>
        <v>Normal</v>
      </c>
      <c r="W109" s="264">
        <f t="shared" si="7"/>
        <v>0</v>
      </c>
      <c r="X109" s="264">
        <f t="shared" si="8"/>
        <v>0</v>
      </c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</row>
    <row r="110" spans="1:35">
      <c r="A110" s="194">
        <v>44760</v>
      </c>
      <c r="B110" s="309">
        <f>IF(YEAR(Table9[[#This Row],[Date]]) = 2022, WEEKNUM(Table9[[#This Row],[Date]])-13, WEEKNUM(Table9[[#This Row],[Date]])+40)</f>
        <v>17</v>
      </c>
      <c r="C110" s="35" t="s">
        <v>48</v>
      </c>
      <c r="D110" s="255" t="s">
        <v>59</v>
      </c>
      <c r="E110" s="43">
        <v>348</v>
      </c>
      <c r="F110" s="43">
        <v>334</v>
      </c>
      <c r="G110" s="67">
        <v>-0.35555555555555557</v>
      </c>
      <c r="H110" s="67">
        <v>-0.3359840954274354</v>
      </c>
      <c r="I110" s="1">
        <v>6674</v>
      </c>
      <c r="J110" s="1">
        <v>6243</v>
      </c>
      <c r="K110" s="1">
        <v>45275</v>
      </c>
      <c r="L110" s="1">
        <v>41374</v>
      </c>
      <c r="M110" s="92">
        <v>0.93</v>
      </c>
      <c r="N110" s="92">
        <v>0.04</v>
      </c>
      <c r="O110" s="92">
        <v>0.96</v>
      </c>
      <c r="P110" s="92">
        <v>0.33</v>
      </c>
      <c r="Q110" s="92">
        <v>1</v>
      </c>
      <c r="R110" s="108">
        <v>0</v>
      </c>
      <c r="S110" s="108">
        <v>0</v>
      </c>
      <c r="T110" s="259">
        <v>0</v>
      </c>
      <c r="U110" s="258" t="str">
        <f t="shared" si="5"/>
        <v>Normal</v>
      </c>
      <c r="V110" s="258" t="str">
        <f t="shared" si="6"/>
        <v>Normal</v>
      </c>
      <c r="W110" s="264">
        <f t="shared" si="7"/>
        <v>-0.35555555555555557</v>
      </c>
      <c r="X110" s="264">
        <f t="shared" si="8"/>
        <v>-0.3359840954274354</v>
      </c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</row>
    <row r="111" spans="1:35">
      <c r="A111" s="194">
        <v>44761</v>
      </c>
      <c r="B111" s="309">
        <f>IF(YEAR(Table9[[#This Row],[Date]]) = 2022, WEEKNUM(Table9[[#This Row],[Date]])-13, WEEKNUM(Table9[[#This Row],[Date]])+40)</f>
        <v>17</v>
      </c>
      <c r="C111" s="35" t="s">
        <v>49</v>
      </c>
      <c r="D111" s="255" t="s">
        <v>59</v>
      </c>
      <c r="E111" s="43">
        <v>398</v>
      </c>
      <c r="F111" s="43">
        <v>367</v>
      </c>
      <c r="G111" s="67">
        <v>-0.1638655462184874</v>
      </c>
      <c r="H111" s="67">
        <v>-0.16018306636155608</v>
      </c>
      <c r="I111" s="1">
        <v>7072</v>
      </c>
      <c r="J111" s="1">
        <v>6610</v>
      </c>
      <c r="K111" s="1">
        <v>45673</v>
      </c>
      <c r="L111" s="1">
        <v>41741</v>
      </c>
      <c r="M111" s="92">
        <v>0.76</v>
      </c>
      <c r="N111" s="92">
        <v>0.08</v>
      </c>
      <c r="O111" s="92">
        <v>0.92</v>
      </c>
      <c r="P111" s="92">
        <v>0.34</v>
      </c>
      <c r="Q111" s="92">
        <v>1</v>
      </c>
      <c r="R111" s="17">
        <v>0</v>
      </c>
      <c r="S111" s="17">
        <v>0</v>
      </c>
      <c r="T111" s="259">
        <v>0</v>
      </c>
      <c r="U111" s="258" t="str">
        <f t="shared" si="5"/>
        <v>Normal</v>
      </c>
      <c r="V111" s="258" t="str">
        <f t="shared" si="6"/>
        <v>Normal</v>
      </c>
      <c r="W111" s="264">
        <f t="shared" si="7"/>
        <v>-0.1638655462184874</v>
      </c>
      <c r="X111" s="264">
        <f t="shared" si="8"/>
        <v>-0.16018306636155608</v>
      </c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</row>
    <row r="112" spans="1:35">
      <c r="A112" s="194">
        <v>44762</v>
      </c>
      <c r="B112" s="309">
        <f>IF(YEAR(Table9[[#This Row],[Date]]) = 2022, WEEKNUM(Table9[[#This Row],[Date]])-13, WEEKNUM(Table9[[#This Row],[Date]])+40)</f>
        <v>17</v>
      </c>
      <c r="C112" s="35" t="s">
        <v>50</v>
      </c>
      <c r="D112" s="255" t="s">
        <v>59</v>
      </c>
      <c r="E112" s="43">
        <v>527</v>
      </c>
      <c r="F112" s="43">
        <v>493</v>
      </c>
      <c r="G112" s="67">
        <v>-1.4953271028037384E-2</v>
      </c>
      <c r="H112" s="67">
        <v>-2.1825396825396824E-2</v>
      </c>
      <c r="I112" s="1">
        <v>7599</v>
      </c>
      <c r="J112" s="1">
        <v>7103</v>
      </c>
      <c r="K112" s="1">
        <v>46200</v>
      </c>
      <c r="L112" s="1">
        <v>42234</v>
      </c>
      <c r="M112" s="92">
        <v>0.79</v>
      </c>
      <c r="N112" s="92">
        <v>0.06</v>
      </c>
      <c r="O112" s="92">
        <v>0.94</v>
      </c>
      <c r="P112" s="92">
        <v>0.48</v>
      </c>
      <c r="Q112" s="92">
        <v>1</v>
      </c>
      <c r="R112" s="108">
        <v>0</v>
      </c>
      <c r="S112" s="108">
        <v>0</v>
      </c>
      <c r="T112" s="259">
        <v>0</v>
      </c>
      <c r="U112" s="258" t="str">
        <f t="shared" si="5"/>
        <v>Normal</v>
      </c>
      <c r="V112" s="258" t="str">
        <f t="shared" si="6"/>
        <v>Normal</v>
      </c>
      <c r="W112" s="264">
        <f t="shared" si="7"/>
        <v>-1.4953271028037384E-2</v>
      </c>
      <c r="X112" s="264">
        <f t="shared" si="8"/>
        <v>-2.1825396825396824E-2</v>
      </c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</row>
    <row r="113" spans="1:38">
      <c r="A113" s="194">
        <v>44763</v>
      </c>
      <c r="B113" s="309">
        <f>IF(YEAR(Table9[[#This Row],[Date]]) = 2022, WEEKNUM(Table9[[#This Row],[Date]])-13, WEEKNUM(Table9[[#This Row],[Date]])+40)</f>
        <v>17</v>
      </c>
      <c r="C113" s="35" t="s">
        <v>51</v>
      </c>
      <c r="D113" s="255" t="s">
        <v>59</v>
      </c>
      <c r="E113" s="43">
        <v>493</v>
      </c>
      <c r="F113" s="43">
        <v>455</v>
      </c>
      <c r="G113" s="67">
        <v>2.0325203252032522E-3</v>
      </c>
      <c r="H113" s="67">
        <v>-2.1505376344086023E-2</v>
      </c>
      <c r="I113" s="1">
        <v>8092</v>
      </c>
      <c r="J113" s="1">
        <v>7558</v>
      </c>
      <c r="K113" s="1">
        <v>46693</v>
      </c>
      <c r="L113" s="1">
        <v>42689</v>
      </c>
      <c r="M113" s="92">
        <v>0.81</v>
      </c>
      <c r="N113" s="92">
        <v>0.08</v>
      </c>
      <c r="O113" s="92">
        <v>0.92</v>
      </c>
      <c r="P113" s="92">
        <v>0.45</v>
      </c>
      <c r="Q113" s="92">
        <v>1</v>
      </c>
      <c r="R113" s="17">
        <v>0</v>
      </c>
      <c r="S113" s="17">
        <v>0</v>
      </c>
      <c r="T113" s="259">
        <v>0</v>
      </c>
      <c r="U113" s="258" t="str">
        <f t="shared" si="5"/>
        <v>Normal</v>
      </c>
      <c r="V113" s="258" t="str">
        <f t="shared" si="6"/>
        <v>Normal</v>
      </c>
      <c r="W113" s="264">
        <f t="shared" si="7"/>
        <v>2.0325203252032522E-3</v>
      </c>
      <c r="X113" s="264">
        <f t="shared" si="8"/>
        <v>-2.1505376344086023E-2</v>
      </c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</row>
    <row r="114" spans="1:38">
      <c r="A114" s="194">
        <v>44764</v>
      </c>
      <c r="B114" s="309">
        <f>IF(YEAR(Table9[[#This Row],[Date]]) = 2022, WEEKNUM(Table9[[#This Row],[Date]])-13, WEEKNUM(Table9[[#This Row],[Date]])+40)</f>
        <v>17</v>
      </c>
      <c r="C114" s="35" t="s">
        <v>52</v>
      </c>
      <c r="D114" s="255" t="s">
        <v>59</v>
      </c>
      <c r="E114" s="43">
        <v>554</v>
      </c>
      <c r="F114" s="43">
        <v>520</v>
      </c>
      <c r="G114" s="67">
        <v>3.3582089552238806E-2</v>
      </c>
      <c r="H114" s="67">
        <v>2.9702970297029702E-2</v>
      </c>
      <c r="I114" s="1">
        <v>8646</v>
      </c>
      <c r="J114" s="1">
        <v>8078</v>
      </c>
      <c r="K114" s="1">
        <v>47247</v>
      </c>
      <c r="L114" s="1">
        <v>43209</v>
      </c>
      <c r="M114" s="92">
        <v>0.84</v>
      </c>
      <c r="N114" s="92">
        <v>0.06</v>
      </c>
      <c r="O114" s="92">
        <v>0.94</v>
      </c>
      <c r="P114" s="92">
        <v>0.49</v>
      </c>
      <c r="Q114" s="92">
        <v>1</v>
      </c>
      <c r="R114" s="108">
        <v>0</v>
      </c>
      <c r="S114" s="108">
        <v>0</v>
      </c>
      <c r="T114" s="259">
        <v>0</v>
      </c>
      <c r="U114" s="258" t="str">
        <f t="shared" si="5"/>
        <v>Normal</v>
      </c>
      <c r="V114" s="258" t="str">
        <f t="shared" si="6"/>
        <v>Normal</v>
      </c>
      <c r="W114" s="264">
        <f t="shared" si="7"/>
        <v>3.3582089552238806E-2</v>
      </c>
      <c r="X114" s="264">
        <f t="shared" si="8"/>
        <v>2.9702970297029702E-2</v>
      </c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</row>
    <row r="115" spans="1:38">
      <c r="A115" s="194">
        <v>44765</v>
      </c>
      <c r="B115" s="309">
        <f>IF(YEAR(Table9[[#This Row],[Date]]) = 2022, WEEKNUM(Table9[[#This Row],[Date]])-13, WEEKNUM(Table9[[#This Row],[Date]])+40)</f>
        <v>17</v>
      </c>
      <c r="C115" s="35" t="s">
        <v>53</v>
      </c>
      <c r="D115" s="255" t="s">
        <v>59</v>
      </c>
      <c r="E115" s="43">
        <v>179</v>
      </c>
      <c r="F115" s="43">
        <v>175</v>
      </c>
      <c r="G115" s="67">
        <v>-5.5555555555555558E-3</v>
      </c>
      <c r="H115" s="67">
        <v>2.9411764705882353E-2</v>
      </c>
      <c r="I115" s="1">
        <v>8825</v>
      </c>
      <c r="J115" s="1">
        <v>8253</v>
      </c>
      <c r="K115" s="1">
        <v>47426</v>
      </c>
      <c r="L115" s="1">
        <v>43384</v>
      </c>
      <c r="M115" s="92">
        <v>0.92</v>
      </c>
      <c r="N115" s="92">
        <v>0.02</v>
      </c>
      <c r="O115" s="92">
        <v>0.98</v>
      </c>
      <c r="P115" s="92">
        <v>0.45</v>
      </c>
      <c r="Q115" s="92">
        <v>1</v>
      </c>
      <c r="R115" s="17">
        <v>0</v>
      </c>
      <c r="S115" s="17">
        <v>0</v>
      </c>
      <c r="T115" s="259">
        <v>0</v>
      </c>
      <c r="U115" s="258" t="str">
        <f t="shared" si="5"/>
        <v>Normal</v>
      </c>
      <c r="V115" s="258" t="str">
        <f t="shared" si="6"/>
        <v>Normal</v>
      </c>
      <c r="W115" s="264">
        <f t="shared" si="7"/>
        <v>-5.5555555555555558E-3</v>
      </c>
      <c r="X115" s="264">
        <f t="shared" si="8"/>
        <v>2.9411764705882353E-2</v>
      </c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</row>
    <row r="116" spans="1:38">
      <c r="A116" s="194">
        <v>44766</v>
      </c>
      <c r="B116" s="309">
        <f>IF(YEAR(Table9[[#This Row],[Date]]) = 2022, WEEKNUM(Table9[[#This Row],[Date]])-13, WEEKNUM(Table9[[#This Row],[Date]])+40)</f>
        <v>18</v>
      </c>
      <c r="C116" s="35" t="s">
        <v>47</v>
      </c>
      <c r="D116" s="255" t="s">
        <v>59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319">
        <v>0</v>
      </c>
      <c r="Q116" s="43">
        <v>0</v>
      </c>
      <c r="R116" s="108">
        <v>0</v>
      </c>
      <c r="S116" s="108">
        <v>0</v>
      </c>
      <c r="T116" s="259">
        <v>0</v>
      </c>
      <c r="U116" s="258" t="str">
        <f t="shared" si="5"/>
        <v>Normal</v>
      </c>
      <c r="V116" s="258" t="str">
        <f t="shared" si="6"/>
        <v>Normal</v>
      </c>
      <c r="W116" s="264">
        <f t="shared" si="7"/>
        <v>0</v>
      </c>
      <c r="X116" s="264">
        <f t="shared" si="8"/>
        <v>0</v>
      </c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</row>
    <row r="117" spans="1:38">
      <c r="A117" s="194">
        <v>44767</v>
      </c>
      <c r="B117" s="309">
        <f>IF(YEAR(Table9[[#This Row],[Date]]) = 2022, WEEKNUM(Table9[[#This Row],[Date]])-13, WEEKNUM(Table9[[#This Row],[Date]])+40)</f>
        <v>18</v>
      </c>
      <c r="C117" s="35" t="s">
        <v>48</v>
      </c>
      <c r="D117" s="255" t="s">
        <v>59</v>
      </c>
      <c r="E117" s="43">
        <v>625</v>
      </c>
      <c r="F117" s="43">
        <v>575</v>
      </c>
      <c r="G117" s="67">
        <v>0.79597701149425293</v>
      </c>
      <c r="H117" s="67">
        <v>0.72155688622754488</v>
      </c>
      <c r="I117" s="1">
        <v>9450</v>
      </c>
      <c r="J117" s="1">
        <v>8828</v>
      </c>
      <c r="K117" s="1">
        <v>48051</v>
      </c>
      <c r="L117" s="1">
        <v>43959</v>
      </c>
      <c r="M117" s="92">
        <v>0.79</v>
      </c>
      <c r="N117" s="92">
        <v>0.08</v>
      </c>
      <c r="O117" s="92">
        <v>0.92</v>
      </c>
      <c r="P117" s="92">
        <v>0.66</v>
      </c>
      <c r="Q117" s="92">
        <v>1</v>
      </c>
      <c r="R117" s="17">
        <v>0</v>
      </c>
      <c r="S117" s="17">
        <v>0</v>
      </c>
      <c r="T117" s="259">
        <v>0</v>
      </c>
      <c r="U117" s="258" t="str">
        <f t="shared" si="5"/>
        <v>Outlier</v>
      </c>
      <c r="V117" s="258" t="str">
        <f t="shared" si="6"/>
        <v>Outlier</v>
      </c>
      <c r="W117" s="264">
        <f t="shared" si="7"/>
        <v>0.79597701149425293</v>
      </c>
      <c r="X117" s="264">
        <f t="shared" si="8"/>
        <v>0.72155688622754488</v>
      </c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</row>
    <row r="118" spans="1:38">
      <c r="A118" s="194">
        <v>44768</v>
      </c>
      <c r="B118" s="309">
        <f>IF(YEAR(Table9[[#This Row],[Date]]) = 2022, WEEKNUM(Table9[[#This Row],[Date]])-13, WEEKNUM(Table9[[#This Row],[Date]])+40)</f>
        <v>18</v>
      </c>
      <c r="C118" s="35" t="s">
        <v>49</v>
      </c>
      <c r="D118" s="255" t="s">
        <v>59</v>
      </c>
      <c r="E118" s="43">
        <v>567</v>
      </c>
      <c r="F118" s="43">
        <v>505</v>
      </c>
      <c r="G118" s="67">
        <v>0.42462311557788945</v>
      </c>
      <c r="H118" s="67">
        <v>0.37602179836512262</v>
      </c>
      <c r="I118" s="1">
        <v>10017</v>
      </c>
      <c r="J118" s="1">
        <v>9333</v>
      </c>
      <c r="K118" s="1">
        <v>48618</v>
      </c>
      <c r="L118" s="1">
        <v>44464</v>
      </c>
      <c r="M118" s="92">
        <v>0.69</v>
      </c>
      <c r="N118" s="92">
        <v>0.11</v>
      </c>
      <c r="O118" s="92">
        <v>0.89</v>
      </c>
      <c r="P118" s="92">
        <v>0.64</v>
      </c>
      <c r="Q118" s="92">
        <v>1</v>
      </c>
      <c r="R118" s="108">
        <v>0</v>
      </c>
      <c r="S118" s="108">
        <v>0</v>
      </c>
      <c r="T118" s="259">
        <v>0</v>
      </c>
      <c r="U118" s="258" t="str">
        <f t="shared" si="5"/>
        <v>Outlier</v>
      </c>
      <c r="V118" s="258" t="str">
        <f t="shared" si="6"/>
        <v>Outlier</v>
      </c>
      <c r="W118" s="264">
        <f t="shared" si="7"/>
        <v>0.42462311557788945</v>
      </c>
      <c r="X118" s="264">
        <f t="shared" si="8"/>
        <v>0.37602179836512262</v>
      </c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</row>
    <row r="119" spans="1:38">
      <c r="A119" s="194">
        <v>44769</v>
      </c>
      <c r="B119" s="309">
        <f>IF(YEAR(Table9[[#This Row],[Date]]) = 2022, WEEKNUM(Table9[[#This Row],[Date]])-13, WEEKNUM(Table9[[#This Row],[Date]])+40)</f>
        <v>18</v>
      </c>
      <c r="C119" s="35" t="s">
        <v>50</v>
      </c>
      <c r="D119" s="255" t="s">
        <v>59</v>
      </c>
      <c r="E119" s="43">
        <v>587</v>
      </c>
      <c r="F119" s="43">
        <v>546</v>
      </c>
      <c r="G119" s="67">
        <v>0.11385199240986717</v>
      </c>
      <c r="H119" s="67">
        <v>0.10750507099391481</v>
      </c>
      <c r="I119" s="1">
        <v>10604</v>
      </c>
      <c r="J119" s="1">
        <v>9879</v>
      </c>
      <c r="K119" s="1">
        <v>49205</v>
      </c>
      <c r="L119" s="1">
        <v>45010</v>
      </c>
      <c r="M119" s="92">
        <v>0.82</v>
      </c>
      <c r="N119" s="92">
        <v>7.0000000000000007E-2</v>
      </c>
      <c r="O119" s="92">
        <v>0.93</v>
      </c>
      <c r="P119" s="92">
        <v>0.63</v>
      </c>
      <c r="Q119" s="92">
        <v>1</v>
      </c>
      <c r="R119" s="17">
        <v>0</v>
      </c>
      <c r="S119" s="17">
        <v>0</v>
      </c>
      <c r="T119" s="259">
        <v>0</v>
      </c>
      <c r="U119" s="258" t="str">
        <f t="shared" si="5"/>
        <v>Normal</v>
      </c>
      <c r="V119" s="258" t="str">
        <f t="shared" si="6"/>
        <v>Normal</v>
      </c>
      <c r="W119" s="264">
        <f t="shared" si="7"/>
        <v>0.11385199240986717</v>
      </c>
      <c r="X119" s="264">
        <f t="shared" si="8"/>
        <v>0.10750507099391481</v>
      </c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</row>
    <row r="120" spans="1:38">
      <c r="A120" s="194">
        <v>44770</v>
      </c>
      <c r="B120" s="309">
        <f>IF(YEAR(Table9[[#This Row],[Date]]) = 2022, WEEKNUM(Table9[[#This Row],[Date]])-13, WEEKNUM(Table9[[#This Row],[Date]])+40)</f>
        <v>18</v>
      </c>
      <c r="C120" s="35" t="s">
        <v>51</v>
      </c>
      <c r="D120" s="255" t="s">
        <v>59</v>
      </c>
      <c r="E120" s="43">
        <v>584</v>
      </c>
      <c r="F120" s="43">
        <v>536</v>
      </c>
      <c r="G120" s="67">
        <v>0.18458417849898581</v>
      </c>
      <c r="H120" s="67">
        <v>0.17802197802197803</v>
      </c>
      <c r="I120" s="1">
        <v>11188</v>
      </c>
      <c r="J120" s="1">
        <v>10415</v>
      </c>
      <c r="K120" s="1">
        <v>49789</v>
      </c>
      <c r="L120" s="1">
        <v>45546</v>
      </c>
      <c r="M120" s="92">
        <v>0.7</v>
      </c>
      <c r="N120" s="92">
        <v>0.08</v>
      </c>
      <c r="O120" s="92">
        <v>0.92</v>
      </c>
      <c r="P120" s="92">
        <v>0.62</v>
      </c>
      <c r="Q120" s="92">
        <v>1</v>
      </c>
      <c r="R120" s="108">
        <v>0</v>
      </c>
      <c r="S120" s="108">
        <v>0</v>
      </c>
      <c r="T120" s="259">
        <v>0</v>
      </c>
      <c r="U120" s="258" t="str">
        <f t="shared" si="5"/>
        <v>Normal</v>
      </c>
      <c r="V120" s="258" t="str">
        <f t="shared" si="6"/>
        <v>Normal</v>
      </c>
      <c r="W120" s="264">
        <f t="shared" si="7"/>
        <v>0.18458417849898581</v>
      </c>
      <c r="X120" s="264">
        <f t="shared" si="8"/>
        <v>0.17802197802197803</v>
      </c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</row>
    <row r="121" spans="1:38">
      <c r="A121" s="194">
        <v>44771</v>
      </c>
      <c r="B121" s="309">
        <f>IF(YEAR(Table9[[#This Row],[Date]]) = 2022, WEEKNUM(Table9[[#This Row],[Date]])-13, WEEKNUM(Table9[[#This Row],[Date]])+40)</f>
        <v>18</v>
      </c>
      <c r="C121" s="35" t="s">
        <v>52</v>
      </c>
      <c r="D121" s="255" t="s">
        <v>59</v>
      </c>
      <c r="E121" s="43">
        <v>555</v>
      </c>
      <c r="F121" s="43">
        <v>507</v>
      </c>
      <c r="G121" s="67">
        <v>1.8050541516245488E-3</v>
      </c>
      <c r="H121" s="67">
        <v>-2.5000000000000001E-2</v>
      </c>
      <c r="I121" s="1">
        <v>11743</v>
      </c>
      <c r="J121" s="1">
        <v>10922</v>
      </c>
      <c r="K121" s="1">
        <v>50344</v>
      </c>
      <c r="L121" s="1">
        <v>46053</v>
      </c>
      <c r="M121" s="92">
        <v>0.79</v>
      </c>
      <c r="N121" s="92">
        <v>0.09</v>
      </c>
      <c r="O121" s="92">
        <v>0.91</v>
      </c>
      <c r="P121" s="92">
        <v>0.59</v>
      </c>
      <c r="Q121" s="92">
        <v>1</v>
      </c>
      <c r="R121" s="17">
        <v>0</v>
      </c>
      <c r="S121" s="17">
        <v>0</v>
      </c>
      <c r="T121" s="259">
        <v>0</v>
      </c>
      <c r="U121" s="258" t="str">
        <f t="shared" si="5"/>
        <v>Normal</v>
      </c>
      <c r="V121" s="258" t="str">
        <f t="shared" si="6"/>
        <v>Normal</v>
      </c>
      <c r="W121" s="264">
        <f t="shared" si="7"/>
        <v>1.8050541516245488E-3</v>
      </c>
      <c r="X121" s="264">
        <f t="shared" si="8"/>
        <v>-2.5000000000000001E-2</v>
      </c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</row>
    <row r="122" spans="1:38">
      <c r="A122" s="194">
        <v>44772</v>
      </c>
      <c r="B122" s="309">
        <f>IF(YEAR(Table9[[#This Row],[Date]]) = 2022, WEEKNUM(Table9[[#This Row],[Date]])-13, WEEKNUM(Table9[[#This Row],[Date]])+40)</f>
        <v>18</v>
      </c>
      <c r="C122" s="35" t="s">
        <v>53</v>
      </c>
      <c r="D122" s="255" t="s">
        <v>59</v>
      </c>
      <c r="E122" s="43">
        <v>225</v>
      </c>
      <c r="F122" s="43">
        <v>189</v>
      </c>
      <c r="G122" s="67">
        <v>0.25698324022346369</v>
      </c>
      <c r="H122" s="67">
        <v>0.08</v>
      </c>
      <c r="I122" s="1">
        <v>11968</v>
      </c>
      <c r="J122" s="1">
        <v>11111</v>
      </c>
      <c r="K122" s="1">
        <v>50569</v>
      </c>
      <c r="L122" s="1">
        <v>46242</v>
      </c>
      <c r="M122" s="92">
        <v>0.67</v>
      </c>
      <c r="N122" s="92">
        <v>0.16</v>
      </c>
      <c r="O122" s="92">
        <v>0.84</v>
      </c>
      <c r="P122" s="92">
        <v>0.47</v>
      </c>
      <c r="Q122" s="92">
        <v>1</v>
      </c>
      <c r="R122" s="108">
        <v>0</v>
      </c>
      <c r="S122" s="108">
        <v>0</v>
      </c>
      <c r="T122" s="259">
        <v>0</v>
      </c>
      <c r="U122" s="258" t="str">
        <f t="shared" si="5"/>
        <v>Normal</v>
      </c>
      <c r="V122" s="258" t="str">
        <f t="shared" si="6"/>
        <v>Normal</v>
      </c>
      <c r="W122" s="264">
        <f t="shared" si="7"/>
        <v>0.25698324022346369</v>
      </c>
      <c r="X122" s="264">
        <f t="shared" si="8"/>
        <v>0.08</v>
      </c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</row>
    <row r="123" spans="1:38">
      <c r="A123" s="194">
        <v>44773</v>
      </c>
      <c r="B123" s="309">
        <f>IF(YEAR(Table9[[#This Row],[Date]]) = 2022, WEEKNUM(Table9[[#This Row],[Date]])-13, WEEKNUM(Table9[[#This Row],[Date]])+40)</f>
        <v>19</v>
      </c>
      <c r="C123" s="35" t="s">
        <v>47</v>
      </c>
      <c r="D123" s="255" t="s">
        <v>59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319">
        <v>0</v>
      </c>
      <c r="Q123" s="43">
        <v>0</v>
      </c>
      <c r="R123" s="17">
        <v>0</v>
      </c>
      <c r="S123" s="17">
        <v>0</v>
      </c>
      <c r="T123" s="259">
        <v>0</v>
      </c>
      <c r="U123" s="258" t="str">
        <f t="shared" si="5"/>
        <v>Normal</v>
      </c>
      <c r="V123" s="258" t="str">
        <f t="shared" si="6"/>
        <v>Normal</v>
      </c>
      <c r="W123" s="264">
        <f t="shared" si="7"/>
        <v>0</v>
      </c>
      <c r="X123" s="264">
        <f t="shared" si="8"/>
        <v>0</v>
      </c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</row>
    <row r="124" spans="1:38">
      <c r="A124" s="197">
        <v>44774</v>
      </c>
      <c r="B124" s="312">
        <f>IF(YEAR(Table9[[#This Row],[Date]]) = 2022, WEEKNUM(Table9[[#This Row],[Date]])-13, WEEKNUM(Table9[[#This Row],[Date]])+40)</f>
        <v>19</v>
      </c>
      <c r="C124" s="51" t="s">
        <v>48</v>
      </c>
      <c r="D124" s="255" t="s">
        <v>59</v>
      </c>
      <c r="E124" s="101">
        <v>0</v>
      </c>
      <c r="F124" s="101">
        <v>0</v>
      </c>
      <c r="G124" s="81">
        <v>0</v>
      </c>
      <c r="H124" s="81">
        <v>0</v>
      </c>
      <c r="I124" s="52">
        <v>0</v>
      </c>
      <c r="J124" s="52">
        <v>0</v>
      </c>
      <c r="K124" s="52">
        <v>0</v>
      </c>
      <c r="L124" s="52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8">
        <v>0</v>
      </c>
      <c r="S124" s="108">
        <v>0</v>
      </c>
      <c r="T124" s="259">
        <v>0</v>
      </c>
      <c r="U124" s="258" t="str">
        <f t="shared" si="5"/>
        <v>Normal</v>
      </c>
      <c r="V124" s="258" t="str">
        <f t="shared" si="6"/>
        <v>Normal</v>
      </c>
      <c r="W124" s="264">
        <f t="shared" si="7"/>
        <v>0</v>
      </c>
      <c r="X124" s="264">
        <f t="shared" si="8"/>
        <v>0</v>
      </c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</row>
    <row r="125" spans="1:38">
      <c r="A125" s="194">
        <v>44775</v>
      </c>
      <c r="B125" s="309">
        <f>IF(YEAR(Table9[[#This Row],[Date]]) = 2022, WEEKNUM(Table9[[#This Row],[Date]])-13, WEEKNUM(Table9[[#This Row],[Date]])+40)</f>
        <v>19</v>
      </c>
      <c r="C125" s="35" t="s">
        <v>49</v>
      </c>
      <c r="D125" s="255" t="s">
        <v>59</v>
      </c>
      <c r="E125" s="43">
        <v>365</v>
      </c>
      <c r="F125" s="43">
        <v>354</v>
      </c>
      <c r="G125" s="67">
        <v>-0.35626102292768957</v>
      </c>
      <c r="H125" s="67">
        <v>-0.299009900990099</v>
      </c>
      <c r="I125" s="1">
        <v>365</v>
      </c>
      <c r="J125" s="1">
        <v>354</v>
      </c>
      <c r="K125" s="1">
        <v>50934</v>
      </c>
      <c r="L125" s="1">
        <v>46596</v>
      </c>
      <c r="M125" s="92">
        <v>0.91</v>
      </c>
      <c r="N125" s="92">
        <v>0.03</v>
      </c>
      <c r="O125" s="92">
        <v>0.97</v>
      </c>
      <c r="P125" s="92">
        <v>0.42</v>
      </c>
      <c r="Q125" s="92">
        <v>1</v>
      </c>
      <c r="R125" s="17">
        <v>0</v>
      </c>
      <c r="S125" s="17">
        <v>0</v>
      </c>
      <c r="T125" s="259">
        <v>0</v>
      </c>
      <c r="U125" s="258" t="str">
        <f t="shared" si="5"/>
        <v>Normal</v>
      </c>
      <c r="V125" s="258" t="str">
        <f t="shared" si="6"/>
        <v>Normal</v>
      </c>
      <c r="W125" s="264">
        <f t="shared" si="7"/>
        <v>-0.35626102292768957</v>
      </c>
      <c r="X125" s="264">
        <f t="shared" si="8"/>
        <v>-0.299009900990099</v>
      </c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</row>
    <row r="126" spans="1:38">
      <c r="A126" s="194">
        <v>44776</v>
      </c>
      <c r="B126" s="309">
        <f>IF(YEAR(Table9[[#This Row],[Date]]) = 2022, WEEKNUM(Table9[[#This Row],[Date]])-13, WEEKNUM(Table9[[#This Row],[Date]])+40)</f>
        <v>19</v>
      </c>
      <c r="C126" s="35" t="s">
        <v>50</v>
      </c>
      <c r="D126" s="255" t="s">
        <v>59</v>
      </c>
      <c r="E126" s="43">
        <v>638</v>
      </c>
      <c r="F126" s="43">
        <v>555</v>
      </c>
      <c r="G126" s="67">
        <v>8.6882453151618397E-2</v>
      </c>
      <c r="H126" s="67">
        <v>1.6483516483516484E-2</v>
      </c>
      <c r="I126" s="43">
        <v>1003</v>
      </c>
      <c r="J126" s="43">
        <v>909</v>
      </c>
      <c r="K126" s="43">
        <v>51572</v>
      </c>
      <c r="L126" s="43">
        <v>47151</v>
      </c>
      <c r="M126" s="92">
        <v>0.66</v>
      </c>
      <c r="N126" s="92">
        <v>0.13</v>
      </c>
      <c r="O126" s="92">
        <v>0.87</v>
      </c>
      <c r="P126" s="92">
        <v>0.66</v>
      </c>
      <c r="Q126" s="92">
        <v>1</v>
      </c>
      <c r="R126" s="108">
        <v>0</v>
      </c>
      <c r="S126" s="108">
        <v>0</v>
      </c>
      <c r="T126" s="259">
        <v>0</v>
      </c>
      <c r="U126" s="258" t="str">
        <f t="shared" si="5"/>
        <v>Normal</v>
      </c>
      <c r="V126" s="258" t="str">
        <f t="shared" si="6"/>
        <v>Normal</v>
      </c>
      <c r="W126" s="264">
        <f t="shared" si="7"/>
        <v>8.6882453151618397E-2</v>
      </c>
      <c r="X126" s="264">
        <f t="shared" si="8"/>
        <v>1.6483516483516484E-2</v>
      </c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</row>
    <row r="127" spans="1:38">
      <c r="A127" s="194">
        <v>44777</v>
      </c>
      <c r="B127" s="309">
        <f>IF(YEAR(Table9[[#This Row],[Date]]) = 2022, WEEKNUM(Table9[[#This Row],[Date]])-13, WEEKNUM(Table9[[#This Row],[Date]])+40)</f>
        <v>19</v>
      </c>
      <c r="C127" s="35" t="s">
        <v>51</v>
      </c>
      <c r="D127" s="255" t="s">
        <v>59</v>
      </c>
      <c r="E127" s="43">
        <v>596</v>
      </c>
      <c r="F127" s="43">
        <v>540</v>
      </c>
      <c r="G127" s="67">
        <v>2.0547945205479451E-2</v>
      </c>
      <c r="H127" s="67">
        <v>7.462686567164179E-3</v>
      </c>
      <c r="I127" s="1">
        <v>1599</v>
      </c>
      <c r="J127" s="1">
        <v>1449</v>
      </c>
      <c r="K127" s="1">
        <v>52168</v>
      </c>
      <c r="L127" s="1">
        <v>47691</v>
      </c>
      <c r="M127" s="92">
        <v>0.72</v>
      </c>
      <c r="N127" s="92">
        <v>0.09</v>
      </c>
      <c r="O127" s="92">
        <v>0.91</v>
      </c>
      <c r="P127" s="92">
        <v>0.62</v>
      </c>
      <c r="Q127" s="92">
        <v>1</v>
      </c>
      <c r="R127" s="17">
        <v>0</v>
      </c>
      <c r="S127" s="17">
        <v>0</v>
      </c>
      <c r="T127" s="259">
        <v>0</v>
      </c>
      <c r="U127" s="258" t="str">
        <f t="shared" si="5"/>
        <v>Normal</v>
      </c>
      <c r="V127" s="258" t="str">
        <f t="shared" si="6"/>
        <v>Normal</v>
      </c>
      <c r="W127" s="264">
        <f t="shared" si="7"/>
        <v>2.0547945205479451E-2</v>
      </c>
      <c r="X127" s="264">
        <f t="shared" si="8"/>
        <v>7.462686567164179E-3</v>
      </c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</row>
    <row r="128" spans="1:38">
      <c r="A128" s="194">
        <v>44778</v>
      </c>
      <c r="B128" s="309">
        <f>IF(YEAR(Table9[[#This Row],[Date]]) = 2022, WEEKNUM(Table9[[#This Row],[Date]])-13, WEEKNUM(Table9[[#This Row],[Date]])+40)</f>
        <v>19</v>
      </c>
      <c r="C128" s="35" t="s">
        <v>52</v>
      </c>
      <c r="D128" s="255" t="s">
        <v>59</v>
      </c>
      <c r="E128" s="43">
        <v>612</v>
      </c>
      <c r="F128" s="43">
        <v>557</v>
      </c>
      <c r="G128" s="67">
        <v>0.10270270270270271</v>
      </c>
      <c r="H128" s="67">
        <v>9.8619329388560162E-2</v>
      </c>
      <c r="I128" s="1">
        <v>2211</v>
      </c>
      <c r="J128" s="1">
        <v>2006</v>
      </c>
      <c r="K128" s="1">
        <v>52780</v>
      </c>
      <c r="L128" s="1">
        <v>48248</v>
      </c>
      <c r="M128" s="92">
        <v>0.77</v>
      </c>
      <c r="N128" s="92">
        <v>0.09</v>
      </c>
      <c r="O128" s="92">
        <v>0.91</v>
      </c>
      <c r="P128" s="92">
        <v>0.55000000000000004</v>
      </c>
      <c r="Q128" s="92">
        <v>1</v>
      </c>
      <c r="R128" s="108">
        <v>0</v>
      </c>
      <c r="S128" s="108">
        <v>0</v>
      </c>
      <c r="T128" s="259">
        <v>0</v>
      </c>
      <c r="U128" s="258" t="str">
        <f t="shared" si="5"/>
        <v>Normal</v>
      </c>
      <c r="V128" s="258" t="str">
        <f t="shared" si="6"/>
        <v>Normal</v>
      </c>
      <c r="W128" s="264">
        <f t="shared" si="7"/>
        <v>0.10270270270270271</v>
      </c>
      <c r="X128" s="264">
        <f t="shared" si="8"/>
        <v>9.8619329388560162E-2</v>
      </c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K128" t="s">
        <v>61</v>
      </c>
      <c r="AL128" s="16">
        <v>44986</v>
      </c>
    </row>
    <row r="129" spans="1:56">
      <c r="A129" s="194">
        <v>44779</v>
      </c>
      <c r="B129" s="309">
        <f>IF(YEAR(Table9[[#This Row],[Date]]) = 2022, WEEKNUM(Table9[[#This Row],[Date]])-13, WEEKNUM(Table9[[#This Row],[Date]])+40)</f>
        <v>19</v>
      </c>
      <c r="C129" s="35" t="s">
        <v>53</v>
      </c>
      <c r="D129" s="255" t="s">
        <v>59</v>
      </c>
      <c r="E129" s="43">
        <v>176</v>
      </c>
      <c r="F129" s="43">
        <v>160</v>
      </c>
      <c r="G129" s="67">
        <v>-0.21777777777777776</v>
      </c>
      <c r="H129" s="67">
        <v>-0.15343915343915343</v>
      </c>
      <c r="I129" s="43">
        <v>2387</v>
      </c>
      <c r="J129" s="43">
        <v>2166</v>
      </c>
      <c r="K129" s="43">
        <v>52956</v>
      </c>
      <c r="L129" s="43">
        <v>48408</v>
      </c>
      <c r="M129" s="92">
        <v>0.8</v>
      </c>
      <c r="N129" s="92">
        <v>0.09</v>
      </c>
      <c r="O129" s="92">
        <v>0.91</v>
      </c>
      <c r="P129" s="92">
        <v>0.4</v>
      </c>
      <c r="Q129" s="92">
        <v>1</v>
      </c>
      <c r="R129" s="17">
        <v>0</v>
      </c>
      <c r="S129" s="17">
        <v>0</v>
      </c>
      <c r="T129" s="259">
        <v>0</v>
      </c>
      <c r="U129" s="258" t="str">
        <f t="shared" si="5"/>
        <v>Normal</v>
      </c>
      <c r="V129" s="258" t="str">
        <f t="shared" si="6"/>
        <v>Normal</v>
      </c>
      <c r="W129" s="264">
        <f t="shared" si="7"/>
        <v>-0.21777777777777776</v>
      </c>
      <c r="X129" s="264">
        <f t="shared" si="8"/>
        <v>-0.15343915343915343</v>
      </c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K129" t="s">
        <v>62</v>
      </c>
      <c r="AL129" s="16">
        <v>45014</v>
      </c>
    </row>
    <row r="130" spans="1:56">
      <c r="A130" s="194">
        <v>44780</v>
      </c>
      <c r="B130" s="309">
        <f>IF(YEAR(Table9[[#This Row],[Date]]) = 2022, WEEKNUM(Table9[[#This Row],[Date]])-13, WEEKNUM(Table9[[#This Row],[Date]])+40)</f>
        <v>20</v>
      </c>
      <c r="C130" s="35" t="s">
        <v>47</v>
      </c>
      <c r="D130" s="255" t="s">
        <v>59</v>
      </c>
      <c r="E130" s="43">
        <v>0</v>
      </c>
      <c r="F130" s="43">
        <v>0</v>
      </c>
      <c r="G130" s="67">
        <v>0</v>
      </c>
      <c r="H130" s="67">
        <v>0</v>
      </c>
      <c r="I130" s="1">
        <v>0</v>
      </c>
      <c r="J130" s="1">
        <v>0</v>
      </c>
      <c r="K130" s="1">
        <v>0</v>
      </c>
      <c r="L130" s="1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108">
        <v>0</v>
      </c>
      <c r="S130" s="108">
        <v>0</v>
      </c>
      <c r="T130" s="259">
        <v>0</v>
      </c>
      <c r="U130" s="258" t="str">
        <f t="shared" si="5"/>
        <v>Normal</v>
      </c>
      <c r="V130" s="258" t="str">
        <f t="shared" si="6"/>
        <v>Normal</v>
      </c>
      <c r="W130" s="264">
        <f t="shared" si="7"/>
        <v>0</v>
      </c>
      <c r="X130" s="264">
        <f t="shared" si="8"/>
        <v>0</v>
      </c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</row>
    <row r="131" spans="1:56">
      <c r="A131" s="194">
        <v>44781</v>
      </c>
      <c r="B131" s="309">
        <f>IF(YEAR(Table9[[#This Row],[Date]]) = 2022, WEEKNUM(Table9[[#This Row],[Date]])-13, WEEKNUM(Table9[[#This Row],[Date]])+40)</f>
        <v>20</v>
      </c>
      <c r="C131" s="35" t="s">
        <v>48</v>
      </c>
      <c r="D131" s="255" t="s">
        <v>59</v>
      </c>
      <c r="E131" s="43">
        <v>645</v>
      </c>
      <c r="F131" s="43">
        <v>597</v>
      </c>
      <c r="G131" s="67">
        <v>0</v>
      </c>
      <c r="H131" s="67">
        <v>0</v>
      </c>
      <c r="I131" s="43">
        <v>3032</v>
      </c>
      <c r="J131" s="43">
        <v>2763</v>
      </c>
      <c r="K131" s="43">
        <v>53601</v>
      </c>
      <c r="L131" s="43">
        <v>49005</v>
      </c>
      <c r="M131" s="92">
        <v>0.78</v>
      </c>
      <c r="N131" s="92">
        <v>7.0000000000000007E-2</v>
      </c>
      <c r="O131" s="92">
        <v>0.93</v>
      </c>
      <c r="P131" s="92">
        <v>0.56999999999999995</v>
      </c>
      <c r="Q131" s="92">
        <v>1</v>
      </c>
      <c r="R131" s="17">
        <v>0</v>
      </c>
      <c r="S131" s="17">
        <v>0</v>
      </c>
      <c r="T131" s="259">
        <v>0</v>
      </c>
      <c r="U131" s="258" t="str">
        <f t="shared" ref="U131:U194" si="9">IF(OR(G131&lt;$AA$5,G131&gt;$AB$5), "Outlier", "Normal")</f>
        <v>Normal</v>
      </c>
      <c r="V131" s="258" t="str">
        <f t="shared" ref="V131:V194" si="10">IF(OR(H131&lt;$AA$6,H131&gt;$AB$6), "Outlier", "Normal")</f>
        <v>Normal</v>
      </c>
      <c r="W131" s="264">
        <f t="shared" ref="W131:W194" si="11">IF(U131="Normal",$G131,IF($G131&lt;150%, $G131, $AA$9))</f>
        <v>0</v>
      </c>
      <c r="X131" s="264">
        <f t="shared" ref="X131:X194" si="12">IF(V131="Normal",$H131,IF($H131&lt;150%, $H131, $AE$9))</f>
        <v>0</v>
      </c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</row>
    <row r="132" spans="1:56">
      <c r="A132" s="194">
        <v>44782</v>
      </c>
      <c r="B132" s="309">
        <f>IF(YEAR(Table9[[#This Row],[Date]]) = 2022, WEEKNUM(Table9[[#This Row],[Date]])-13, WEEKNUM(Table9[[#This Row],[Date]])+40)</f>
        <v>20</v>
      </c>
      <c r="C132" s="35" t="s">
        <v>49</v>
      </c>
      <c r="D132" s="255" t="s">
        <v>59</v>
      </c>
      <c r="E132" s="43">
        <v>612</v>
      </c>
      <c r="F132" s="43">
        <v>559</v>
      </c>
      <c r="G132" s="67">
        <v>0.67671232876712328</v>
      </c>
      <c r="H132" s="67">
        <v>0.57909604519774016</v>
      </c>
      <c r="I132" s="43">
        <v>3644</v>
      </c>
      <c r="J132" s="1">
        <v>3322</v>
      </c>
      <c r="K132" s="1">
        <v>54213</v>
      </c>
      <c r="L132" s="1">
        <v>49564</v>
      </c>
      <c r="M132" s="18">
        <v>0.71</v>
      </c>
      <c r="N132" s="92">
        <v>0.09</v>
      </c>
      <c r="O132" s="92">
        <v>0.91</v>
      </c>
      <c r="P132" s="92">
        <v>0.99</v>
      </c>
      <c r="Q132" s="92">
        <v>1</v>
      </c>
      <c r="R132" s="108">
        <v>0</v>
      </c>
      <c r="S132" s="108">
        <v>0</v>
      </c>
      <c r="T132" s="259">
        <v>0</v>
      </c>
      <c r="U132" s="258" t="str">
        <f t="shared" si="9"/>
        <v>Outlier</v>
      </c>
      <c r="V132" s="258" t="str">
        <f t="shared" si="10"/>
        <v>Outlier</v>
      </c>
      <c r="W132" s="264">
        <f t="shared" si="11"/>
        <v>0.67671232876712328</v>
      </c>
      <c r="X132" s="264">
        <f t="shared" si="12"/>
        <v>0.57909604519774016</v>
      </c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</row>
    <row r="133" spans="1:56">
      <c r="A133" s="194">
        <v>44783</v>
      </c>
      <c r="B133" s="309">
        <f>IF(YEAR(Table9[[#This Row],[Date]]) = 2022, WEEKNUM(Table9[[#This Row],[Date]])-13, WEEKNUM(Table9[[#This Row],[Date]])+40)</f>
        <v>20</v>
      </c>
      <c r="C133" s="35" t="s">
        <v>50</v>
      </c>
      <c r="D133" s="255" t="s">
        <v>59</v>
      </c>
      <c r="E133" s="43">
        <v>507</v>
      </c>
      <c r="F133" s="43">
        <v>478</v>
      </c>
      <c r="G133" s="67">
        <v>-0.20532915360501566</v>
      </c>
      <c r="H133" s="67">
        <v>-0.13873873873873874</v>
      </c>
      <c r="I133" s="43">
        <v>4151</v>
      </c>
      <c r="J133" s="1">
        <v>3800</v>
      </c>
      <c r="K133" s="1">
        <v>54720</v>
      </c>
      <c r="L133" s="1">
        <v>50042</v>
      </c>
      <c r="M133" s="18">
        <v>0.82</v>
      </c>
      <c r="N133" s="92">
        <v>0.06</v>
      </c>
      <c r="O133" s="92">
        <v>0.94</v>
      </c>
      <c r="P133" s="92">
        <v>0.83</v>
      </c>
      <c r="Q133" s="92">
        <v>1</v>
      </c>
      <c r="R133" s="17">
        <v>0</v>
      </c>
      <c r="S133" s="17">
        <v>0</v>
      </c>
      <c r="T133" s="259">
        <v>0</v>
      </c>
      <c r="U133" s="258" t="str">
        <f t="shared" si="9"/>
        <v>Normal</v>
      </c>
      <c r="V133" s="258" t="str">
        <f t="shared" si="10"/>
        <v>Normal</v>
      </c>
      <c r="W133" s="264">
        <f t="shared" si="11"/>
        <v>-0.20532915360501566</v>
      </c>
      <c r="X133" s="264">
        <f t="shared" si="12"/>
        <v>-0.13873873873873874</v>
      </c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</row>
    <row r="134" spans="1:56">
      <c r="A134" s="194">
        <v>44784</v>
      </c>
      <c r="B134" s="309">
        <f>IF(YEAR(Table9[[#This Row],[Date]]) = 2022, WEEKNUM(Table9[[#This Row],[Date]])-13, WEEKNUM(Table9[[#This Row],[Date]])+40)</f>
        <v>20</v>
      </c>
      <c r="C134" s="35" t="s">
        <v>51</v>
      </c>
      <c r="D134" s="255" t="s">
        <v>59</v>
      </c>
      <c r="E134" s="43">
        <v>480</v>
      </c>
      <c r="F134" s="43">
        <v>451</v>
      </c>
      <c r="G134" s="67">
        <v>-0.19463087248322147</v>
      </c>
      <c r="H134" s="67">
        <v>-0.1648148148148148</v>
      </c>
      <c r="I134" s="43">
        <v>4631</v>
      </c>
      <c r="J134" s="1">
        <v>4251</v>
      </c>
      <c r="K134" s="1">
        <v>55200</v>
      </c>
      <c r="L134" s="1">
        <v>50493</v>
      </c>
      <c r="M134" s="18">
        <v>0.83</v>
      </c>
      <c r="N134" s="92">
        <v>0.06</v>
      </c>
      <c r="O134" s="92">
        <v>0.94</v>
      </c>
      <c r="P134" s="92">
        <v>0.83</v>
      </c>
      <c r="Q134" s="92">
        <v>1</v>
      </c>
      <c r="R134" s="108">
        <v>0</v>
      </c>
      <c r="S134" s="108">
        <v>0</v>
      </c>
      <c r="T134" s="259">
        <v>0</v>
      </c>
      <c r="U134" s="258" t="str">
        <f t="shared" si="9"/>
        <v>Normal</v>
      </c>
      <c r="V134" s="258" t="str">
        <f t="shared" si="10"/>
        <v>Normal</v>
      </c>
      <c r="W134" s="264">
        <f t="shared" si="11"/>
        <v>-0.19463087248322147</v>
      </c>
      <c r="X134" s="264">
        <f t="shared" si="12"/>
        <v>-0.1648148148148148</v>
      </c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BC134" s="330" t="s">
        <v>95</v>
      </c>
      <c r="BD134" s="330"/>
    </row>
    <row r="135" spans="1:56">
      <c r="A135" s="194">
        <v>44785</v>
      </c>
      <c r="B135" s="309">
        <f>IF(YEAR(Table9[[#This Row],[Date]]) = 2022, WEEKNUM(Table9[[#This Row],[Date]])-13, WEEKNUM(Table9[[#This Row],[Date]])+40)</f>
        <v>20</v>
      </c>
      <c r="C135" s="35" t="s">
        <v>52</v>
      </c>
      <c r="D135" s="255" t="s">
        <v>59</v>
      </c>
      <c r="E135" s="43">
        <v>509</v>
      </c>
      <c r="F135" s="43">
        <v>474</v>
      </c>
      <c r="G135" s="67">
        <v>-0.16830065359477125</v>
      </c>
      <c r="H135" s="67">
        <v>-0.1490125673249551</v>
      </c>
      <c r="I135" s="43">
        <v>5140</v>
      </c>
      <c r="J135" s="1">
        <v>4725</v>
      </c>
      <c r="K135" s="1">
        <v>55709</v>
      </c>
      <c r="L135" s="1">
        <v>50967</v>
      </c>
      <c r="M135" s="18">
        <v>0.77</v>
      </c>
      <c r="N135" s="92">
        <v>7.0000000000000007E-2</v>
      </c>
      <c r="O135" s="92">
        <v>0.93</v>
      </c>
      <c r="P135" s="92">
        <v>0.83</v>
      </c>
      <c r="Q135" s="92">
        <v>1</v>
      </c>
      <c r="R135" s="17">
        <v>0</v>
      </c>
      <c r="S135" s="17">
        <v>0</v>
      </c>
      <c r="T135" s="259">
        <v>0</v>
      </c>
      <c r="U135" s="258" t="str">
        <f t="shared" si="9"/>
        <v>Normal</v>
      </c>
      <c r="V135" s="258" t="str">
        <f t="shared" si="10"/>
        <v>Normal</v>
      </c>
      <c r="W135" s="264">
        <f t="shared" si="11"/>
        <v>-0.16830065359477125</v>
      </c>
      <c r="X135" s="264">
        <f t="shared" si="12"/>
        <v>-0.1490125673249551</v>
      </c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BC135" t="s">
        <v>96</v>
      </c>
      <c r="BD135" t="s">
        <v>97</v>
      </c>
    </row>
    <row r="136" spans="1:56">
      <c r="A136" s="194">
        <v>44786</v>
      </c>
      <c r="B136" s="309">
        <f>IF(YEAR(Table9[[#This Row],[Date]]) = 2022, WEEKNUM(Table9[[#This Row],[Date]])-13, WEEKNUM(Table9[[#This Row],[Date]])+40)</f>
        <v>20</v>
      </c>
      <c r="C136" s="35" t="s">
        <v>53</v>
      </c>
      <c r="D136" s="255" t="s">
        <v>59</v>
      </c>
      <c r="E136" s="43">
        <v>174</v>
      </c>
      <c r="F136" s="43">
        <v>171</v>
      </c>
      <c r="G136" s="67">
        <v>-1.1363636363636364E-2</v>
      </c>
      <c r="H136" s="67">
        <v>6.8750000000000006E-2</v>
      </c>
      <c r="I136" s="43">
        <v>5314</v>
      </c>
      <c r="J136" s="1">
        <v>4896</v>
      </c>
      <c r="K136" s="1">
        <v>55883</v>
      </c>
      <c r="L136" s="1">
        <v>51138</v>
      </c>
      <c r="M136" s="18">
        <v>0.95</v>
      </c>
      <c r="N136" s="92">
        <v>0.02</v>
      </c>
      <c r="O136" s="92">
        <v>0.98</v>
      </c>
      <c r="P136" s="92">
        <v>0.52</v>
      </c>
      <c r="Q136" s="92">
        <v>1</v>
      </c>
      <c r="R136" s="108">
        <v>0</v>
      </c>
      <c r="S136" s="108">
        <v>0</v>
      </c>
      <c r="T136" s="259">
        <v>0</v>
      </c>
      <c r="U136" s="258" t="str">
        <f t="shared" si="9"/>
        <v>Normal</v>
      </c>
      <c r="V136" s="258" t="str">
        <f t="shared" si="10"/>
        <v>Normal</v>
      </c>
      <c r="W136" s="264">
        <f t="shared" si="11"/>
        <v>-1.1363636363636364E-2</v>
      </c>
      <c r="X136" s="264">
        <f t="shared" si="12"/>
        <v>6.8750000000000006E-2</v>
      </c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BC136" t="s">
        <v>98</v>
      </c>
      <c r="BD136" s="163">
        <v>0</v>
      </c>
    </row>
    <row r="137" spans="1:56">
      <c r="A137" s="194">
        <v>44787</v>
      </c>
      <c r="B137" s="309">
        <f>IF(YEAR(Table9[[#This Row],[Date]]) = 2022, WEEKNUM(Table9[[#This Row],[Date]])-13, WEEKNUM(Table9[[#This Row],[Date]])+40)</f>
        <v>21</v>
      </c>
      <c r="C137" s="35" t="s">
        <v>47</v>
      </c>
      <c r="D137" s="255" t="s">
        <v>59</v>
      </c>
      <c r="E137" s="43">
        <v>0</v>
      </c>
      <c r="F137" s="43">
        <v>0</v>
      </c>
      <c r="G137" s="67">
        <v>0</v>
      </c>
      <c r="H137" s="67">
        <v>0</v>
      </c>
      <c r="I137" s="1">
        <v>0</v>
      </c>
      <c r="J137" s="1">
        <v>0</v>
      </c>
      <c r="K137" s="1">
        <v>0</v>
      </c>
      <c r="L137" s="1">
        <v>0</v>
      </c>
      <c r="M137" s="92">
        <v>0</v>
      </c>
      <c r="N137" s="92">
        <v>0</v>
      </c>
      <c r="O137" s="92">
        <v>0</v>
      </c>
      <c r="P137" s="92">
        <v>0</v>
      </c>
      <c r="Q137" s="92">
        <v>0</v>
      </c>
      <c r="R137" s="17">
        <v>0</v>
      </c>
      <c r="S137" s="17">
        <v>0</v>
      </c>
      <c r="T137" s="259">
        <v>0</v>
      </c>
      <c r="U137" s="258" t="str">
        <f t="shared" si="9"/>
        <v>Normal</v>
      </c>
      <c r="V137" s="258" t="str">
        <f t="shared" si="10"/>
        <v>Normal</v>
      </c>
      <c r="W137" s="264">
        <f t="shared" si="11"/>
        <v>0</v>
      </c>
      <c r="X137" s="264">
        <f t="shared" si="12"/>
        <v>0</v>
      </c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BC137" t="s">
        <v>99</v>
      </c>
      <c r="BD137" s="163">
        <v>0.10416666666666667</v>
      </c>
    </row>
    <row r="138" spans="1:56">
      <c r="A138" s="194">
        <v>44788</v>
      </c>
      <c r="B138" s="309">
        <f>IF(YEAR(Table9[[#This Row],[Date]]) = 2022, WEEKNUM(Table9[[#This Row],[Date]])-13, WEEKNUM(Table9[[#This Row],[Date]])+40)</f>
        <v>21</v>
      </c>
      <c r="C138" s="35" t="s">
        <v>48</v>
      </c>
      <c r="D138" s="255" t="s">
        <v>59</v>
      </c>
      <c r="E138" s="43">
        <v>646</v>
      </c>
      <c r="F138" s="43">
        <v>557</v>
      </c>
      <c r="G138" s="67">
        <v>1.5503875968992248E-3</v>
      </c>
      <c r="H138" s="67">
        <v>-6.7001675041876041E-2</v>
      </c>
      <c r="I138" s="43">
        <v>5960</v>
      </c>
      <c r="J138" s="1">
        <v>5453</v>
      </c>
      <c r="K138" s="1">
        <v>56529</v>
      </c>
      <c r="L138" s="1">
        <v>51695</v>
      </c>
      <c r="M138" s="18">
        <v>0.66</v>
      </c>
      <c r="N138" s="92">
        <v>0.14000000000000001</v>
      </c>
      <c r="O138" s="92">
        <v>0.86</v>
      </c>
      <c r="P138" s="92">
        <v>0.98</v>
      </c>
      <c r="Q138" s="92">
        <v>1</v>
      </c>
      <c r="R138" s="108">
        <v>0</v>
      </c>
      <c r="S138" s="108">
        <v>0</v>
      </c>
      <c r="T138" s="259">
        <v>0</v>
      </c>
      <c r="U138" s="258" t="str">
        <f t="shared" si="9"/>
        <v>Normal</v>
      </c>
      <c r="V138" s="258" t="str">
        <f t="shared" si="10"/>
        <v>Normal</v>
      </c>
      <c r="W138" s="264">
        <f t="shared" si="11"/>
        <v>1.5503875968992248E-3</v>
      </c>
      <c r="X138" s="264">
        <f t="shared" si="12"/>
        <v>-6.7001675041876041E-2</v>
      </c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BC138" t="s">
        <v>100</v>
      </c>
      <c r="BD138" s="163">
        <v>0.10416666666666667</v>
      </c>
    </row>
    <row r="139" spans="1:56">
      <c r="A139" s="194">
        <v>44789</v>
      </c>
      <c r="B139" s="309">
        <f>IF(YEAR(Table9[[#This Row],[Date]]) = 2022, WEEKNUM(Table9[[#This Row],[Date]])-13, WEEKNUM(Table9[[#This Row],[Date]])+40)</f>
        <v>21</v>
      </c>
      <c r="C139" s="35" t="s">
        <v>49</v>
      </c>
      <c r="D139" s="255" t="s">
        <v>59</v>
      </c>
      <c r="E139" s="43">
        <v>520</v>
      </c>
      <c r="F139" s="43">
        <v>470</v>
      </c>
      <c r="G139" s="67">
        <v>-0.15032679738562091</v>
      </c>
      <c r="H139" s="67">
        <v>-0.15921288014311269</v>
      </c>
      <c r="I139" s="43">
        <v>6480</v>
      </c>
      <c r="J139" s="1">
        <v>5923</v>
      </c>
      <c r="K139" s="1">
        <v>57049</v>
      </c>
      <c r="L139" s="1">
        <v>52165</v>
      </c>
      <c r="M139" s="92">
        <v>0.67</v>
      </c>
      <c r="N139" s="92">
        <v>0.1</v>
      </c>
      <c r="O139" s="92">
        <v>0.9</v>
      </c>
      <c r="P139" s="92">
        <v>0.88</v>
      </c>
      <c r="Q139" s="92">
        <v>1</v>
      </c>
      <c r="R139" s="17">
        <v>0</v>
      </c>
      <c r="S139" s="17">
        <v>0</v>
      </c>
      <c r="T139" s="259">
        <v>0</v>
      </c>
      <c r="U139" s="258" t="str">
        <f t="shared" si="9"/>
        <v>Normal</v>
      </c>
      <c r="V139" s="258" t="str">
        <f t="shared" si="10"/>
        <v>Normal</v>
      </c>
      <c r="W139" s="264">
        <f t="shared" si="11"/>
        <v>-0.15032679738562091</v>
      </c>
      <c r="X139" s="264">
        <f t="shared" si="12"/>
        <v>-0.15921288014311269</v>
      </c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BC139" t="s">
        <v>101</v>
      </c>
      <c r="BD139" s="163">
        <v>0.20833333333333334</v>
      </c>
    </row>
    <row r="140" spans="1:56">
      <c r="A140" s="194">
        <v>44790</v>
      </c>
      <c r="B140" s="309">
        <f>IF(YEAR(Table9[[#This Row],[Date]]) = 2022, WEEKNUM(Table9[[#This Row],[Date]])-13, WEEKNUM(Table9[[#This Row],[Date]])+40)</f>
        <v>21</v>
      </c>
      <c r="C140" s="35" t="s">
        <v>50</v>
      </c>
      <c r="D140" s="255" t="s">
        <v>59</v>
      </c>
      <c r="E140" s="43">
        <v>542</v>
      </c>
      <c r="F140" s="43">
        <v>493</v>
      </c>
      <c r="G140" s="67">
        <v>6.9033530571992116E-2</v>
      </c>
      <c r="H140" s="67">
        <v>3.1380753138075312E-2</v>
      </c>
      <c r="I140" s="43">
        <v>7022</v>
      </c>
      <c r="J140" s="1">
        <v>6416</v>
      </c>
      <c r="K140" s="1">
        <v>57591</v>
      </c>
      <c r="L140" s="1">
        <v>52658</v>
      </c>
      <c r="M140" s="18">
        <v>0.79</v>
      </c>
      <c r="N140" s="92">
        <v>0.09</v>
      </c>
      <c r="O140" s="92">
        <v>0.91</v>
      </c>
      <c r="P140" s="92">
        <v>0.86</v>
      </c>
      <c r="Q140" s="92">
        <v>1</v>
      </c>
      <c r="R140" s="108">
        <v>0</v>
      </c>
      <c r="S140" s="108">
        <v>0</v>
      </c>
      <c r="T140" s="259">
        <v>0</v>
      </c>
      <c r="U140" s="258" t="str">
        <f t="shared" si="9"/>
        <v>Normal</v>
      </c>
      <c r="V140" s="258" t="str">
        <f t="shared" si="10"/>
        <v>Normal</v>
      </c>
      <c r="W140" s="264">
        <f t="shared" si="11"/>
        <v>6.9033530571992116E-2</v>
      </c>
      <c r="X140" s="264">
        <f t="shared" si="12"/>
        <v>3.1380753138075312E-2</v>
      </c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BC140" t="s">
        <v>97</v>
      </c>
      <c r="BD140" s="163" cm="1">
        <f t="array" ref="BD140">AVERAGEIF(chart_ATT_OECS, "&lt;&gt;0")</f>
        <v>178.36</v>
      </c>
    </row>
    <row r="141" spans="1:56">
      <c r="A141" s="194">
        <v>44791</v>
      </c>
      <c r="B141" s="309">
        <f>IF(YEAR(Table9[[#This Row],[Date]]) = 2022, WEEKNUM(Table9[[#This Row],[Date]])-13, WEEKNUM(Table9[[#This Row],[Date]])+40)</f>
        <v>21</v>
      </c>
      <c r="C141" s="35" t="s">
        <v>51</v>
      </c>
      <c r="D141" s="255" t="s">
        <v>59</v>
      </c>
      <c r="E141" s="43">
        <v>507</v>
      </c>
      <c r="F141" s="43">
        <v>489</v>
      </c>
      <c r="G141" s="67">
        <v>5.6250000000000001E-2</v>
      </c>
      <c r="H141" s="67">
        <v>8.4257206208425722E-2</v>
      </c>
      <c r="I141" s="1">
        <v>7529</v>
      </c>
      <c r="J141" s="1">
        <v>6905</v>
      </c>
      <c r="K141" s="1">
        <v>58098</v>
      </c>
      <c r="L141" s="1">
        <v>53147</v>
      </c>
      <c r="M141" s="92">
        <v>0.83</v>
      </c>
      <c r="N141" s="92">
        <v>0.04</v>
      </c>
      <c r="O141" s="92">
        <v>0.96</v>
      </c>
      <c r="P141" s="92">
        <v>0.83</v>
      </c>
      <c r="Q141" s="92">
        <v>1</v>
      </c>
      <c r="R141" s="17">
        <v>0</v>
      </c>
      <c r="S141" s="17">
        <v>0</v>
      </c>
      <c r="T141" s="259">
        <v>0</v>
      </c>
      <c r="U141" s="258" t="str">
        <f t="shared" si="9"/>
        <v>Normal</v>
      </c>
      <c r="V141" s="258" t="str">
        <f t="shared" si="10"/>
        <v>Normal</v>
      </c>
      <c r="W141" s="264">
        <f t="shared" si="11"/>
        <v>5.6250000000000001E-2</v>
      </c>
      <c r="X141" s="264">
        <f t="shared" si="12"/>
        <v>8.4257206208425722E-2</v>
      </c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</row>
    <row r="142" spans="1:56">
      <c r="A142" s="194">
        <v>44792</v>
      </c>
      <c r="B142" s="309">
        <f>IF(YEAR(Table9[[#This Row],[Date]]) = 2022, WEEKNUM(Table9[[#This Row],[Date]])-13, WEEKNUM(Table9[[#This Row],[Date]])+40)</f>
        <v>21</v>
      </c>
      <c r="C142" s="35" t="s">
        <v>52</v>
      </c>
      <c r="D142" s="255" t="s">
        <v>59</v>
      </c>
      <c r="E142" s="43">
        <v>500</v>
      </c>
      <c r="F142" s="43">
        <v>482</v>
      </c>
      <c r="G142" s="67">
        <v>-1.768172888015717E-2</v>
      </c>
      <c r="H142" s="67">
        <v>1.6877637130801686E-2</v>
      </c>
      <c r="I142" s="43">
        <v>8029</v>
      </c>
      <c r="J142" s="1">
        <v>7387</v>
      </c>
      <c r="K142" s="1">
        <v>58598</v>
      </c>
      <c r="L142" s="1">
        <v>53629</v>
      </c>
      <c r="M142" s="18">
        <v>0.9</v>
      </c>
      <c r="N142" s="92">
        <v>0.04</v>
      </c>
      <c r="O142" s="92">
        <v>0.96</v>
      </c>
      <c r="P142" s="92">
        <v>0.67</v>
      </c>
      <c r="Q142" s="92">
        <v>1</v>
      </c>
      <c r="R142" s="108">
        <v>0</v>
      </c>
      <c r="S142" s="108">
        <v>0</v>
      </c>
      <c r="T142" s="259">
        <v>0</v>
      </c>
      <c r="U142" s="258" t="str">
        <f t="shared" si="9"/>
        <v>Normal</v>
      </c>
      <c r="V142" s="258" t="str">
        <f t="shared" si="10"/>
        <v>Normal</v>
      </c>
      <c r="W142" s="264">
        <f t="shared" si="11"/>
        <v>-1.768172888015717E-2</v>
      </c>
      <c r="X142" s="264">
        <f t="shared" si="12"/>
        <v>1.6877637130801686E-2</v>
      </c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</row>
    <row r="143" spans="1:56">
      <c r="A143" s="194">
        <v>44793</v>
      </c>
      <c r="B143" s="309">
        <f>IF(YEAR(Table9[[#This Row],[Date]]) = 2022, WEEKNUM(Table9[[#This Row],[Date]])-13, WEEKNUM(Table9[[#This Row],[Date]])+40)</f>
        <v>21</v>
      </c>
      <c r="C143" s="35" t="s">
        <v>53</v>
      </c>
      <c r="D143" s="255" t="s">
        <v>59</v>
      </c>
      <c r="E143" s="43">
        <v>149</v>
      </c>
      <c r="F143" s="43">
        <v>143</v>
      </c>
      <c r="G143" s="67">
        <v>-0.14367816091954022</v>
      </c>
      <c r="H143" s="67">
        <v>-0.16374269005847952</v>
      </c>
      <c r="I143" s="1">
        <v>8178</v>
      </c>
      <c r="J143" s="1">
        <v>7530</v>
      </c>
      <c r="K143" s="1">
        <v>58747</v>
      </c>
      <c r="L143" s="1">
        <v>53772</v>
      </c>
      <c r="M143" s="92">
        <v>0.91</v>
      </c>
      <c r="N143" s="92">
        <v>0.04</v>
      </c>
      <c r="O143" s="92">
        <v>0.96</v>
      </c>
      <c r="P143" s="92">
        <v>0.59</v>
      </c>
      <c r="Q143" s="92">
        <v>1</v>
      </c>
      <c r="R143" s="17">
        <v>0</v>
      </c>
      <c r="S143" s="17">
        <v>0</v>
      </c>
      <c r="T143" s="259">
        <v>0</v>
      </c>
      <c r="U143" s="258" t="str">
        <f t="shared" si="9"/>
        <v>Normal</v>
      </c>
      <c r="V143" s="258" t="str">
        <f t="shared" si="10"/>
        <v>Normal</v>
      </c>
      <c r="W143" s="264">
        <f t="shared" si="11"/>
        <v>-0.14367816091954022</v>
      </c>
      <c r="X143" s="264">
        <f t="shared" si="12"/>
        <v>-0.16374269005847952</v>
      </c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</row>
    <row r="144" spans="1:56">
      <c r="A144" s="194">
        <v>44794</v>
      </c>
      <c r="B144" s="309">
        <f>IF(YEAR(Table9[[#This Row],[Date]]) = 2022, WEEKNUM(Table9[[#This Row],[Date]])-13, WEEKNUM(Table9[[#This Row],[Date]])+40)</f>
        <v>22</v>
      </c>
      <c r="C144" s="35" t="s">
        <v>47</v>
      </c>
      <c r="D144" s="255" t="s">
        <v>59</v>
      </c>
      <c r="E144" s="43">
        <v>0</v>
      </c>
      <c r="F144" s="43">
        <v>0</v>
      </c>
      <c r="G144" s="67">
        <v>0</v>
      </c>
      <c r="H144" s="67">
        <v>0</v>
      </c>
      <c r="I144" s="43">
        <v>0</v>
      </c>
      <c r="J144" s="1">
        <v>0</v>
      </c>
      <c r="K144" s="1">
        <v>0</v>
      </c>
      <c r="L144" s="1">
        <v>0</v>
      </c>
      <c r="M144" s="1">
        <v>0</v>
      </c>
      <c r="N144" s="92">
        <v>0</v>
      </c>
      <c r="O144" s="92">
        <v>0</v>
      </c>
      <c r="P144" s="92">
        <v>0</v>
      </c>
      <c r="Q144" s="92">
        <v>0</v>
      </c>
      <c r="R144" s="108">
        <v>0</v>
      </c>
      <c r="S144" s="108">
        <v>0</v>
      </c>
      <c r="T144" s="259">
        <v>0</v>
      </c>
      <c r="U144" s="258" t="str">
        <f t="shared" si="9"/>
        <v>Normal</v>
      </c>
      <c r="V144" s="258" t="str">
        <f t="shared" si="10"/>
        <v>Normal</v>
      </c>
      <c r="W144" s="264">
        <f t="shared" si="11"/>
        <v>0</v>
      </c>
      <c r="X144" s="264">
        <f t="shared" si="12"/>
        <v>0</v>
      </c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</row>
    <row r="145" spans="1:38">
      <c r="A145" s="194">
        <v>44795</v>
      </c>
      <c r="B145" s="309">
        <f>IF(YEAR(Table9[[#This Row],[Date]]) = 2022, WEEKNUM(Table9[[#This Row],[Date]])-13, WEEKNUM(Table9[[#This Row],[Date]])+40)</f>
        <v>22</v>
      </c>
      <c r="C145" s="35" t="s">
        <v>48</v>
      </c>
      <c r="D145" s="255" t="s">
        <v>59</v>
      </c>
      <c r="E145" s="43">
        <v>531</v>
      </c>
      <c r="F145" s="43">
        <v>487</v>
      </c>
      <c r="G145" s="67">
        <v>-0.17801857585139319</v>
      </c>
      <c r="H145" s="67">
        <v>-0.12567324955116696</v>
      </c>
      <c r="I145" s="1">
        <v>8709</v>
      </c>
      <c r="J145" s="1">
        <v>8017</v>
      </c>
      <c r="K145" s="1">
        <v>59278</v>
      </c>
      <c r="L145" s="1">
        <v>54259</v>
      </c>
      <c r="M145" s="92">
        <v>0.8</v>
      </c>
      <c r="N145" s="92">
        <v>0.08</v>
      </c>
      <c r="O145" s="92">
        <v>0.92</v>
      </c>
      <c r="P145" s="92">
        <v>0.68</v>
      </c>
      <c r="Q145" s="92">
        <v>1</v>
      </c>
      <c r="R145" s="17">
        <v>0</v>
      </c>
      <c r="S145" s="17">
        <v>0</v>
      </c>
      <c r="T145" s="259">
        <v>0</v>
      </c>
      <c r="U145" s="258" t="str">
        <f t="shared" si="9"/>
        <v>Normal</v>
      </c>
      <c r="V145" s="258" t="str">
        <f t="shared" si="10"/>
        <v>Normal</v>
      </c>
      <c r="W145" s="264">
        <f t="shared" si="11"/>
        <v>-0.17801857585139319</v>
      </c>
      <c r="X145" s="264">
        <f t="shared" si="12"/>
        <v>-0.12567324955116696</v>
      </c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</row>
    <row r="146" spans="1:38">
      <c r="A146" s="194">
        <v>44796</v>
      </c>
      <c r="B146" s="309">
        <f>IF(YEAR(Table9[[#This Row],[Date]]) = 2022, WEEKNUM(Table9[[#This Row],[Date]])-13, WEEKNUM(Table9[[#This Row],[Date]])+40)</f>
        <v>22</v>
      </c>
      <c r="C146" s="35" t="s">
        <v>49</v>
      </c>
      <c r="D146" s="255" t="s">
        <v>59</v>
      </c>
      <c r="E146" s="43">
        <v>332</v>
      </c>
      <c r="F146" s="43">
        <v>285</v>
      </c>
      <c r="G146" s="67">
        <v>-0.36153846153846153</v>
      </c>
      <c r="H146" s="67">
        <v>-0.39361702127659576</v>
      </c>
      <c r="I146" s="43">
        <v>9041</v>
      </c>
      <c r="J146" s="1">
        <v>8302</v>
      </c>
      <c r="K146" s="1">
        <v>59610</v>
      </c>
      <c r="L146" s="1">
        <v>54544</v>
      </c>
      <c r="M146" s="18">
        <v>0.7</v>
      </c>
      <c r="N146" s="92">
        <v>0.14000000000000001</v>
      </c>
      <c r="O146" s="92">
        <v>0.86</v>
      </c>
      <c r="P146" s="92">
        <v>0.41</v>
      </c>
      <c r="Q146" s="92">
        <v>1</v>
      </c>
      <c r="R146" s="108">
        <v>0</v>
      </c>
      <c r="S146" s="108">
        <v>0</v>
      </c>
      <c r="T146" s="259">
        <v>0</v>
      </c>
      <c r="U146" s="258" t="str">
        <f t="shared" si="9"/>
        <v>Normal</v>
      </c>
      <c r="V146" s="258" t="str">
        <f t="shared" si="10"/>
        <v>Normal</v>
      </c>
      <c r="W146" s="264">
        <f t="shared" si="11"/>
        <v>-0.36153846153846153</v>
      </c>
      <c r="X146" s="264">
        <f t="shared" si="12"/>
        <v>-0.39361702127659576</v>
      </c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</row>
    <row r="147" spans="1:38">
      <c r="A147" s="194">
        <v>44797</v>
      </c>
      <c r="B147" s="309">
        <f>IF(YEAR(Table9[[#This Row],[Date]]) = 2022, WEEKNUM(Table9[[#This Row],[Date]])-13, WEEKNUM(Table9[[#This Row],[Date]])+40)</f>
        <v>22</v>
      </c>
      <c r="C147" s="35" t="s">
        <v>50</v>
      </c>
      <c r="D147" s="255" t="s">
        <v>59</v>
      </c>
      <c r="E147" s="43">
        <v>345</v>
      </c>
      <c r="F147" s="43">
        <v>326</v>
      </c>
      <c r="G147" s="67">
        <v>-0.36346863468634688</v>
      </c>
      <c r="H147" s="67">
        <v>-0.33874239350912777</v>
      </c>
      <c r="I147" s="1">
        <v>9386</v>
      </c>
      <c r="J147" s="1">
        <v>8628</v>
      </c>
      <c r="K147" s="1">
        <v>59955</v>
      </c>
      <c r="L147" s="1">
        <v>54870</v>
      </c>
      <c r="M147" s="92">
        <v>0.87</v>
      </c>
      <c r="N147" s="92">
        <v>0.06</v>
      </c>
      <c r="O147" s="92">
        <v>0.94</v>
      </c>
      <c r="P147" s="92">
        <v>0.49</v>
      </c>
      <c r="Q147" s="92">
        <v>1</v>
      </c>
      <c r="R147" s="17">
        <v>0</v>
      </c>
      <c r="S147" s="17">
        <v>0</v>
      </c>
      <c r="T147" s="259">
        <v>0</v>
      </c>
      <c r="U147" s="258" t="str">
        <f t="shared" si="9"/>
        <v>Normal</v>
      </c>
      <c r="V147" s="258" t="str">
        <f t="shared" si="10"/>
        <v>Normal</v>
      </c>
      <c r="W147" s="264">
        <f t="shared" si="11"/>
        <v>-0.36346863468634688</v>
      </c>
      <c r="X147" s="264">
        <f t="shared" si="12"/>
        <v>-0.33874239350912777</v>
      </c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</row>
    <row r="148" spans="1:38">
      <c r="A148" s="194">
        <v>44798</v>
      </c>
      <c r="B148" s="309">
        <f>IF(YEAR(Table9[[#This Row],[Date]]) = 2022, WEEKNUM(Table9[[#This Row],[Date]])-13, WEEKNUM(Table9[[#This Row],[Date]])+40)</f>
        <v>22</v>
      </c>
      <c r="C148" s="35" t="s">
        <v>51</v>
      </c>
      <c r="D148" s="255" t="s">
        <v>59</v>
      </c>
      <c r="E148" s="43">
        <v>322</v>
      </c>
      <c r="F148" s="43">
        <v>311</v>
      </c>
      <c r="G148" s="67">
        <v>-0.36489151873767256</v>
      </c>
      <c r="H148" s="67">
        <v>-0.36400817995910023</v>
      </c>
      <c r="I148" s="43">
        <v>9708</v>
      </c>
      <c r="J148" s="1">
        <v>8939</v>
      </c>
      <c r="K148" s="1">
        <v>60277</v>
      </c>
      <c r="L148" s="1">
        <v>55181</v>
      </c>
      <c r="M148" s="18">
        <v>0.92</v>
      </c>
      <c r="N148" s="92">
        <v>0.03</v>
      </c>
      <c r="O148" s="92">
        <v>0.97</v>
      </c>
      <c r="P148" s="92">
        <v>0.56000000000000005</v>
      </c>
      <c r="Q148" s="92">
        <v>1</v>
      </c>
      <c r="R148" s="108">
        <v>0</v>
      </c>
      <c r="S148" s="108">
        <v>0</v>
      </c>
      <c r="T148" s="259">
        <v>0</v>
      </c>
      <c r="U148" s="258" t="str">
        <f t="shared" si="9"/>
        <v>Normal</v>
      </c>
      <c r="V148" s="258" t="str">
        <f t="shared" si="10"/>
        <v>Normal</v>
      </c>
      <c r="W148" s="264">
        <f t="shared" si="11"/>
        <v>-0.36489151873767256</v>
      </c>
      <c r="X148" s="264">
        <f t="shared" si="12"/>
        <v>-0.36400817995910023</v>
      </c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</row>
    <row r="149" spans="1:38">
      <c r="A149" s="194">
        <v>44799</v>
      </c>
      <c r="B149" s="309">
        <f>IF(YEAR(Table9[[#This Row],[Date]]) = 2022, WEEKNUM(Table9[[#This Row],[Date]])-13, WEEKNUM(Table9[[#This Row],[Date]])+40)</f>
        <v>22</v>
      </c>
      <c r="C149" s="35" t="s">
        <v>52</v>
      </c>
      <c r="D149" s="255" t="s">
        <v>59</v>
      </c>
      <c r="E149" s="43">
        <v>338</v>
      </c>
      <c r="F149" s="43">
        <v>327</v>
      </c>
      <c r="G149" s="67">
        <v>-0.32400000000000001</v>
      </c>
      <c r="H149" s="67">
        <v>-0.3215767634854772</v>
      </c>
      <c r="I149" s="1">
        <v>10046</v>
      </c>
      <c r="J149" s="1">
        <v>9266</v>
      </c>
      <c r="K149" s="1">
        <v>60615</v>
      </c>
      <c r="L149" s="1">
        <v>55508</v>
      </c>
      <c r="M149" s="92">
        <v>0.94</v>
      </c>
      <c r="N149" s="92">
        <v>0.03</v>
      </c>
      <c r="O149" s="92">
        <v>0.97</v>
      </c>
      <c r="P149" s="92">
        <v>0.46</v>
      </c>
      <c r="Q149" s="92">
        <v>1</v>
      </c>
      <c r="R149" s="17">
        <v>0</v>
      </c>
      <c r="S149" s="17">
        <v>0</v>
      </c>
      <c r="T149" s="259">
        <v>0</v>
      </c>
      <c r="U149" s="258" t="str">
        <f t="shared" si="9"/>
        <v>Normal</v>
      </c>
      <c r="V149" s="258" t="str">
        <f t="shared" si="10"/>
        <v>Normal</v>
      </c>
      <c r="W149" s="264">
        <f t="shared" si="11"/>
        <v>-0.32400000000000001</v>
      </c>
      <c r="X149" s="264">
        <f t="shared" si="12"/>
        <v>-0.3215767634854772</v>
      </c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</row>
    <row r="150" spans="1:38">
      <c r="A150" s="194">
        <v>44800</v>
      </c>
      <c r="B150" s="309">
        <f>IF(YEAR(Table9[[#This Row],[Date]]) = 2022, WEEKNUM(Table9[[#This Row],[Date]])-13, WEEKNUM(Table9[[#This Row],[Date]])+40)</f>
        <v>22</v>
      </c>
      <c r="C150" s="35" t="s">
        <v>53</v>
      </c>
      <c r="D150" s="255" t="s">
        <v>59</v>
      </c>
      <c r="E150" s="43">
        <v>102</v>
      </c>
      <c r="F150" s="43">
        <v>100</v>
      </c>
      <c r="G150" s="67">
        <v>-0.31543624161073824</v>
      </c>
      <c r="H150" s="67">
        <v>-0.30069930069930068</v>
      </c>
      <c r="I150" s="43">
        <v>10148</v>
      </c>
      <c r="J150" s="1">
        <v>9366</v>
      </c>
      <c r="K150" s="1">
        <v>60717</v>
      </c>
      <c r="L150" s="1">
        <v>55608</v>
      </c>
      <c r="M150" s="18">
        <v>0.95</v>
      </c>
      <c r="N150" s="92">
        <v>0.02</v>
      </c>
      <c r="O150" s="92">
        <v>0.98</v>
      </c>
      <c r="P150" s="92">
        <v>0.33</v>
      </c>
      <c r="Q150" s="92">
        <v>1</v>
      </c>
      <c r="R150" s="108">
        <v>0</v>
      </c>
      <c r="S150" s="108">
        <v>0</v>
      </c>
      <c r="T150" s="259">
        <v>0</v>
      </c>
      <c r="U150" s="258" t="str">
        <f t="shared" si="9"/>
        <v>Normal</v>
      </c>
      <c r="V150" s="258" t="str">
        <f t="shared" si="10"/>
        <v>Normal</v>
      </c>
      <c r="W150" s="264">
        <f t="shared" si="11"/>
        <v>-0.31543624161073824</v>
      </c>
      <c r="X150" s="264">
        <f t="shared" si="12"/>
        <v>-0.30069930069930068</v>
      </c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</row>
    <row r="151" spans="1:38">
      <c r="A151" s="194">
        <v>44801</v>
      </c>
      <c r="B151" s="309">
        <f>IF(YEAR(Table9[[#This Row],[Date]]) = 2022, WEEKNUM(Table9[[#This Row],[Date]])-13, WEEKNUM(Table9[[#This Row],[Date]])+40)</f>
        <v>23</v>
      </c>
      <c r="C151" s="35" t="s">
        <v>47</v>
      </c>
      <c r="D151" s="255" t="s">
        <v>59</v>
      </c>
      <c r="E151" s="43">
        <v>0</v>
      </c>
      <c r="F151" s="43">
        <v>0</v>
      </c>
      <c r="G151" s="67">
        <v>0</v>
      </c>
      <c r="H151" s="67">
        <v>0</v>
      </c>
      <c r="I151" s="1">
        <v>0</v>
      </c>
      <c r="J151" s="1">
        <v>0</v>
      </c>
      <c r="K151" s="1">
        <v>0</v>
      </c>
      <c r="L151" s="1">
        <v>0</v>
      </c>
      <c r="M151" s="92">
        <v>0</v>
      </c>
      <c r="N151" s="92">
        <v>0</v>
      </c>
      <c r="O151" s="92">
        <v>0</v>
      </c>
      <c r="P151" s="92">
        <v>0</v>
      </c>
      <c r="Q151" s="92">
        <v>0</v>
      </c>
      <c r="R151" s="17">
        <v>0</v>
      </c>
      <c r="S151" s="17">
        <v>0</v>
      </c>
      <c r="T151" s="259">
        <v>0</v>
      </c>
      <c r="U151" s="258" t="str">
        <f t="shared" si="9"/>
        <v>Normal</v>
      </c>
      <c r="V151" s="258" t="str">
        <f t="shared" si="10"/>
        <v>Normal</v>
      </c>
      <c r="W151" s="264">
        <f t="shared" si="11"/>
        <v>0</v>
      </c>
      <c r="X151" s="264">
        <f t="shared" si="12"/>
        <v>0</v>
      </c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</row>
    <row r="152" spans="1:38">
      <c r="A152" s="194">
        <v>44802</v>
      </c>
      <c r="B152" s="309">
        <f>IF(YEAR(Table9[[#This Row],[Date]]) = 2022, WEEKNUM(Table9[[#This Row],[Date]])-13, WEEKNUM(Table9[[#This Row],[Date]])+40)</f>
        <v>23</v>
      </c>
      <c r="C152" s="35" t="s">
        <v>48</v>
      </c>
      <c r="D152" s="255" t="s">
        <v>59</v>
      </c>
      <c r="E152" s="43">
        <v>435</v>
      </c>
      <c r="F152" s="43">
        <v>403</v>
      </c>
      <c r="G152" s="67">
        <v>-0.1807909604519774</v>
      </c>
      <c r="H152" s="67">
        <v>-0.17248459958932238</v>
      </c>
      <c r="I152" s="43">
        <v>10583</v>
      </c>
      <c r="J152" s="1">
        <v>9769</v>
      </c>
      <c r="K152" s="1">
        <v>61152</v>
      </c>
      <c r="L152" s="1">
        <v>56011</v>
      </c>
      <c r="M152" s="18">
        <v>0.87</v>
      </c>
      <c r="N152" s="92">
        <v>7.0000000000000007E-2</v>
      </c>
      <c r="O152" s="92">
        <v>0.93</v>
      </c>
      <c r="P152" s="92">
        <v>0.48</v>
      </c>
      <c r="Q152" s="92">
        <v>1</v>
      </c>
      <c r="R152" s="108">
        <v>0</v>
      </c>
      <c r="S152" s="108">
        <v>0</v>
      </c>
      <c r="T152" s="259">
        <v>4</v>
      </c>
      <c r="U152" s="258" t="str">
        <f t="shared" si="9"/>
        <v>Normal</v>
      </c>
      <c r="V152" s="258" t="str">
        <f t="shared" si="10"/>
        <v>Normal</v>
      </c>
      <c r="W152" s="264">
        <f t="shared" si="11"/>
        <v>-0.1807909604519774</v>
      </c>
      <c r="X152" s="264">
        <f t="shared" si="12"/>
        <v>-0.17248459958932238</v>
      </c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</row>
    <row r="153" spans="1:38">
      <c r="A153" s="194">
        <v>44803</v>
      </c>
      <c r="B153" s="309">
        <f>IF(YEAR(Table9[[#This Row],[Date]]) = 2022, WEEKNUM(Table9[[#This Row],[Date]])-13, WEEKNUM(Table9[[#This Row],[Date]])+40)</f>
        <v>23</v>
      </c>
      <c r="C153" s="35" t="s">
        <v>49</v>
      </c>
      <c r="D153" s="255" t="s">
        <v>59</v>
      </c>
      <c r="E153" s="43">
        <v>0</v>
      </c>
      <c r="F153" s="43">
        <v>0</v>
      </c>
      <c r="G153" s="67">
        <v>0</v>
      </c>
      <c r="H153" s="67">
        <v>0</v>
      </c>
      <c r="I153" s="1">
        <v>0</v>
      </c>
      <c r="J153" s="1">
        <v>0</v>
      </c>
      <c r="K153" s="1">
        <v>0</v>
      </c>
      <c r="L153" s="1">
        <v>0</v>
      </c>
      <c r="M153" s="92">
        <v>0</v>
      </c>
      <c r="N153" s="92">
        <v>0</v>
      </c>
      <c r="O153" s="92">
        <v>0</v>
      </c>
      <c r="P153" s="92">
        <v>0</v>
      </c>
      <c r="Q153" s="92">
        <v>0</v>
      </c>
      <c r="R153" s="108">
        <v>0</v>
      </c>
      <c r="S153" s="108">
        <v>0</v>
      </c>
      <c r="T153" s="259">
        <v>0</v>
      </c>
      <c r="U153" s="258" t="str">
        <f t="shared" si="9"/>
        <v>Normal</v>
      </c>
      <c r="V153" s="258" t="str">
        <f t="shared" si="10"/>
        <v>Normal</v>
      </c>
      <c r="W153" s="264">
        <f t="shared" si="11"/>
        <v>0</v>
      </c>
      <c r="X153" s="264">
        <f t="shared" si="12"/>
        <v>0</v>
      </c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</row>
    <row r="154" spans="1:38" s="116" customFormat="1">
      <c r="A154" s="198">
        <v>44804</v>
      </c>
      <c r="B154" s="313">
        <f>IF(YEAR(Table9[[#This Row],[Date]]) = 2022, WEEKNUM(Table9[[#This Row],[Date]])-13, WEEKNUM(Table9[[#This Row],[Date]])+40)</f>
        <v>23</v>
      </c>
      <c r="C154" s="109" t="s">
        <v>50</v>
      </c>
      <c r="D154" s="255" t="s">
        <v>59</v>
      </c>
      <c r="E154" s="110">
        <v>607</v>
      </c>
      <c r="F154" s="110">
        <v>520</v>
      </c>
      <c r="G154" s="111">
        <v>0.75942028985507248</v>
      </c>
      <c r="H154" s="111">
        <v>0.59509202453987731</v>
      </c>
      <c r="I154" s="110">
        <v>11190</v>
      </c>
      <c r="J154" s="112">
        <v>10289</v>
      </c>
      <c r="K154" s="112">
        <v>61759</v>
      </c>
      <c r="L154" s="112">
        <v>56531</v>
      </c>
      <c r="M154" s="113">
        <v>0.64</v>
      </c>
      <c r="N154" s="114">
        <v>0.14000000000000001</v>
      </c>
      <c r="O154" s="114">
        <v>0.86</v>
      </c>
      <c r="P154" s="114">
        <v>0.96</v>
      </c>
      <c r="Q154" s="114">
        <v>1</v>
      </c>
      <c r="R154" s="115">
        <v>0</v>
      </c>
      <c r="S154" s="115">
        <v>0</v>
      </c>
      <c r="T154" s="259">
        <v>4</v>
      </c>
      <c r="U154" s="258" t="str">
        <f t="shared" si="9"/>
        <v>Outlier</v>
      </c>
      <c r="V154" s="258" t="str">
        <f t="shared" si="10"/>
        <v>Outlier</v>
      </c>
      <c r="W154" s="264">
        <f t="shared" si="11"/>
        <v>0.75942028985507248</v>
      </c>
      <c r="X154" s="264">
        <f t="shared" si="12"/>
        <v>0.59509202453987731</v>
      </c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/>
      <c r="AK154"/>
      <c r="AL154"/>
    </row>
    <row r="155" spans="1:38">
      <c r="A155" s="194">
        <v>44805</v>
      </c>
      <c r="B155" s="309">
        <f>IF(YEAR(Table9[[#This Row],[Date]]) = 2022, WEEKNUM(Table9[[#This Row],[Date]])-13, WEEKNUM(Table9[[#This Row],[Date]])+40)</f>
        <v>23</v>
      </c>
      <c r="C155" s="35" t="s">
        <v>51</v>
      </c>
      <c r="D155" s="255" t="s">
        <v>59</v>
      </c>
      <c r="E155" s="43">
        <v>631</v>
      </c>
      <c r="F155" s="43">
        <v>554</v>
      </c>
      <c r="G155" s="67">
        <v>0.95962732919254656</v>
      </c>
      <c r="H155" s="67">
        <v>0.7813504823151125</v>
      </c>
      <c r="I155" s="1">
        <v>631</v>
      </c>
      <c r="J155" s="1">
        <v>554</v>
      </c>
      <c r="K155" s="1">
        <v>62390</v>
      </c>
      <c r="L155" s="1">
        <v>57085</v>
      </c>
      <c r="M155" s="92">
        <v>0.71</v>
      </c>
      <c r="N155" s="92">
        <v>0.12</v>
      </c>
      <c r="O155" s="92">
        <v>0.88</v>
      </c>
      <c r="P155" s="92">
        <v>0.77</v>
      </c>
      <c r="Q155" s="92">
        <v>1</v>
      </c>
      <c r="R155" s="17">
        <v>0</v>
      </c>
      <c r="S155" s="17">
        <v>0</v>
      </c>
      <c r="T155" s="259">
        <v>5</v>
      </c>
      <c r="U155" s="258" t="str">
        <f t="shared" si="9"/>
        <v>Outlier</v>
      </c>
      <c r="V155" s="258" t="str">
        <f t="shared" si="10"/>
        <v>Outlier</v>
      </c>
      <c r="W155" s="264">
        <f t="shared" si="11"/>
        <v>0.95962732919254656</v>
      </c>
      <c r="X155" s="264">
        <f t="shared" si="12"/>
        <v>0.7813504823151125</v>
      </c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</row>
    <row r="156" spans="1:38">
      <c r="A156" s="194">
        <v>44806</v>
      </c>
      <c r="B156" s="309">
        <f>IF(YEAR(Table9[[#This Row],[Date]]) = 2022, WEEKNUM(Table9[[#This Row],[Date]])-13, WEEKNUM(Table9[[#This Row],[Date]])+40)</f>
        <v>23</v>
      </c>
      <c r="C156" s="34" t="s">
        <v>52</v>
      </c>
      <c r="D156" s="255" t="s">
        <v>59</v>
      </c>
      <c r="E156" s="43">
        <v>557</v>
      </c>
      <c r="F156" s="43">
        <v>522</v>
      </c>
      <c r="G156" s="67">
        <v>0.64792899408284022</v>
      </c>
      <c r="H156" s="67">
        <v>0.59633027522935778</v>
      </c>
      <c r="I156" s="43">
        <v>1188</v>
      </c>
      <c r="J156" s="1">
        <v>1076</v>
      </c>
      <c r="K156" s="1">
        <v>62947</v>
      </c>
      <c r="L156" s="1">
        <v>57607</v>
      </c>
      <c r="M156" s="18">
        <v>0.8</v>
      </c>
      <c r="N156" s="92">
        <v>0.06</v>
      </c>
      <c r="O156" s="92">
        <v>0.94</v>
      </c>
      <c r="P156" s="92">
        <v>0.75</v>
      </c>
      <c r="Q156" s="92">
        <v>1</v>
      </c>
      <c r="R156" s="108">
        <v>0</v>
      </c>
      <c r="S156" s="108">
        <v>0</v>
      </c>
      <c r="T156" s="259">
        <v>5</v>
      </c>
      <c r="U156" s="258" t="str">
        <f t="shared" si="9"/>
        <v>Outlier</v>
      </c>
      <c r="V156" s="258" t="str">
        <f t="shared" si="10"/>
        <v>Outlier</v>
      </c>
      <c r="W156" s="264">
        <f t="shared" si="11"/>
        <v>0.64792899408284022</v>
      </c>
      <c r="X156" s="264">
        <f t="shared" si="12"/>
        <v>0.59633027522935778</v>
      </c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</row>
    <row r="157" spans="1:38">
      <c r="A157" s="194">
        <v>44807</v>
      </c>
      <c r="B157" s="309">
        <f>IF(YEAR(Table9[[#This Row],[Date]]) = 2022, WEEKNUM(Table9[[#This Row],[Date]])-13, WEEKNUM(Table9[[#This Row],[Date]])+40)</f>
        <v>23</v>
      </c>
      <c r="C157" s="35" t="s">
        <v>53</v>
      </c>
      <c r="D157" s="255" t="s">
        <v>59</v>
      </c>
      <c r="E157" s="43">
        <v>246</v>
      </c>
      <c r="F157" s="43">
        <v>230</v>
      </c>
      <c r="G157" s="67">
        <v>1.411764705882353</v>
      </c>
      <c r="H157" s="67">
        <v>1.3</v>
      </c>
      <c r="I157" s="1">
        <v>1434</v>
      </c>
      <c r="J157" s="1">
        <v>1306</v>
      </c>
      <c r="K157" s="1">
        <v>63193</v>
      </c>
      <c r="L157" s="1">
        <v>57837</v>
      </c>
      <c r="M157" s="92">
        <v>0.76</v>
      </c>
      <c r="N157" s="92">
        <v>7.0000000000000007E-2</v>
      </c>
      <c r="O157" s="92">
        <v>0.93</v>
      </c>
      <c r="P157" s="92">
        <v>0.46</v>
      </c>
      <c r="Q157" s="92">
        <v>1</v>
      </c>
      <c r="R157" s="17">
        <v>0</v>
      </c>
      <c r="S157" s="17">
        <v>0</v>
      </c>
      <c r="T157" s="259">
        <v>5</v>
      </c>
      <c r="U157" s="258" t="str">
        <f t="shared" si="9"/>
        <v>Outlier</v>
      </c>
      <c r="V157" s="258" t="str">
        <f t="shared" si="10"/>
        <v>Outlier</v>
      </c>
      <c r="W157" s="264">
        <f t="shared" si="11"/>
        <v>1.411764705882353</v>
      </c>
      <c r="X157" s="264">
        <f t="shared" si="12"/>
        <v>1.3</v>
      </c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</row>
    <row r="158" spans="1:38">
      <c r="A158" s="194">
        <v>44808</v>
      </c>
      <c r="B158" s="309">
        <f>IF(YEAR(Table9[[#This Row],[Date]]) = 2022, WEEKNUM(Table9[[#This Row],[Date]])-13, WEEKNUM(Table9[[#This Row],[Date]])+40)</f>
        <v>24</v>
      </c>
      <c r="C158" s="34" t="s">
        <v>47</v>
      </c>
      <c r="D158" s="255" t="s">
        <v>59</v>
      </c>
      <c r="E158" s="43">
        <v>0</v>
      </c>
      <c r="F158" s="43">
        <v>0</v>
      </c>
      <c r="G158" s="67">
        <v>0</v>
      </c>
      <c r="H158" s="67">
        <v>0</v>
      </c>
      <c r="I158" s="43">
        <v>0</v>
      </c>
      <c r="J158" s="1">
        <v>0</v>
      </c>
      <c r="K158" s="1">
        <v>0</v>
      </c>
      <c r="L158" s="1">
        <v>0</v>
      </c>
      <c r="M158" s="18">
        <v>0</v>
      </c>
      <c r="N158" s="92">
        <v>0</v>
      </c>
      <c r="O158" s="92">
        <v>0</v>
      </c>
      <c r="P158" s="92">
        <v>0</v>
      </c>
      <c r="Q158" s="92">
        <v>0</v>
      </c>
      <c r="R158" s="108">
        <v>0</v>
      </c>
      <c r="S158" s="108">
        <v>0</v>
      </c>
      <c r="T158" s="259">
        <v>0</v>
      </c>
      <c r="U158" s="258" t="str">
        <f t="shared" si="9"/>
        <v>Normal</v>
      </c>
      <c r="V158" s="258" t="str">
        <f t="shared" si="10"/>
        <v>Normal</v>
      </c>
      <c r="W158" s="264">
        <f t="shared" si="11"/>
        <v>0</v>
      </c>
      <c r="X158" s="264">
        <f t="shared" si="12"/>
        <v>0</v>
      </c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</row>
    <row r="159" spans="1:38">
      <c r="A159" s="194">
        <v>44809</v>
      </c>
      <c r="B159" s="309">
        <f>IF(YEAR(Table9[[#This Row],[Date]]) = 2022, WEEKNUM(Table9[[#This Row],[Date]])-13, WEEKNUM(Table9[[#This Row],[Date]])+40)</f>
        <v>24</v>
      </c>
      <c r="C159" s="35" t="s">
        <v>48</v>
      </c>
      <c r="D159" s="255" t="s">
        <v>59</v>
      </c>
      <c r="E159" s="43">
        <v>712</v>
      </c>
      <c r="F159" s="43">
        <v>583</v>
      </c>
      <c r="G159" s="67">
        <v>0.63678160919540228</v>
      </c>
      <c r="H159" s="67">
        <v>0.4466501240694789</v>
      </c>
      <c r="I159" s="1">
        <v>2146</v>
      </c>
      <c r="J159" s="1">
        <v>1889</v>
      </c>
      <c r="K159" s="1">
        <v>63905</v>
      </c>
      <c r="L159" s="1">
        <v>58420</v>
      </c>
      <c r="M159" s="92">
        <v>0.56999999999999995</v>
      </c>
      <c r="N159" s="92">
        <v>0.18</v>
      </c>
      <c r="O159" s="92">
        <v>0.82</v>
      </c>
      <c r="P159" s="92">
        <v>0.84</v>
      </c>
      <c r="Q159" s="92">
        <v>1</v>
      </c>
      <c r="R159" s="17">
        <v>0</v>
      </c>
      <c r="S159" s="17">
        <v>0</v>
      </c>
      <c r="T159" s="259">
        <v>5</v>
      </c>
      <c r="U159" s="258" t="str">
        <f t="shared" si="9"/>
        <v>Outlier</v>
      </c>
      <c r="V159" s="258" t="str">
        <f t="shared" si="10"/>
        <v>Outlier</v>
      </c>
      <c r="W159" s="264">
        <f t="shared" si="11"/>
        <v>0.63678160919540228</v>
      </c>
      <c r="X159" s="264">
        <f t="shared" si="12"/>
        <v>0.4466501240694789</v>
      </c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</row>
    <row r="160" spans="1:38">
      <c r="A160" s="194">
        <v>44810</v>
      </c>
      <c r="B160" s="309">
        <f>IF(YEAR(Table9[[#This Row],[Date]]) = 2022, WEEKNUM(Table9[[#This Row],[Date]])-13, WEEKNUM(Table9[[#This Row],[Date]])+40)</f>
        <v>24</v>
      </c>
      <c r="C160" s="34" t="s">
        <v>49</v>
      </c>
      <c r="D160" s="255" t="s">
        <v>59</v>
      </c>
      <c r="E160" s="42">
        <v>626</v>
      </c>
      <c r="F160" s="42">
        <v>551</v>
      </c>
      <c r="G160" s="67">
        <v>0</v>
      </c>
      <c r="H160" s="67">
        <v>0</v>
      </c>
      <c r="I160" s="32">
        <v>2772</v>
      </c>
      <c r="J160" s="32">
        <v>2440</v>
      </c>
      <c r="K160" s="32">
        <v>64531</v>
      </c>
      <c r="L160" s="32">
        <v>58971</v>
      </c>
      <c r="M160" s="93">
        <v>0.68</v>
      </c>
      <c r="N160" s="93">
        <v>0.12</v>
      </c>
      <c r="O160" s="93">
        <v>0.88</v>
      </c>
      <c r="P160" s="93">
        <v>0.77</v>
      </c>
      <c r="Q160" s="93">
        <v>1</v>
      </c>
      <c r="R160" s="108">
        <v>0</v>
      </c>
      <c r="S160" s="108">
        <v>0</v>
      </c>
      <c r="T160" s="259">
        <v>5</v>
      </c>
      <c r="U160" s="258" t="str">
        <f t="shared" si="9"/>
        <v>Normal</v>
      </c>
      <c r="V160" s="258" t="str">
        <f t="shared" si="10"/>
        <v>Normal</v>
      </c>
      <c r="W160" s="264">
        <f t="shared" si="11"/>
        <v>0</v>
      </c>
      <c r="X160" s="264">
        <f t="shared" si="12"/>
        <v>0</v>
      </c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</row>
    <row r="161" spans="1:35">
      <c r="A161" s="194">
        <v>44811</v>
      </c>
      <c r="B161" s="309">
        <f>IF(YEAR(Table9[[#This Row],[Date]]) = 2022, WEEKNUM(Table9[[#This Row],[Date]])-13, WEEKNUM(Table9[[#This Row],[Date]])+40)</f>
        <v>24</v>
      </c>
      <c r="C161" s="35" t="s">
        <v>50</v>
      </c>
      <c r="D161" s="255" t="s">
        <v>59</v>
      </c>
      <c r="E161" s="43">
        <v>570</v>
      </c>
      <c r="F161" s="43">
        <v>532</v>
      </c>
      <c r="G161" s="67">
        <v>-6.0955518945634266E-2</v>
      </c>
      <c r="H161" s="67">
        <v>2.3076923076923078E-2</v>
      </c>
      <c r="I161" s="1">
        <v>3342</v>
      </c>
      <c r="J161" s="1">
        <v>2972</v>
      </c>
      <c r="K161" s="1">
        <v>65101</v>
      </c>
      <c r="L161" s="1">
        <v>59503</v>
      </c>
      <c r="M161" s="92">
        <v>0.82</v>
      </c>
      <c r="N161" s="92">
        <v>7.0000000000000007E-2</v>
      </c>
      <c r="O161" s="92">
        <v>0.93</v>
      </c>
      <c r="P161" s="92">
        <v>0.76</v>
      </c>
      <c r="Q161" s="92">
        <v>1</v>
      </c>
      <c r="R161" s="17">
        <v>0</v>
      </c>
      <c r="S161" s="17">
        <v>0</v>
      </c>
      <c r="T161" s="259">
        <v>5</v>
      </c>
      <c r="U161" s="258" t="str">
        <f t="shared" si="9"/>
        <v>Normal</v>
      </c>
      <c r="V161" s="258" t="str">
        <f t="shared" si="10"/>
        <v>Normal</v>
      </c>
      <c r="W161" s="264">
        <f t="shared" si="11"/>
        <v>-6.0955518945634266E-2</v>
      </c>
      <c r="X161" s="264">
        <f t="shared" si="12"/>
        <v>2.3076923076923078E-2</v>
      </c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</row>
    <row r="162" spans="1:35">
      <c r="A162" s="194">
        <v>44812</v>
      </c>
      <c r="B162" s="309">
        <f>IF(YEAR(Table9[[#This Row],[Date]]) = 2022, WEEKNUM(Table9[[#This Row],[Date]])-13, WEEKNUM(Table9[[#This Row],[Date]])+40)</f>
        <v>24</v>
      </c>
      <c r="C162" s="35" t="s">
        <v>51</v>
      </c>
      <c r="D162" s="255" t="s">
        <v>59</v>
      </c>
      <c r="E162" s="43">
        <v>593</v>
      </c>
      <c r="F162" s="43">
        <v>546</v>
      </c>
      <c r="G162" s="67">
        <v>-6.0221870047543584E-2</v>
      </c>
      <c r="H162" s="67">
        <v>-1.444043321299639E-2</v>
      </c>
      <c r="I162" s="43">
        <v>3935</v>
      </c>
      <c r="J162" s="1">
        <v>3518</v>
      </c>
      <c r="K162" s="1">
        <v>65694</v>
      </c>
      <c r="L162" s="1">
        <v>60049</v>
      </c>
      <c r="M162" s="18">
        <v>0.79</v>
      </c>
      <c r="N162" s="92">
        <v>0.08</v>
      </c>
      <c r="O162" s="92">
        <v>0.92</v>
      </c>
      <c r="P162" s="92">
        <v>0.64</v>
      </c>
      <c r="Q162" s="92">
        <v>1</v>
      </c>
      <c r="R162" s="17">
        <v>0</v>
      </c>
      <c r="S162" s="17">
        <v>0</v>
      </c>
      <c r="T162" s="259">
        <v>5</v>
      </c>
      <c r="U162" s="258" t="str">
        <f t="shared" si="9"/>
        <v>Normal</v>
      </c>
      <c r="V162" s="258" t="str">
        <f t="shared" si="10"/>
        <v>Normal</v>
      </c>
      <c r="W162" s="264">
        <f t="shared" si="11"/>
        <v>-6.0221870047543584E-2</v>
      </c>
      <c r="X162" s="264">
        <f t="shared" si="12"/>
        <v>-1.444043321299639E-2</v>
      </c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</row>
    <row r="163" spans="1:35">
      <c r="A163" s="194">
        <v>44813</v>
      </c>
      <c r="B163" s="309">
        <f>IF(YEAR(Table9[[#This Row],[Date]]) = 2022, WEEKNUM(Table9[[#This Row],[Date]])-13, WEEKNUM(Table9[[#This Row],[Date]])+40)</f>
        <v>24</v>
      </c>
      <c r="C163" s="35" t="s">
        <v>52</v>
      </c>
      <c r="D163" s="255" t="s">
        <v>59</v>
      </c>
      <c r="E163" s="43">
        <v>574</v>
      </c>
      <c r="F163" s="43">
        <v>545</v>
      </c>
      <c r="G163" s="67">
        <v>3.052064631956912E-2</v>
      </c>
      <c r="H163" s="67">
        <v>4.4061302681992334E-2</v>
      </c>
      <c r="I163" s="1">
        <v>4509</v>
      </c>
      <c r="J163" s="1">
        <v>4063</v>
      </c>
      <c r="K163" s="1">
        <v>66268</v>
      </c>
      <c r="L163" s="1">
        <v>60594</v>
      </c>
      <c r="M163" s="92">
        <v>0.82</v>
      </c>
      <c r="N163" s="92">
        <v>0.05</v>
      </c>
      <c r="O163" s="92">
        <v>0.95</v>
      </c>
      <c r="P163" s="92">
        <v>0.77</v>
      </c>
      <c r="Q163" s="92">
        <v>1</v>
      </c>
      <c r="R163" s="17">
        <v>0</v>
      </c>
      <c r="S163" s="17">
        <v>0</v>
      </c>
      <c r="T163" s="259">
        <v>5</v>
      </c>
      <c r="U163" s="258" t="str">
        <f t="shared" si="9"/>
        <v>Normal</v>
      </c>
      <c r="V163" s="258" t="str">
        <f t="shared" si="10"/>
        <v>Normal</v>
      </c>
      <c r="W163" s="264">
        <f t="shared" si="11"/>
        <v>3.052064631956912E-2</v>
      </c>
      <c r="X163" s="264">
        <f t="shared" si="12"/>
        <v>4.4061302681992334E-2</v>
      </c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</row>
    <row r="164" spans="1:35">
      <c r="A164" s="194">
        <v>44814</v>
      </c>
      <c r="B164" s="309">
        <f>IF(YEAR(Table9[[#This Row],[Date]]) = 2022, WEEKNUM(Table9[[#This Row],[Date]])-13, WEEKNUM(Table9[[#This Row],[Date]])+40)</f>
        <v>24</v>
      </c>
      <c r="C164" s="34" t="s">
        <v>53</v>
      </c>
      <c r="D164" s="255" t="s">
        <v>59</v>
      </c>
      <c r="E164" s="43">
        <v>169</v>
      </c>
      <c r="F164" s="43">
        <v>164</v>
      </c>
      <c r="G164" s="67">
        <v>-0.31300813008130079</v>
      </c>
      <c r="H164" s="67">
        <v>-0.28695652173913044</v>
      </c>
      <c r="I164" s="43">
        <v>4678</v>
      </c>
      <c r="J164" s="1">
        <v>4227</v>
      </c>
      <c r="K164" s="1">
        <v>66437</v>
      </c>
      <c r="L164" s="1">
        <v>60758</v>
      </c>
      <c r="M164" s="18">
        <v>0.9</v>
      </c>
      <c r="N164" s="92">
        <v>0.03</v>
      </c>
      <c r="O164" s="92">
        <v>0.97</v>
      </c>
      <c r="P164" s="92">
        <v>0.68</v>
      </c>
      <c r="Q164" s="92">
        <v>1</v>
      </c>
      <c r="R164" s="108">
        <v>0</v>
      </c>
      <c r="S164" s="108">
        <v>0</v>
      </c>
      <c r="T164" s="259">
        <v>3</v>
      </c>
      <c r="U164" s="258" t="str">
        <f t="shared" si="9"/>
        <v>Normal</v>
      </c>
      <c r="V164" s="258" t="str">
        <f t="shared" si="10"/>
        <v>Normal</v>
      </c>
      <c r="W164" s="264">
        <f t="shared" si="11"/>
        <v>-0.31300813008130079</v>
      </c>
      <c r="X164" s="264">
        <f t="shared" si="12"/>
        <v>-0.28695652173913044</v>
      </c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</row>
    <row r="165" spans="1:35">
      <c r="A165" s="194">
        <v>44815</v>
      </c>
      <c r="B165" s="309">
        <f>IF(YEAR(Table9[[#This Row],[Date]]) = 2022, WEEKNUM(Table9[[#This Row],[Date]])-13, WEEKNUM(Table9[[#This Row],[Date]])+40)</f>
        <v>25</v>
      </c>
      <c r="C165" s="35" t="s">
        <v>47</v>
      </c>
      <c r="D165" s="255" t="s">
        <v>59</v>
      </c>
      <c r="E165" s="43">
        <v>0</v>
      </c>
      <c r="F165" s="43">
        <v>0</v>
      </c>
      <c r="G165" s="67">
        <v>0</v>
      </c>
      <c r="H165" s="67">
        <v>0</v>
      </c>
      <c r="I165" s="1">
        <v>0</v>
      </c>
      <c r="J165" s="1">
        <v>0</v>
      </c>
      <c r="K165" s="1">
        <v>0</v>
      </c>
      <c r="L165" s="1">
        <v>0</v>
      </c>
      <c r="M165" s="92">
        <v>0</v>
      </c>
      <c r="N165" s="92">
        <v>0</v>
      </c>
      <c r="O165" s="92">
        <v>0</v>
      </c>
      <c r="P165" s="92">
        <v>0</v>
      </c>
      <c r="Q165" s="92">
        <v>0</v>
      </c>
      <c r="R165" s="17">
        <v>0</v>
      </c>
      <c r="S165" s="17">
        <v>0</v>
      </c>
      <c r="T165" s="259">
        <v>0</v>
      </c>
      <c r="U165" s="258" t="str">
        <f t="shared" si="9"/>
        <v>Normal</v>
      </c>
      <c r="V165" s="258" t="str">
        <f t="shared" si="10"/>
        <v>Normal</v>
      </c>
      <c r="W165" s="264">
        <f t="shared" si="11"/>
        <v>0</v>
      </c>
      <c r="X165" s="264">
        <f t="shared" si="12"/>
        <v>0</v>
      </c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</row>
    <row r="166" spans="1:35">
      <c r="A166" s="194">
        <v>44816</v>
      </c>
      <c r="B166" s="309">
        <f>IF(YEAR(Table9[[#This Row],[Date]]) = 2022, WEEKNUM(Table9[[#This Row],[Date]])-13, WEEKNUM(Table9[[#This Row],[Date]])+40)</f>
        <v>25</v>
      </c>
      <c r="C166" s="34" t="s">
        <v>48</v>
      </c>
      <c r="D166" s="255" t="s">
        <v>59</v>
      </c>
      <c r="E166" s="42">
        <v>617</v>
      </c>
      <c r="F166" s="42">
        <v>576</v>
      </c>
      <c r="G166" s="67">
        <v>-0.13342696629213482</v>
      </c>
      <c r="H166" s="67">
        <v>-1.2006861063464836E-2</v>
      </c>
      <c r="I166" s="1">
        <v>5295</v>
      </c>
      <c r="J166" s="1">
        <v>4803</v>
      </c>
      <c r="K166" s="1">
        <v>67054</v>
      </c>
      <c r="L166" s="1">
        <v>61334</v>
      </c>
      <c r="M166" s="93">
        <v>0.83</v>
      </c>
      <c r="N166" s="93">
        <v>7.0000000000000007E-2</v>
      </c>
      <c r="O166" s="92">
        <v>0.92999999999999994</v>
      </c>
      <c r="P166" s="93">
        <v>0.83</v>
      </c>
      <c r="Q166" s="93">
        <v>1</v>
      </c>
      <c r="R166" s="108">
        <v>0</v>
      </c>
      <c r="S166" s="108">
        <v>0</v>
      </c>
      <c r="T166" s="259">
        <v>5</v>
      </c>
      <c r="U166" s="258" t="str">
        <f t="shared" si="9"/>
        <v>Normal</v>
      </c>
      <c r="V166" s="258" t="str">
        <f t="shared" si="10"/>
        <v>Normal</v>
      </c>
      <c r="W166" s="264">
        <f t="shared" si="11"/>
        <v>-0.13342696629213482</v>
      </c>
      <c r="X166" s="264">
        <f t="shared" si="12"/>
        <v>-1.2006861063464836E-2</v>
      </c>
    </row>
    <row r="167" spans="1:35">
      <c r="A167" s="194">
        <v>44817</v>
      </c>
      <c r="B167" s="309">
        <f>IF(YEAR(Table9[[#This Row],[Date]]) = 2022, WEEKNUM(Table9[[#This Row],[Date]])-13, WEEKNUM(Table9[[#This Row],[Date]])+40)</f>
        <v>25</v>
      </c>
      <c r="C167" s="35" t="s">
        <v>49</v>
      </c>
      <c r="D167" s="255" t="s">
        <v>59</v>
      </c>
      <c r="E167" s="43">
        <v>599</v>
      </c>
      <c r="F167" s="43">
        <v>532</v>
      </c>
      <c r="G167" s="67">
        <v>-4.3130990415335461E-2</v>
      </c>
      <c r="H167" s="67">
        <v>-3.4482758620689655E-2</v>
      </c>
      <c r="I167" s="1">
        <v>5894</v>
      </c>
      <c r="J167" s="1">
        <v>5335</v>
      </c>
      <c r="K167" s="1">
        <v>67653</v>
      </c>
      <c r="L167" s="1">
        <v>61866</v>
      </c>
      <c r="M167" s="92">
        <v>0.74</v>
      </c>
      <c r="N167" s="92">
        <v>0.11</v>
      </c>
      <c r="O167" s="92">
        <v>0.89</v>
      </c>
      <c r="P167" s="92">
        <v>0.77</v>
      </c>
      <c r="Q167" s="92">
        <v>1</v>
      </c>
      <c r="R167" s="17">
        <v>0</v>
      </c>
      <c r="S167" s="17">
        <v>0</v>
      </c>
      <c r="T167" s="259">
        <v>5</v>
      </c>
      <c r="U167" s="258" t="str">
        <f t="shared" si="9"/>
        <v>Normal</v>
      </c>
      <c r="V167" s="258" t="str">
        <f t="shared" si="10"/>
        <v>Normal</v>
      </c>
      <c r="W167" s="264">
        <f t="shared" si="11"/>
        <v>-4.3130990415335461E-2</v>
      </c>
      <c r="X167" s="264">
        <f t="shared" si="12"/>
        <v>-3.4482758620689655E-2</v>
      </c>
    </row>
    <row r="168" spans="1:35">
      <c r="A168" s="194">
        <v>44818</v>
      </c>
      <c r="B168" s="309">
        <f>IF(YEAR(Table9[[#This Row],[Date]]) = 2022, WEEKNUM(Table9[[#This Row],[Date]])-13, WEEKNUM(Table9[[#This Row],[Date]])+40)</f>
        <v>25</v>
      </c>
      <c r="C168" s="34" t="s">
        <v>50</v>
      </c>
      <c r="D168" s="255" t="s">
        <v>59</v>
      </c>
      <c r="E168" s="43">
        <v>520</v>
      </c>
      <c r="F168" s="43">
        <v>487</v>
      </c>
      <c r="G168" s="67">
        <v>-8.771929824561403E-2</v>
      </c>
      <c r="H168" s="67">
        <v>-8.4586466165413529E-2</v>
      </c>
      <c r="I168" s="1">
        <v>6414</v>
      </c>
      <c r="J168" s="1">
        <v>5822</v>
      </c>
      <c r="K168" s="1">
        <v>68173</v>
      </c>
      <c r="L168" s="1">
        <v>62353</v>
      </c>
      <c r="M168" s="92">
        <v>0.78</v>
      </c>
      <c r="N168" s="92">
        <v>0.06</v>
      </c>
      <c r="O168" s="92">
        <v>0.94</v>
      </c>
      <c r="P168" s="92">
        <v>0.91</v>
      </c>
      <c r="Q168" s="92">
        <v>1</v>
      </c>
      <c r="R168" s="17">
        <v>0</v>
      </c>
      <c r="S168" s="17">
        <v>0</v>
      </c>
      <c r="T168" s="259">
        <v>4</v>
      </c>
      <c r="U168" s="258" t="str">
        <f t="shared" si="9"/>
        <v>Normal</v>
      </c>
      <c r="V168" s="258" t="str">
        <f t="shared" si="10"/>
        <v>Normal</v>
      </c>
      <c r="W168" s="264">
        <f t="shared" si="11"/>
        <v>-8.771929824561403E-2</v>
      </c>
      <c r="X168" s="264">
        <f t="shared" si="12"/>
        <v>-8.4586466165413529E-2</v>
      </c>
    </row>
    <row r="169" spans="1:35">
      <c r="A169" s="194">
        <v>44819</v>
      </c>
      <c r="B169" s="309">
        <f>IF(YEAR(Table9[[#This Row],[Date]]) = 2022, WEEKNUM(Table9[[#This Row],[Date]])-13, WEEKNUM(Table9[[#This Row],[Date]])+40)</f>
        <v>25</v>
      </c>
      <c r="C169" s="35" t="s">
        <v>51</v>
      </c>
      <c r="D169" s="255" t="s">
        <v>59</v>
      </c>
      <c r="E169" s="43">
        <v>515</v>
      </c>
      <c r="F169" s="43">
        <v>477</v>
      </c>
      <c r="G169" s="67">
        <v>-0.13153456998313659</v>
      </c>
      <c r="H169" s="67">
        <v>-0.12637362637362637</v>
      </c>
      <c r="I169" s="43">
        <v>6929</v>
      </c>
      <c r="J169" s="1">
        <v>6299</v>
      </c>
      <c r="K169" s="1">
        <v>68688</v>
      </c>
      <c r="L169" s="1">
        <v>62830</v>
      </c>
      <c r="M169" s="92">
        <v>0.8</v>
      </c>
      <c r="N169" s="92">
        <v>7.0000000000000007E-2</v>
      </c>
      <c r="O169" s="92">
        <v>0.92999999999999994</v>
      </c>
      <c r="P169" s="92">
        <v>0.72</v>
      </c>
      <c r="Q169" s="92">
        <v>1</v>
      </c>
      <c r="R169" s="17">
        <v>0</v>
      </c>
      <c r="S169" s="17">
        <v>0</v>
      </c>
      <c r="T169" s="259">
        <v>5</v>
      </c>
      <c r="U169" s="258" t="str">
        <f t="shared" si="9"/>
        <v>Normal</v>
      </c>
      <c r="V169" s="258" t="str">
        <f t="shared" si="10"/>
        <v>Normal</v>
      </c>
      <c r="W169" s="264">
        <f t="shared" si="11"/>
        <v>-0.13153456998313659</v>
      </c>
      <c r="X169" s="264">
        <f t="shared" si="12"/>
        <v>-0.12637362637362637</v>
      </c>
    </row>
    <row r="170" spans="1:35">
      <c r="A170" s="194">
        <v>44820</v>
      </c>
      <c r="B170" s="309">
        <f>IF(YEAR(Table9[[#This Row],[Date]]) = 2022, WEEKNUM(Table9[[#This Row],[Date]])-13, WEEKNUM(Table9[[#This Row],[Date]])+40)</f>
        <v>25</v>
      </c>
      <c r="C170" s="34" t="s">
        <v>52</v>
      </c>
      <c r="D170" s="255" t="s">
        <v>59</v>
      </c>
      <c r="E170" s="42">
        <v>388</v>
      </c>
      <c r="F170" s="42">
        <v>378</v>
      </c>
      <c r="G170" s="67">
        <v>-0.3240418118466899</v>
      </c>
      <c r="H170" s="67">
        <v>-0.30642201834862387</v>
      </c>
      <c r="I170" s="1">
        <v>7317</v>
      </c>
      <c r="J170" s="1">
        <v>6677</v>
      </c>
      <c r="K170" s="1">
        <v>69076</v>
      </c>
      <c r="L170" s="1">
        <v>63208</v>
      </c>
      <c r="M170" s="93">
        <v>0.91</v>
      </c>
      <c r="N170" s="93">
        <v>0.03</v>
      </c>
      <c r="O170" s="92">
        <v>0.97</v>
      </c>
      <c r="P170" s="93">
        <v>0.55000000000000004</v>
      </c>
      <c r="Q170" s="92">
        <v>1</v>
      </c>
      <c r="R170" s="108">
        <v>0</v>
      </c>
      <c r="S170" s="108">
        <v>0</v>
      </c>
      <c r="T170" s="259">
        <v>5</v>
      </c>
      <c r="U170" s="258" t="str">
        <f t="shared" si="9"/>
        <v>Normal</v>
      </c>
      <c r="V170" s="258" t="str">
        <f t="shared" si="10"/>
        <v>Normal</v>
      </c>
      <c r="W170" s="264">
        <f t="shared" si="11"/>
        <v>-0.3240418118466899</v>
      </c>
      <c r="X170" s="264">
        <f t="shared" si="12"/>
        <v>-0.30642201834862387</v>
      </c>
    </row>
    <row r="171" spans="1:35">
      <c r="A171" s="194">
        <v>44821</v>
      </c>
      <c r="B171" s="309">
        <f>IF(YEAR(Table9[[#This Row],[Date]]) = 2022, WEEKNUM(Table9[[#This Row],[Date]])-13, WEEKNUM(Table9[[#This Row],[Date]])+40)</f>
        <v>25</v>
      </c>
      <c r="C171" s="35" t="s">
        <v>53</v>
      </c>
      <c r="D171" s="255" t="s">
        <v>59</v>
      </c>
      <c r="E171" s="43">
        <v>144</v>
      </c>
      <c r="F171" s="43">
        <v>132</v>
      </c>
      <c r="G171" s="67">
        <v>-0.14792899408284024</v>
      </c>
      <c r="H171" s="67">
        <v>-0.1951219512195122</v>
      </c>
      <c r="I171" s="43">
        <v>7461</v>
      </c>
      <c r="J171" s="1">
        <v>6809</v>
      </c>
      <c r="K171" s="1">
        <v>69220</v>
      </c>
      <c r="L171" s="1">
        <v>63340</v>
      </c>
      <c r="M171" s="92">
        <v>0.85</v>
      </c>
      <c r="N171" s="92">
        <v>0.08</v>
      </c>
      <c r="O171" s="92">
        <v>0.92</v>
      </c>
      <c r="P171" s="92">
        <v>0.44</v>
      </c>
      <c r="Q171" s="92">
        <v>1</v>
      </c>
      <c r="R171" s="17">
        <v>0</v>
      </c>
      <c r="S171" s="17">
        <v>0</v>
      </c>
      <c r="T171" s="259">
        <v>3</v>
      </c>
      <c r="U171" s="258" t="str">
        <f t="shared" si="9"/>
        <v>Normal</v>
      </c>
      <c r="V171" s="258" t="str">
        <f t="shared" si="10"/>
        <v>Normal</v>
      </c>
      <c r="W171" s="264">
        <f t="shared" si="11"/>
        <v>-0.14792899408284024</v>
      </c>
      <c r="X171" s="264">
        <f t="shared" si="12"/>
        <v>-0.1951219512195122</v>
      </c>
    </row>
    <row r="172" spans="1:35">
      <c r="A172" s="194">
        <v>44822</v>
      </c>
      <c r="B172" s="309">
        <f>IF(YEAR(Table9[[#This Row],[Date]]) = 2022, WEEKNUM(Table9[[#This Row],[Date]])-13, WEEKNUM(Table9[[#This Row],[Date]])+40)</f>
        <v>26</v>
      </c>
      <c r="C172" s="34" t="s">
        <v>47</v>
      </c>
      <c r="D172" s="255" t="s">
        <v>59</v>
      </c>
      <c r="E172" s="42">
        <v>0</v>
      </c>
      <c r="F172" s="42">
        <v>0</v>
      </c>
      <c r="G172" s="67">
        <v>0</v>
      </c>
      <c r="H172" s="67">
        <v>0</v>
      </c>
      <c r="I172" s="32">
        <v>0</v>
      </c>
      <c r="J172" s="32">
        <v>0</v>
      </c>
      <c r="K172" s="32">
        <v>0</v>
      </c>
      <c r="L172" s="32">
        <v>0</v>
      </c>
      <c r="M172" s="93">
        <v>0</v>
      </c>
      <c r="N172" s="93">
        <v>0</v>
      </c>
      <c r="O172" s="93">
        <v>0</v>
      </c>
      <c r="P172" s="93">
        <v>0</v>
      </c>
      <c r="Q172" s="93">
        <v>0</v>
      </c>
      <c r="R172" s="108">
        <v>0</v>
      </c>
      <c r="S172" s="108">
        <v>0</v>
      </c>
      <c r="T172" s="259">
        <v>0</v>
      </c>
      <c r="U172" s="258" t="str">
        <f t="shared" si="9"/>
        <v>Normal</v>
      </c>
      <c r="V172" s="258" t="str">
        <f t="shared" si="10"/>
        <v>Normal</v>
      </c>
      <c r="W172" s="264">
        <f t="shared" si="11"/>
        <v>0</v>
      </c>
      <c r="X172" s="264">
        <f t="shared" si="12"/>
        <v>0</v>
      </c>
    </row>
    <row r="173" spans="1:35">
      <c r="A173" s="194">
        <v>44823</v>
      </c>
      <c r="B173" s="309">
        <f>IF(YEAR(Table9[[#This Row],[Date]]) = 2022, WEEKNUM(Table9[[#This Row],[Date]])-13, WEEKNUM(Table9[[#This Row],[Date]])+40)</f>
        <v>26</v>
      </c>
      <c r="C173" s="35" t="s">
        <v>48</v>
      </c>
      <c r="D173" s="255" t="s">
        <v>59</v>
      </c>
      <c r="E173" s="43">
        <v>443</v>
      </c>
      <c r="F173" s="43">
        <v>415</v>
      </c>
      <c r="G173" s="67">
        <v>-0.28200972447325767</v>
      </c>
      <c r="H173" s="67">
        <v>-0.2795138888888889</v>
      </c>
      <c r="I173" s="1">
        <v>7904</v>
      </c>
      <c r="J173" s="1">
        <v>7224</v>
      </c>
      <c r="K173" s="1">
        <v>69663</v>
      </c>
      <c r="L173" s="1">
        <v>63755</v>
      </c>
      <c r="M173" s="92">
        <v>0.86</v>
      </c>
      <c r="N173" s="92">
        <v>0.06</v>
      </c>
      <c r="O173" s="92">
        <v>0.94</v>
      </c>
      <c r="P173" s="92">
        <v>0.64</v>
      </c>
      <c r="Q173" s="92">
        <v>1</v>
      </c>
      <c r="R173" s="17">
        <v>0</v>
      </c>
      <c r="S173" s="17">
        <v>0</v>
      </c>
      <c r="T173" s="259">
        <v>5</v>
      </c>
      <c r="U173" s="258" t="str">
        <f t="shared" si="9"/>
        <v>Normal</v>
      </c>
      <c r="V173" s="258" t="str">
        <f t="shared" si="10"/>
        <v>Normal</v>
      </c>
      <c r="W173" s="264">
        <f t="shared" si="11"/>
        <v>-0.28200972447325767</v>
      </c>
      <c r="X173" s="264">
        <f t="shared" si="12"/>
        <v>-0.2795138888888889</v>
      </c>
    </row>
    <row r="174" spans="1:35">
      <c r="A174" s="194">
        <v>44824</v>
      </c>
      <c r="B174" s="309">
        <f>IF(YEAR(Table9[[#This Row],[Date]]) = 2022, WEEKNUM(Table9[[#This Row],[Date]])-13, WEEKNUM(Table9[[#This Row],[Date]])+40)</f>
        <v>26</v>
      </c>
      <c r="C174" s="34" t="s">
        <v>49</v>
      </c>
      <c r="D174" s="255" t="s">
        <v>59</v>
      </c>
      <c r="E174" s="42">
        <v>588</v>
      </c>
      <c r="F174" s="42">
        <v>548</v>
      </c>
      <c r="G174" s="67">
        <v>-1.8363939899833055E-2</v>
      </c>
      <c r="H174" s="67">
        <v>3.007518796992481E-2</v>
      </c>
      <c r="I174" s="32">
        <v>8492</v>
      </c>
      <c r="J174" s="32">
        <v>7772</v>
      </c>
      <c r="K174" s="32">
        <v>70251</v>
      </c>
      <c r="L174" s="32">
        <v>64303</v>
      </c>
      <c r="M174" s="93">
        <v>0.81</v>
      </c>
      <c r="N174" s="93">
        <v>7.0000000000000007E-2</v>
      </c>
      <c r="O174" s="92">
        <v>0.92999999999999994</v>
      </c>
      <c r="P174" s="92">
        <v>0.78</v>
      </c>
      <c r="Q174" s="93">
        <v>1</v>
      </c>
      <c r="R174" s="108">
        <v>0</v>
      </c>
      <c r="S174" s="108">
        <v>0</v>
      </c>
      <c r="T174" s="259">
        <v>5</v>
      </c>
      <c r="U174" s="258" t="str">
        <f t="shared" si="9"/>
        <v>Normal</v>
      </c>
      <c r="V174" s="258" t="str">
        <f t="shared" si="10"/>
        <v>Normal</v>
      </c>
      <c r="W174" s="264">
        <f t="shared" si="11"/>
        <v>-1.8363939899833055E-2</v>
      </c>
      <c r="X174" s="264">
        <f t="shared" si="12"/>
        <v>3.007518796992481E-2</v>
      </c>
    </row>
    <row r="175" spans="1:35">
      <c r="A175" s="194">
        <v>44825</v>
      </c>
      <c r="B175" s="309">
        <f>IF(YEAR(Table9[[#This Row],[Date]]) = 2022, WEEKNUM(Table9[[#This Row],[Date]])-13, WEEKNUM(Table9[[#This Row],[Date]])+40)</f>
        <v>26</v>
      </c>
      <c r="C175" s="35" t="s">
        <v>50</v>
      </c>
      <c r="D175" s="255" t="s">
        <v>59</v>
      </c>
      <c r="E175" s="43">
        <v>525</v>
      </c>
      <c r="F175" s="43">
        <v>477</v>
      </c>
      <c r="G175" s="67">
        <v>9.6153846153846159E-3</v>
      </c>
      <c r="H175" s="67">
        <v>-2.0533880903490759E-2</v>
      </c>
      <c r="I175" s="1">
        <v>9017</v>
      </c>
      <c r="J175" s="1">
        <v>8249</v>
      </c>
      <c r="K175" s="1">
        <v>70776</v>
      </c>
      <c r="L175" s="1">
        <v>64780</v>
      </c>
      <c r="M175" s="92">
        <v>0.74</v>
      </c>
      <c r="N175" s="92">
        <v>0.09</v>
      </c>
      <c r="O175" s="92">
        <v>0.91</v>
      </c>
      <c r="P175" s="92">
        <v>0.72</v>
      </c>
      <c r="Q175" s="92">
        <v>1</v>
      </c>
      <c r="R175" s="17">
        <v>0</v>
      </c>
      <c r="S175" s="17">
        <v>0</v>
      </c>
      <c r="T175" s="259">
        <v>5</v>
      </c>
      <c r="U175" s="258" t="str">
        <f t="shared" si="9"/>
        <v>Normal</v>
      </c>
      <c r="V175" s="258" t="str">
        <f t="shared" si="10"/>
        <v>Normal</v>
      </c>
      <c r="W175" s="264">
        <f t="shared" si="11"/>
        <v>9.6153846153846159E-3</v>
      </c>
      <c r="X175" s="264">
        <f t="shared" si="12"/>
        <v>-2.0533880903490759E-2</v>
      </c>
    </row>
    <row r="176" spans="1:35">
      <c r="A176" s="194">
        <v>44826</v>
      </c>
      <c r="B176" s="309">
        <f>IF(YEAR(Table9[[#This Row],[Date]]) = 2022, WEEKNUM(Table9[[#This Row],[Date]])-13, WEEKNUM(Table9[[#This Row],[Date]])+40)</f>
        <v>26</v>
      </c>
      <c r="C176" s="34" t="s">
        <v>51</v>
      </c>
      <c r="D176" s="255" t="s">
        <v>59</v>
      </c>
      <c r="E176" s="42">
        <v>505</v>
      </c>
      <c r="F176" s="42">
        <v>454</v>
      </c>
      <c r="G176" s="67">
        <v>-1.9417475728155338E-2</v>
      </c>
      <c r="H176" s="67">
        <v>-4.8218029350104823E-2</v>
      </c>
      <c r="I176" s="43">
        <v>9522</v>
      </c>
      <c r="J176" s="1">
        <v>8703</v>
      </c>
      <c r="K176" s="1">
        <v>71281</v>
      </c>
      <c r="L176" s="1">
        <v>65234</v>
      </c>
      <c r="M176" s="93">
        <v>0.76</v>
      </c>
      <c r="N176" s="93">
        <v>0.1</v>
      </c>
      <c r="O176" s="92">
        <v>0.9</v>
      </c>
      <c r="P176" s="93">
        <v>0.68</v>
      </c>
      <c r="Q176" s="93">
        <v>1</v>
      </c>
      <c r="R176" s="108">
        <v>0</v>
      </c>
      <c r="S176" s="108">
        <v>0</v>
      </c>
      <c r="T176" s="259">
        <v>5</v>
      </c>
      <c r="U176" s="258" t="str">
        <f t="shared" si="9"/>
        <v>Normal</v>
      </c>
      <c r="V176" s="258" t="str">
        <f t="shared" si="10"/>
        <v>Normal</v>
      </c>
      <c r="W176" s="264">
        <f t="shared" si="11"/>
        <v>-1.9417475728155338E-2</v>
      </c>
      <c r="X176" s="264">
        <f t="shared" si="12"/>
        <v>-4.8218029350104823E-2</v>
      </c>
    </row>
    <row r="177" spans="1:38">
      <c r="A177" s="194">
        <v>44827</v>
      </c>
      <c r="B177" s="309">
        <f>IF(YEAR(Table9[[#This Row],[Date]]) = 2022, WEEKNUM(Table9[[#This Row],[Date]])-13, WEEKNUM(Table9[[#This Row],[Date]])+40)</f>
        <v>26</v>
      </c>
      <c r="C177" s="35" t="s">
        <v>52</v>
      </c>
      <c r="D177" s="255" t="s">
        <v>59</v>
      </c>
      <c r="E177" s="43">
        <v>538</v>
      </c>
      <c r="F177" s="43">
        <v>485</v>
      </c>
      <c r="G177" s="67">
        <v>0.38659793814432991</v>
      </c>
      <c r="H177" s="67">
        <v>0.28306878306878308</v>
      </c>
      <c r="I177" s="1">
        <v>10060</v>
      </c>
      <c r="J177" s="1">
        <v>9188</v>
      </c>
      <c r="K177" s="1">
        <v>71819</v>
      </c>
      <c r="L177" s="1">
        <v>65719</v>
      </c>
      <c r="M177" s="92">
        <v>0.76</v>
      </c>
      <c r="N177" s="92">
        <v>0.1</v>
      </c>
      <c r="O177" s="92">
        <v>0.9</v>
      </c>
      <c r="P177" s="92">
        <v>0.7</v>
      </c>
      <c r="Q177" s="93">
        <v>1</v>
      </c>
      <c r="R177" s="17">
        <v>0</v>
      </c>
      <c r="S177" s="17">
        <v>0</v>
      </c>
      <c r="T177" s="259">
        <v>5</v>
      </c>
      <c r="U177" s="258" t="str">
        <f t="shared" si="9"/>
        <v>Normal</v>
      </c>
      <c r="V177" s="258" t="str">
        <f t="shared" si="10"/>
        <v>Normal</v>
      </c>
      <c r="W177" s="264">
        <f t="shared" si="11"/>
        <v>0.38659793814432991</v>
      </c>
      <c r="X177" s="264">
        <f t="shared" si="12"/>
        <v>0.28306878306878308</v>
      </c>
    </row>
    <row r="178" spans="1:38">
      <c r="A178" s="194">
        <v>44828</v>
      </c>
      <c r="B178" s="309">
        <f>IF(YEAR(Table9[[#This Row],[Date]]) = 2022, WEEKNUM(Table9[[#This Row],[Date]])-13, WEEKNUM(Table9[[#This Row],[Date]])+40)</f>
        <v>26</v>
      </c>
      <c r="C178" s="34" t="s">
        <v>53</v>
      </c>
      <c r="D178" s="255" t="s">
        <v>59</v>
      </c>
      <c r="E178" s="42">
        <v>154</v>
      </c>
      <c r="F178" s="42">
        <v>151</v>
      </c>
      <c r="G178" s="67">
        <v>6.9444444444444448E-2</v>
      </c>
      <c r="H178" s="67">
        <v>0.14393939393939395</v>
      </c>
      <c r="I178" s="43">
        <v>10214</v>
      </c>
      <c r="J178" s="1">
        <v>9339</v>
      </c>
      <c r="K178" s="1">
        <v>71973</v>
      </c>
      <c r="L178" s="1">
        <v>65870</v>
      </c>
      <c r="M178" s="93">
        <v>0.94</v>
      </c>
      <c r="N178" s="93">
        <v>0.02</v>
      </c>
      <c r="O178" s="92">
        <v>0.98</v>
      </c>
      <c r="P178" s="93">
        <v>0.46</v>
      </c>
      <c r="Q178" s="93">
        <v>1</v>
      </c>
      <c r="R178" s="108">
        <v>0</v>
      </c>
      <c r="S178" s="108">
        <v>0</v>
      </c>
      <c r="T178" s="259">
        <v>4</v>
      </c>
      <c r="U178" s="258" t="str">
        <f t="shared" si="9"/>
        <v>Normal</v>
      </c>
      <c r="V178" s="258" t="str">
        <f t="shared" si="10"/>
        <v>Normal</v>
      </c>
      <c r="W178" s="264">
        <f t="shared" si="11"/>
        <v>6.9444444444444448E-2</v>
      </c>
      <c r="X178" s="264">
        <f t="shared" si="12"/>
        <v>0.14393939393939395</v>
      </c>
    </row>
    <row r="179" spans="1:38">
      <c r="A179" s="194">
        <v>44829</v>
      </c>
      <c r="B179" s="309">
        <f>IF(YEAR(Table9[[#This Row],[Date]]) = 2022, WEEKNUM(Table9[[#This Row],[Date]])-13, WEEKNUM(Table9[[#This Row],[Date]])+40)</f>
        <v>27</v>
      </c>
      <c r="C179" s="35" t="s">
        <v>47</v>
      </c>
      <c r="D179" s="255" t="s">
        <v>59</v>
      </c>
      <c r="E179" s="43">
        <v>0</v>
      </c>
      <c r="F179" s="43">
        <v>0</v>
      </c>
      <c r="G179" s="67">
        <v>0</v>
      </c>
      <c r="H179" s="67">
        <v>0</v>
      </c>
      <c r="I179" s="1">
        <v>0</v>
      </c>
      <c r="J179" s="1">
        <v>0</v>
      </c>
      <c r="K179" s="1">
        <v>0</v>
      </c>
      <c r="L179" s="1">
        <v>0</v>
      </c>
      <c r="M179" s="92">
        <v>0</v>
      </c>
      <c r="N179" s="92">
        <v>0</v>
      </c>
      <c r="O179" s="92">
        <v>0</v>
      </c>
      <c r="P179" s="92">
        <v>0</v>
      </c>
      <c r="Q179" s="92">
        <v>0</v>
      </c>
      <c r="R179" s="17">
        <v>0</v>
      </c>
      <c r="S179" s="17">
        <v>0</v>
      </c>
      <c r="T179" s="259">
        <v>0</v>
      </c>
      <c r="U179" s="258" t="str">
        <f t="shared" si="9"/>
        <v>Normal</v>
      </c>
      <c r="V179" s="258" t="str">
        <f t="shared" si="10"/>
        <v>Normal</v>
      </c>
      <c r="W179" s="264">
        <f t="shared" si="11"/>
        <v>0</v>
      </c>
      <c r="X179" s="264">
        <f t="shared" si="12"/>
        <v>0</v>
      </c>
      <c r="AJ179">
        <f>AVERAGEIF(Q349:Q355,"&lt;&gt;0")</f>
        <v>1</v>
      </c>
    </row>
    <row r="180" spans="1:38">
      <c r="A180" s="194">
        <v>44830</v>
      </c>
      <c r="B180" s="309">
        <f>IF(YEAR(Table9[[#This Row],[Date]]) = 2022, WEEKNUM(Table9[[#This Row],[Date]])-13, WEEKNUM(Table9[[#This Row],[Date]])+40)</f>
        <v>27</v>
      </c>
      <c r="C180" s="35" t="s">
        <v>48</v>
      </c>
      <c r="D180" s="255" t="s">
        <v>59</v>
      </c>
      <c r="E180" s="43">
        <v>543</v>
      </c>
      <c r="F180" s="43">
        <v>512</v>
      </c>
      <c r="G180" s="67">
        <f>(Table2[[#This Row],[Calls Off]]-E173)/E173</f>
        <v>0.22573363431151242</v>
      </c>
      <c r="H180" s="67">
        <v>0.23373493975903614</v>
      </c>
      <c r="I180" s="43">
        <v>10757</v>
      </c>
      <c r="J180" s="1">
        <v>9851</v>
      </c>
      <c r="K180" s="1">
        <v>72516</v>
      </c>
      <c r="L180" s="1">
        <v>66382</v>
      </c>
      <c r="M180" s="18">
        <v>0.83</v>
      </c>
      <c r="N180" s="92">
        <v>0.06</v>
      </c>
      <c r="O180" s="92">
        <v>0.94</v>
      </c>
      <c r="P180" s="92">
        <v>0.72</v>
      </c>
      <c r="Q180" s="92">
        <v>1</v>
      </c>
      <c r="R180" s="17">
        <v>0</v>
      </c>
      <c r="S180" s="17">
        <v>0</v>
      </c>
      <c r="T180" s="259">
        <v>5</v>
      </c>
      <c r="U180" s="258" t="str">
        <f t="shared" si="9"/>
        <v>Normal</v>
      </c>
      <c r="V180" s="258" t="str">
        <f t="shared" si="10"/>
        <v>Normal</v>
      </c>
      <c r="W180" s="264">
        <f t="shared" si="11"/>
        <v>0.22573363431151242</v>
      </c>
      <c r="X180" s="264">
        <f t="shared" si="12"/>
        <v>0.23373493975903614</v>
      </c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</row>
    <row r="181" spans="1:38">
      <c r="A181" s="194">
        <v>44831</v>
      </c>
      <c r="B181" s="309">
        <f>IF(YEAR(Table9[[#This Row],[Date]]) = 2022, WEEKNUM(Table9[[#This Row],[Date]])-13, WEEKNUM(Table9[[#This Row],[Date]])+40)</f>
        <v>27</v>
      </c>
      <c r="C181" s="35" t="s">
        <v>49</v>
      </c>
      <c r="D181" s="255" t="s">
        <v>59</v>
      </c>
      <c r="E181" s="43">
        <v>527</v>
      </c>
      <c r="F181" s="43">
        <v>465</v>
      </c>
      <c r="G181" s="67">
        <v>-0.10374149659863946</v>
      </c>
      <c r="H181" s="67">
        <v>-0.15145985401459855</v>
      </c>
      <c r="I181" s="43">
        <v>11284</v>
      </c>
      <c r="J181" s="1">
        <v>10316</v>
      </c>
      <c r="K181" s="1">
        <v>73043</v>
      </c>
      <c r="L181" s="1">
        <v>66847</v>
      </c>
      <c r="M181" s="92">
        <v>0.71</v>
      </c>
      <c r="N181" s="92">
        <v>0.12</v>
      </c>
      <c r="O181" s="92">
        <v>0.88</v>
      </c>
      <c r="P181" s="92">
        <v>0.69</v>
      </c>
      <c r="Q181" s="92">
        <v>1</v>
      </c>
      <c r="R181" s="17">
        <v>0</v>
      </c>
      <c r="S181" s="17">
        <v>0</v>
      </c>
      <c r="T181" s="259">
        <v>5</v>
      </c>
      <c r="U181" s="258" t="str">
        <f t="shared" si="9"/>
        <v>Normal</v>
      </c>
      <c r="V181" s="258" t="str">
        <f t="shared" si="10"/>
        <v>Normal</v>
      </c>
      <c r="W181" s="264">
        <f t="shared" si="11"/>
        <v>-0.10374149659863946</v>
      </c>
      <c r="X181" s="264">
        <f t="shared" si="12"/>
        <v>-0.15145985401459855</v>
      </c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</row>
    <row r="182" spans="1:38">
      <c r="A182" s="194">
        <v>44832</v>
      </c>
      <c r="B182" s="309">
        <f>IF(YEAR(Table9[[#This Row],[Date]]) = 2022, WEEKNUM(Table9[[#This Row],[Date]])-13, WEEKNUM(Table9[[#This Row],[Date]])+40)</f>
        <v>27</v>
      </c>
      <c r="C182" s="34" t="s">
        <v>50</v>
      </c>
      <c r="D182" s="255" t="s">
        <v>59</v>
      </c>
      <c r="E182" s="43">
        <v>608</v>
      </c>
      <c r="F182" s="43">
        <v>545</v>
      </c>
      <c r="G182" s="67">
        <v>0.15809523809523809</v>
      </c>
      <c r="H182" s="67">
        <v>0.14255765199161424</v>
      </c>
      <c r="I182" s="43">
        <v>11892</v>
      </c>
      <c r="J182" s="1">
        <v>10861</v>
      </c>
      <c r="K182" s="1">
        <v>73651</v>
      </c>
      <c r="L182" s="1">
        <v>67392</v>
      </c>
      <c r="M182" s="18">
        <v>0.71</v>
      </c>
      <c r="N182" s="92">
        <v>0.17</v>
      </c>
      <c r="O182" s="92">
        <v>0.83</v>
      </c>
      <c r="P182" s="92">
        <v>0.83</v>
      </c>
      <c r="Q182" s="92">
        <v>1</v>
      </c>
      <c r="R182" s="108">
        <v>0</v>
      </c>
      <c r="S182" s="108">
        <v>0</v>
      </c>
      <c r="T182" s="259">
        <v>5</v>
      </c>
      <c r="U182" s="258" t="str">
        <f t="shared" si="9"/>
        <v>Normal</v>
      </c>
      <c r="V182" s="258" t="str">
        <f t="shared" si="10"/>
        <v>Normal</v>
      </c>
      <c r="W182" s="264">
        <f t="shared" si="11"/>
        <v>0.15809523809523809</v>
      </c>
      <c r="X182" s="264">
        <f t="shared" si="12"/>
        <v>0.14255765199161424</v>
      </c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</row>
    <row r="183" spans="1:38">
      <c r="A183" s="194">
        <v>44833</v>
      </c>
      <c r="B183" s="309">
        <f>IF(YEAR(Table9[[#This Row],[Date]]) = 2022, WEEKNUM(Table9[[#This Row],[Date]])-13, WEEKNUM(Table9[[#This Row],[Date]])+40)</f>
        <v>27</v>
      </c>
      <c r="C183" s="35" t="s">
        <v>51</v>
      </c>
      <c r="D183" s="255" t="s">
        <v>59</v>
      </c>
      <c r="E183" s="43">
        <v>498</v>
      </c>
      <c r="F183" s="43">
        <v>477</v>
      </c>
      <c r="G183" s="67">
        <v>-1.3861386138613862E-2</v>
      </c>
      <c r="H183" s="67">
        <v>5.0660792951541848E-2</v>
      </c>
      <c r="I183" s="43">
        <v>12390</v>
      </c>
      <c r="J183" s="1">
        <v>11338</v>
      </c>
      <c r="K183" s="1">
        <v>74149</v>
      </c>
      <c r="L183" s="1">
        <v>67869</v>
      </c>
      <c r="M183" s="92">
        <v>0.86</v>
      </c>
      <c r="N183" s="92">
        <v>0.04</v>
      </c>
      <c r="O183" s="92">
        <v>0.96</v>
      </c>
      <c r="P183" s="92">
        <v>0.72</v>
      </c>
      <c r="Q183" s="92">
        <v>1</v>
      </c>
      <c r="R183" s="17">
        <v>0</v>
      </c>
      <c r="S183" s="17">
        <v>0</v>
      </c>
      <c r="T183" s="259">
        <v>5</v>
      </c>
      <c r="U183" s="258" t="str">
        <f t="shared" si="9"/>
        <v>Normal</v>
      </c>
      <c r="V183" s="258" t="str">
        <f t="shared" si="10"/>
        <v>Normal</v>
      </c>
      <c r="W183" s="264">
        <f t="shared" si="11"/>
        <v>-1.3861386138613862E-2</v>
      </c>
      <c r="X183" s="264">
        <f t="shared" si="12"/>
        <v>5.0660792951541848E-2</v>
      </c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</row>
    <row r="184" spans="1:38" s="50" customFormat="1">
      <c r="A184" s="197">
        <v>44834</v>
      </c>
      <c r="B184" s="312">
        <f>IF(YEAR(Table9[[#This Row],[Date]]) = 2022, WEEKNUM(Table9[[#This Row],[Date]])-13, WEEKNUM(Table9[[#This Row],[Date]])+40)</f>
        <v>27</v>
      </c>
      <c r="C184" s="103" t="s">
        <v>52</v>
      </c>
      <c r="D184" s="255" t="s">
        <v>59</v>
      </c>
      <c r="E184" s="101">
        <v>518</v>
      </c>
      <c r="F184" s="101">
        <v>465</v>
      </c>
      <c r="G184" s="81">
        <v>-3.717472118959108E-2</v>
      </c>
      <c r="H184" s="81">
        <v>-4.1237113402061855E-2</v>
      </c>
      <c r="I184" s="101">
        <v>12908</v>
      </c>
      <c r="J184" s="52">
        <v>11803</v>
      </c>
      <c r="K184" s="52">
        <v>74667</v>
      </c>
      <c r="L184" s="52">
        <v>68334</v>
      </c>
      <c r="M184" s="53">
        <v>0.68</v>
      </c>
      <c r="N184" s="102">
        <v>0.1</v>
      </c>
      <c r="O184" s="102">
        <v>0.9</v>
      </c>
      <c r="P184" s="102">
        <v>0.9</v>
      </c>
      <c r="Q184" s="102">
        <v>1</v>
      </c>
      <c r="R184" s="126">
        <v>0</v>
      </c>
      <c r="S184" s="126">
        <v>0</v>
      </c>
      <c r="T184" s="259">
        <v>4</v>
      </c>
      <c r="U184" s="258" t="str">
        <f t="shared" si="9"/>
        <v>Normal</v>
      </c>
      <c r="V184" s="258" t="str">
        <f t="shared" si="10"/>
        <v>Normal</v>
      </c>
      <c r="W184" s="264">
        <f t="shared" si="11"/>
        <v>-3.717472118959108E-2</v>
      </c>
      <c r="X184" s="264">
        <f t="shared" si="12"/>
        <v>-4.1237113402061855E-2</v>
      </c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t="s">
        <v>72</v>
      </c>
      <c r="AK184"/>
      <c r="AL184"/>
    </row>
    <row r="185" spans="1:38">
      <c r="A185" s="194">
        <v>44835</v>
      </c>
      <c r="B185" s="309">
        <f>IF(YEAR(Table9[[#This Row],[Date]]) = 2022, WEEKNUM(Table9[[#This Row],[Date]])-13, WEEKNUM(Table9[[#This Row],[Date]])+40)</f>
        <v>27</v>
      </c>
      <c r="C185" s="35" t="s">
        <v>53</v>
      </c>
      <c r="D185" s="255" t="s">
        <v>59</v>
      </c>
      <c r="E185" s="43">
        <v>203</v>
      </c>
      <c r="F185" s="43">
        <v>193</v>
      </c>
      <c r="G185" s="67">
        <v>0.31818181818181818</v>
      </c>
      <c r="H185" s="67">
        <v>0.27814569536423839</v>
      </c>
      <c r="I185" s="43">
        <v>203</v>
      </c>
      <c r="J185" s="1">
        <v>193</v>
      </c>
      <c r="K185" s="1">
        <v>74870</v>
      </c>
      <c r="L185" s="1">
        <v>68527</v>
      </c>
      <c r="M185" s="92">
        <v>0.83</v>
      </c>
      <c r="N185" s="92">
        <v>0.05</v>
      </c>
      <c r="O185" s="92">
        <v>0.95</v>
      </c>
      <c r="P185" s="92">
        <v>0.59</v>
      </c>
      <c r="Q185" s="92">
        <v>1</v>
      </c>
      <c r="R185" s="17">
        <v>0</v>
      </c>
      <c r="S185" s="17">
        <v>0</v>
      </c>
      <c r="T185" s="259">
        <v>4</v>
      </c>
      <c r="U185" s="258" t="str">
        <f t="shared" si="9"/>
        <v>Normal</v>
      </c>
      <c r="V185" s="258" t="str">
        <f t="shared" si="10"/>
        <v>Normal</v>
      </c>
      <c r="W185" s="264">
        <f t="shared" si="11"/>
        <v>0.31818181818181818</v>
      </c>
      <c r="X185" s="264">
        <f t="shared" si="12"/>
        <v>0.27814569536423839</v>
      </c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116"/>
      <c r="AK185" s="116"/>
      <c r="AL185" s="116"/>
    </row>
    <row r="186" spans="1:38">
      <c r="A186" s="194">
        <v>44836</v>
      </c>
      <c r="B186" s="309">
        <f>IF(YEAR(Table9[[#This Row],[Date]]) = 2022, WEEKNUM(Table9[[#This Row],[Date]])-13, WEEKNUM(Table9[[#This Row],[Date]])+40)</f>
        <v>28</v>
      </c>
      <c r="C186" s="34" t="s">
        <v>47</v>
      </c>
      <c r="D186" s="255" t="s">
        <v>59</v>
      </c>
      <c r="E186" s="43">
        <v>0</v>
      </c>
      <c r="F186" s="43">
        <v>0</v>
      </c>
      <c r="G186" s="67">
        <v>0</v>
      </c>
      <c r="H186" s="67">
        <v>0</v>
      </c>
      <c r="I186" s="1">
        <v>0</v>
      </c>
      <c r="J186" s="1">
        <v>0</v>
      </c>
      <c r="K186" s="1">
        <v>0</v>
      </c>
      <c r="L186" s="1">
        <v>0</v>
      </c>
      <c r="M186" s="92">
        <v>0</v>
      </c>
      <c r="N186" s="92">
        <v>0</v>
      </c>
      <c r="O186" s="92">
        <v>0</v>
      </c>
      <c r="P186" s="92">
        <v>0</v>
      </c>
      <c r="Q186" s="92">
        <v>0</v>
      </c>
      <c r="R186" s="17">
        <v>0</v>
      </c>
      <c r="S186" s="17">
        <v>0</v>
      </c>
      <c r="T186" s="259">
        <v>0</v>
      </c>
      <c r="U186" s="258" t="str">
        <f t="shared" si="9"/>
        <v>Normal</v>
      </c>
      <c r="V186" s="258" t="str">
        <f t="shared" si="10"/>
        <v>Normal</v>
      </c>
      <c r="W186" s="264">
        <f t="shared" si="11"/>
        <v>0</v>
      </c>
      <c r="X186" s="264">
        <f t="shared" si="12"/>
        <v>0</v>
      </c>
    </row>
    <row r="187" spans="1:38">
      <c r="A187" s="194">
        <v>44837</v>
      </c>
      <c r="B187" s="309">
        <f>IF(YEAR(Table9[[#This Row],[Date]]) = 2022, WEEKNUM(Table9[[#This Row],[Date]])-13, WEEKNUM(Table9[[#This Row],[Date]])+40)</f>
        <v>28</v>
      </c>
      <c r="C187" s="35" t="s">
        <v>48</v>
      </c>
      <c r="D187" s="255" t="s">
        <v>59</v>
      </c>
      <c r="E187" s="43">
        <v>352</v>
      </c>
      <c r="F187" s="43">
        <v>339</v>
      </c>
      <c r="G187" s="67">
        <v>-0.35174953959484345</v>
      </c>
      <c r="H187" s="67">
        <v>-0.337890625</v>
      </c>
      <c r="I187" s="43">
        <v>555</v>
      </c>
      <c r="J187" s="1">
        <v>532</v>
      </c>
      <c r="K187" s="1">
        <v>75222</v>
      </c>
      <c r="L187" s="1">
        <v>68866</v>
      </c>
      <c r="M187" s="92">
        <v>0.91</v>
      </c>
      <c r="N187" s="92">
        <v>0.04</v>
      </c>
      <c r="O187" s="92">
        <v>0.96</v>
      </c>
      <c r="P187" s="92">
        <v>0.51</v>
      </c>
      <c r="Q187" s="92">
        <v>1</v>
      </c>
      <c r="R187" s="17">
        <v>0</v>
      </c>
      <c r="S187" s="17">
        <v>0</v>
      </c>
      <c r="T187" s="259">
        <v>5</v>
      </c>
      <c r="U187" s="258" t="str">
        <f t="shared" si="9"/>
        <v>Normal</v>
      </c>
      <c r="V187" s="258" t="str">
        <f t="shared" si="10"/>
        <v>Normal</v>
      </c>
      <c r="W187" s="264">
        <f t="shared" si="11"/>
        <v>-0.35174953959484345</v>
      </c>
      <c r="X187" s="264">
        <f t="shared" si="12"/>
        <v>-0.337890625</v>
      </c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</row>
    <row r="188" spans="1:38">
      <c r="A188" s="194">
        <v>44838</v>
      </c>
      <c r="B188" s="309">
        <f>IF(YEAR(Table9[[#This Row],[Date]]) = 2022, WEEKNUM(Table9[[#This Row],[Date]])-13, WEEKNUM(Table9[[#This Row],[Date]])+40)</f>
        <v>28</v>
      </c>
      <c r="C188" s="34" t="s">
        <v>49</v>
      </c>
      <c r="D188" s="255" t="s">
        <v>59</v>
      </c>
      <c r="E188" s="42">
        <v>632</v>
      </c>
      <c r="F188" s="42">
        <v>574</v>
      </c>
      <c r="G188" s="67">
        <v>0.19924098671726756</v>
      </c>
      <c r="H188" s="67">
        <v>0.23440860215053763</v>
      </c>
      <c r="I188" s="42">
        <v>1187</v>
      </c>
      <c r="J188" s="32">
        <v>1106</v>
      </c>
      <c r="K188" s="32">
        <v>75854</v>
      </c>
      <c r="L188" s="32">
        <v>69440</v>
      </c>
      <c r="M188" s="93">
        <v>0.79</v>
      </c>
      <c r="N188" s="93">
        <v>0.09</v>
      </c>
      <c r="O188" s="93">
        <v>0.91</v>
      </c>
      <c r="P188" s="93">
        <v>0.87</v>
      </c>
      <c r="Q188" s="93">
        <v>1</v>
      </c>
      <c r="R188" s="17">
        <v>0</v>
      </c>
      <c r="S188" s="17">
        <v>0</v>
      </c>
      <c r="T188" s="259">
        <v>5</v>
      </c>
      <c r="U188" s="258" t="str">
        <f t="shared" si="9"/>
        <v>Normal</v>
      </c>
      <c r="V188" s="258" t="str">
        <f t="shared" si="10"/>
        <v>Normal</v>
      </c>
      <c r="W188" s="264">
        <f t="shared" si="11"/>
        <v>0.19924098671726756</v>
      </c>
      <c r="X188" s="264">
        <f t="shared" si="12"/>
        <v>0.23440860215053763</v>
      </c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</row>
    <row r="189" spans="1:38">
      <c r="A189" s="194">
        <v>44839</v>
      </c>
      <c r="B189" s="309">
        <f>IF(YEAR(Table9[[#This Row],[Date]]) = 2022, WEEKNUM(Table9[[#This Row],[Date]])-13, WEEKNUM(Table9[[#This Row],[Date]])+40)</f>
        <v>28</v>
      </c>
      <c r="C189" s="35" t="s">
        <v>50</v>
      </c>
      <c r="D189" s="255" t="s">
        <v>59</v>
      </c>
      <c r="E189" s="43">
        <v>599</v>
      </c>
      <c r="F189" s="43">
        <v>563</v>
      </c>
      <c r="G189" s="67">
        <v>-1.4802631578947368E-2</v>
      </c>
      <c r="H189" s="67">
        <v>3.3027522935779818E-2</v>
      </c>
      <c r="I189" s="43">
        <v>1786</v>
      </c>
      <c r="J189" s="1">
        <v>1669</v>
      </c>
      <c r="K189" s="1">
        <v>76453</v>
      </c>
      <c r="L189" s="1">
        <v>70003</v>
      </c>
      <c r="M189" s="92">
        <v>0.84</v>
      </c>
      <c r="N189" s="92">
        <v>0.06</v>
      </c>
      <c r="O189" s="92">
        <v>0.94</v>
      </c>
      <c r="P189" s="92">
        <v>0.84</v>
      </c>
      <c r="Q189" s="92">
        <v>1</v>
      </c>
      <c r="R189" s="17">
        <v>0</v>
      </c>
      <c r="S189" s="17">
        <v>0</v>
      </c>
      <c r="T189" s="259">
        <v>5</v>
      </c>
      <c r="U189" s="258" t="str">
        <f t="shared" si="9"/>
        <v>Normal</v>
      </c>
      <c r="V189" s="258" t="str">
        <f t="shared" si="10"/>
        <v>Normal</v>
      </c>
      <c r="W189" s="264">
        <f t="shared" si="11"/>
        <v>-1.4802631578947368E-2</v>
      </c>
      <c r="X189" s="264">
        <f t="shared" si="12"/>
        <v>3.3027522935779818E-2</v>
      </c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</row>
    <row r="190" spans="1:38">
      <c r="A190" s="194">
        <v>44840</v>
      </c>
      <c r="B190" s="309">
        <f>IF(YEAR(Table9[[#This Row],[Date]]) = 2022, WEEKNUM(Table9[[#This Row],[Date]])-13, WEEKNUM(Table9[[#This Row],[Date]])+40)</f>
        <v>28</v>
      </c>
      <c r="C190" s="34" t="s">
        <v>51</v>
      </c>
      <c r="D190" s="255" t="s">
        <v>59</v>
      </c>
      <c r="E190" s="42">
        <v>555</v>
      </c>
      <c r="F190" s="42">
        <v>525</v>
      </c>
      <c r="G190" s="67">
        <v>0.1144578313253012</v>
      </c>
      <c r="H190" s="67">
        <v>0.10062893081761007</v>
      </c>
      <c r="I190" s="42">
        <v>2341</v>
      </c>
      <c r="J190" s="32">
        <v>2194</v>
      </c>
      <c r="K190" s="32">
        <v>77008</v>
      </c>
      <c r="L190" s="32">
        <v>70528</v>
      </c>
      <c r="M190" s="93">
        <v>0.88</v>
      </c>
      <c r="N190" s="93">
        <v>0.05</v>
      </c>
      <c r="O190" s="93">
        <v>0.95</v>
      </c>
      <c r="P190" s="93">
        <v>0.8</v>
      </c>
      <c r="Q190" s="93">
        <v>1</v>
      </c>
      <c r="R190" s="17">
        <v>0</v>
      </c>
      <c r="S190" s="17">
        <v>0</v>
      </c>
      <c r="T190" s="259">
        <v>5</v>
      </c>
      <c r="U190" s="258" t="str">
        <f t="shared" si="9"/>
        <v>Normal</v>
      </c>
      <c r="V190" s="258" t="str">
        <f t="shared" si="10"/>
        <v>Normal</v>
      </c>
      <c r="W190" s="264">
        <f t="shared" si="11"/>
        <v>0.1144578313253012</v>
      </c>
      <c r="X190" s="264">
        <f t="shared" si="12"/>
        <v>0.10062893081761007</v>
      </c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</row>
    <row r="191" spans="1:38">
      <c r="A191" s="194">
        <v>44841</v>
      </c>
      <c r="B191" s="309">
        <f>IF(YEAR(Table9[[#This Row],[Date]]) = 2022, WEEKNUM(Table9[[#This Row],[Date]])-13, WEEKNUM(Table9[[#This Row],[Date]])+40)</f>
        <v>28</v>
      </c>
      <c r="C191" s="35" t="s">
        <v>52</v>
      </c>
      <c r="D191" s="255" t="s">
        <v>59</v>
      </c>
      <c r="E191" s="43">
        <v>522</v>
      </c>
      <c r="F191" s="43">
        <v>494</v>
      </c>
      <c r="G191" s="67">
        <v>7.7220077220077222E-3</v>
      </c>
      <c r="H191" s="67">
        <v>6.236559139784946E-2</v>
      </c>
      <c r="I191" s="43">
        <v>2863</v>
      </c>
      <c r="J191" s="1">
        <v>2688</v>
      </c>
      <c r="K191" s="1">
        <v>77530</v>
      </c>
      <c r="L191" s="1">
        <v>71022</v>
      </c>
      <c r="M191" s="92">
        <v>0.82</v>
      </c>
      <c r="N191" s="92">
        <v>0.05</v>
      </c>
      <c r="O191" s="92">
        <v>0.95</v>
      </c>
      <c r="P191" s="92">
        <v>0.74</v>
      </c>
      <c r="Q191" s="92">
        <v>1</v>
      </c>
      <c r="R191" s="17">
        <v>0</v>
      </c>
      <c r="S191" s="17">
        <v>0</v>
      </c>
      <c r="T191" s="259">
        <v>5</v>
      </c>
      <c r="U191" s="258" t="str">
        <f t="shared" si="9"/>
        <v>Normal</v>
      </c>
      <c r="V191" s="258" t="str">
        <f t="shared" si="10"/>
        <v>Normal</v>
      </c>
      <c r="W191" s="264">
        <f t="shared" si="11"/>
        <v>7.7220077220077222E-3</v>
      </c>
      <c r="X191" s="264">
        <f t="shared" si="12"/>
        <v>6.236559139784946E-2</v>
      </c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</row>
    <row r="192" spans="1:38">
      <c r="A192" s="194">
        <v>44842</v>
      </c>
      <c r="B192" s="309">
        <f>IF(YEAR(Table9[[#This Row],[Date]]) = 2022, WEEKNUM(Table9[[#This Row],[Date]])-13, WEEKNUM(Table9[[#This Row],[Date]])+40)</f>
        <v>28</v>
      </c>
      <c r="C192" s="34" t="s">
        <v>53</v>
      </c>
      <c r="D192" s="255" t="s">
        <v>59</v>
      </c>
      <c r="E192" s="42">
        <v>237</v>
      </c>
      <c r="F192" s="42">
        <v>224</v>
      </c>
      <c r="G192" s="67">
        <v>0.16748768472906403</v>
      </c>
      <c r="H192" s="67">
        <v>0.16062176165803108</v>
      </c>
      <c r="I192" s="42">
        <v>3100</v>
      </c>
      <c r="J192" s="32">
        <v>2912</v>
      </c>
      <c r="K192" s="32">
        <v>77767</v>
      </c>
      <c r="L192" s="32">
        <v>71246</v>
      </c>
      <c r="M192" s="93">
        <v>0.91</v>
      </c>
      <c r="N192" s="93">
        <v>0.05</v>
      </c>
      <c r="O192" s="93">
        <v>0.95</v>
      </c>
      <c r="P192" s="93">
        <v>0.69</v>
      </c>
      <c r="Q192" s="93">
        <v>1</v>
      </c>
      <c r="R192" s="17">
        <v>0</v>
      </c>
      <c r="S192" s="17">
        <v>0</v>
      </c>
      <c r="T192" s="259">
        <v>4</v>
      </c>
      <c r="U192" s="258" t="str">
        <f t="shared" si="9"/>
        <v>Normal</v>
      </c>
      <c r="V192" s="258" t="str">
        <f t="shared" si="10"/>
        <v>Normal</v>
      </c>
      <c r="W192" s="264">
        <f t="shared" si="11"/>
        <v>0.16748768472906403</v>
      </c>
      <c r="X192" s="264">
        <f t="shared" si="12"/>
        <v>0.16062176165803108</v>
      </c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</row>
    <row r="193" spans="1:35">
      <c r="A193" s="194">
        <v>44843</v>
      </c>
      <c r="B193" s="309">
        <f>IF(YEAR(Table9[[#This Row],[Date]]) = 2022, WEEKNUM(Table9[[#This Row],[Date]])-13, WEEKNUM(Table9[[#This Row],[Date]])+40)</f>
        <v>29</v>
      </c>
      <c r="C193" s="35" t="s">
        <v>47</v>
      </c>
      <c r="D193" s="255" t="s">
        <v>59</v>
      </c>
      <c r="E193" s="43">
        <v>0</v>
      </c>
      <c r="F193" s="43">
        <v>0</v>
      </c>
      <c r="G193" s="67">
        <v>0</v>
      </c>
      <c r="H193" s="67">
        <v>0</v>
      </c>
      <c r="I193" s="1">
        <v>0</v>
      </c>
      <c r="J193" s="1">
        <v>0</v>
      </c>
      <c r="K193" s="1">
        <v>0</v>
      </c>
      <c r="L193" s="1">
        <v>0</v>
      </c>
      <c r="M193" s="92">
        <v>0</v>
      </c>
      <c r="N193" s="92">
        <v>0</v>
      </c>
      <c r="O193" s="92">
        <v>0</v>
      </c>
      <c r="P193" s="92">
        <v>0</v>
      </c>
      <c r="Q193" s="92">
        <v>0</v>
      </c>
      <c r="R193" s="17">
        <v>0</v>
      </c>
      <c r="S193" s="17">
        <v>0</v>
      </c>
      <c r="T193" s="259">
        <v>0</v>
      </c>
      <c r="U193" s="258" t="str">
        <f t="shared" si="9"/>
        <v>Normal</v>
      </c>
      <c r="V193" s="258" t="str">
        <f t="shared" si="10"/>
        <v>Normal</v>
      </c>
      <c r="W193" s="264">
        <f t="shared" si="11"/>
        <v>0</v>
      </c>
      <c r="X193" s="264">
        <f t="shared" si="12"/>
        <v>0</v>
      </c>
    </row>
    <row r="194" spans="1:35">
      <c r="A194" s="194">
        <v>44844</v>
      </c>
      <c r="B194" s="309">
        <f>IF(YEAR(Table9[[#This Row],[Date]]) = 2022, WEEKNUM(Table9[[#This Row],[Date]])-13, WEEKNUM(Table9[[#This Row],[Date]])+40)</f>
        <v>29</v>
      </c>
      <c r="C194" s="34" t="s">
        <v>48</v>
      </c>
      <c r="D194" s="255" t="s">
        <v>59</v>
      </c>
      <c r="E194" s="42">
        <v>681</v>
      </c>
      <c r="F194" s="42">
        <v>637</v>
      </c>
      <c r="G194" s="67">
        <v>0.93465909090909094</v>
      </c>
      <c r="H194" s="67">
        <v>0.87905604719764008</v>
      </c>
      <c r="I194" s="42">
        <v>3781</v>
      </c>
      <c r="J194" s="32">
        <v>3549</v>
      </c>
      <c r="K194" s="32">
        <v>78448</v>
      </c>
      <c r="L194" s="32">
        <v>71883</v>
      </c>
      <c r="M194" s="93">
        <v>0.79</v>
      </c>
      <c r="N194" s="93">
        <v>0.06</v>
      </c>
      <c r="O194" s="93">
        <v>0.94</v>
      </c>
      <c r="P194" s="93">
        <v>0.79</v>
      </c>
      <c r="Q194" s="93">
        <v>1</v>
      </c>
      <c r="R194" s="17">
        <v>0</v>
      </c>
      <c r="S194" s="17">
        <v>0</v>
      </c>
      <c r="T194" s="259">
        <v>6</v>
      </c>
      <c r="U194" s="258" t="str">
        <f t="shared" si="9"/>
        <v>Outlier</v>
      </c>
      <c r="V194" s="258" t="str">
        <f t="shared" si="10"/>
        <v>Outlier</v>
      </c>
      <c r="W194" s="264">
        <f t="shared" si="11"/>
        <v>0.93465909090909094</v>
      </c>
      <c r="X194" s="264">
        <f t="shared" si="12"/>
        <v>0.87905604719764008</v>
      </c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</row>
    <row r="195" spans="1:35">
      <c r="A195" s="194">
        <v>44845</v>
      </c>
      <c r="B195" s="309">
        <f>IF(YEAR(Table9[[#This Row],[Date]]) = 2022, WEEKNUM(Table9[[#This Row],[Date]])-13, WEEKNUM(Table9[[#This Row],[Date]])+40)</f>
        <v>29</v>
      </c>
      <c r="C195" s="35" t="s">
        <v>49</v>
      </c>
      <c r="D195" s="255" t="s">
        <v>59</v>
      </c>
      <c r="E195" s="43">
        <v>532</v>
      </c>
      <c r="F195" s="43">
        <v>512</v>
      </c>
      <c r="G195" s="67">
        <v>-0.15822784810126583</v>
      </c>
      <c r="H195" s="67">
        <v>-0.10801393728222997</v>
      </c>
      <c r="I195" s="1">
        <v>4313</v>
      </c>
      <c r="J195" s="1">
        <v>4061</v>
      </c>
      <c r="K195" s="1">
        <v>78980</v>
      </c>
      <c r="L195" s="1">
        <v>72395</v>
      </c>
      <c r="M195" s="92">
        <v>0.89</v>
      </c>
      <c r="N195" s="92">
        <v>0.04</v>
      </c>
      <c r="O195" s="92">
        <v>0.96</v>
      </c>
      <c r="P195" s="92">
        <v>0.64</v>
      </c>
      <c r="Q195" s="92">
        <v>1</v>
      </c>
      <c r="R195" s="17">
        <v>0</v>
      </c>
      <c r="S195" s="17">
        <v>0</v>
      </c>
      <c r="T195" s="259">
        <v>6</v>
      </c>
      <c r="U195" s="258" t="str">
        <f t="shared" ref="U195:U258" si="13">IF(OR(G195&lt;$AA$5,G195&gt;$AB$5), "Outlier", "Normal")</f>
        <v>Normal</v>
      </c>
      <c r="V195" s="258" t="str">
        <f t="shared" ref="V195:V258" si="14">IF(OR(H195&lt;$AA$6,H195&gt;$AB$6), "Outlier", "Normal")</f>
        <v>Normal</v>
      </c>
      <c r="W195" s="264">
        <f t="shared" ref="W195:W258" si="15">IF(U195="Normal",$G195,IF($G195&lt;150%, $G195, $AA$9))</f>
        <v>-0.15822784810126583</v>
      </c>
      <c r="X195" s="264">
        <f t="shared" ref="X195:X258" si="16">IF(V195="Normal",$H195,IF($H195&lt;150%, $H195, $AE$9))</f>
        <v>-0.10801393728222997</v>
      </c>
    </row>
    <row r="196" spans="1:35">
      <c r="A196" s="194">
        <v>44846</v>
      </c>
      <c r="B196" s="309">
        <f>IF(YEAR(Table9[[#This Row],[Date]]) = 2022, WEEKNUM(Table9[[#This Row],[Date]])-13, WEEKNUM(Table9[[#This Row],[Date]])+40)</f>
        <v>29</v>
      </c>
      <c r="C196" s="34" t="s">
        <v>50</v>
      </c>
      <c r="D196" s="255" t="s">
        <v>59</v>
      </c>
      <c r="E196" s="42">
        <v>558</v>
      </c>
      <c r="F196" s="42">
        <v>514</v>
      </c>
      <c r="G196" s="67">
        <v>-6.8447412353923209E-2</v>
      </c>
      <c r="H196" s="67">
        <v>-8.7033747779751328E-2</v>
      </c>
      <c r="I196" s="42">
        <v>4871</v>
      </c>
      <c r="J196" s="32">
        <v>4575</v>
      </c>
      <c r="K196" s="32">
        <v>79538</v>
      </c>
      <c r="L196" s="32">
        <v>72909</v>
      </c>
      <c r="M196" s="93">
        <v>0.79</v>
      </c>
      <c r="N196" s="93">
        <v>0.08</v>
      </c>
      <c r="O196" s="93">
        <v>0.92</v>
      </c>
      <c r="P196" s="93">
        <v>0.66</v>
      </c>
      <c r="Q196" s="93">
        <v>1</v>
      </c>
      <c r="R196" s="17">
        <v>0</v>
      </c>
      <c r="S196" s="17">
        <v>0</v>
      </c>
      <c r="T196" s="259">
        <v>6</v>
      </c>
      <c r="U196" s="258" t="str">
        <f t="shared" si="13"/>
        <v>Normal</v>
      </c>
      <c r="V196" s="258" t="str">
        <f t="shared" si="14"/>
        <v>Normal</v>
      </c>
      <c r="W196" s="264">
        <f t="shared" si="15"/>
        <v>-6.8447412353923209E-2</v>
      </c>
      <c r="X196" s="264">
        <f t="shared" si="16"/>
        <v>-8.7033747779751328E-2</v>
      </c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</row>
    <row r="197" spans="1:35">
      <c r="A197" s="194">
        <v>44847</v>
      </c>
      <c r="B197" s="309">
        <f>IF(YEAR(Table9[[#This Row],[Date]]) = 2022, WEEKNUM(Table9[[#This Row],[Date]])-13, WEEKNUM(Table9[[#This Row],[Date]])+40)</f>
        <v>29</v>
      </c>
      <c r="C197" s="35" t="s">
        <v>51</v>
      </c>
      <c r="D197" s="255" t="s">
        <v>59</v>
      </c>
      <c r="E197" s="43">
        <v>521</v>
      </c>
      <c r="F197" s="43">
        <v>472</v>
      </c>
      <c r="G197" s="67">
        <v>-6.126126126126126E-2</v>
      </c>
      <c r="H197" s="67">
        <v>-0.10095238095238095</v>
      </c>
      <c r="I197" s="1">
        <v>5392</v>
      </c>
      <c r="J197" s="1">
        <v>5047</v>
      </c>
      <c r="K197" s="1">
        <v>80059</v>
      </c>
      <c r="L197" s="1">
        <v>73381</v>
      </c>
      <c r="M197" s="92">
        <v>0.84</v>
      </c>
      <c r="N197" s="92">
        <v>0.06</v>
      </c>
      <c r="O197" s="92">
        <v>0.94</v>
      </c>
      <c r="P197" s="92">
        <v>0.71</v>
      </c>
      <c r="Q197" s="92">
        <v>1</v>
      </c>
      <c r="R197" s="17">
        <v>0</v>
      </c>
      <c r="S197" s="17">
        <v>0</v>
      </c>
      <c r="T197" s="259">
        <v>6</v>
      </c>
      <c r="U197" s="258" t="str">
        <f t="shared" si="13"/>
        <v>Normal</v>
      </c>
      <c r="V197" s="258" t="str">
        <f t="shared" si="14"/>
        <v>Normal</v>
      </c>
      <c r="W197" s="264">
        <f t="shared" si="15"/>
        <v>-6.126126126126126E-2</v>
      </c>
      <c r="X197" s="264">
        <f t="shared" si="16"/>
        <v>-0.10095238095238095</v>
      </c>
    </row>
    <row r="198" spans="1:35">
      <c r="A198" s="194">
        <v>44848</v>
      </c>
      <c r="B198" s="309">
        <f>IF(YEAR(Table9[[#This Row],[Date]]) = 2022, WEEKNUM(Table9[[#This Row],[Date]])-13, WEEKNUM(Table9[[#This Row],[Date]])+40)</f>
        <v>29</v>
      </c>
      <c r="C198" s="34" t="s">
        <v>52</v>
      </c>
      <c r="D198" s="255" t="s">
        <v>59</v>
      </c>
      <c r="E198" s="42">
        <v>483</v>
      </c>
      <c r="F198" s="42">
        <v>443</v>
      </c>
      <c r="G198" s="67">
        <v>-7.4712643678160925E-2</v>
      </c>
      <c r="H198" s="67">
        <v>-0.10323886639676114</v>
      </c>
      <c r="I198" s="42">
        <v>5875</v>
      </c>
      <c r="J198" s="32">
        <v>5490</v>
      </c>
      <c r="K198" s="32">
        <v>80542</v>
      </c>
      <c r="L198" s="32">
        <v>73824</v>
      </c>
      <c r="M198" s="93">
        <v>0.82</v>
      </c>
      <c r="N198" s="93">
        <v>0.08</v>
      </c>
      <c r="O198" s="93">
        <v>0.92</v>
      </c>
      <c r="P198" s="93">
        <v>0.56000000000000005</v>
      </c>
      <c r="Q198" s="93">
        <v>1</v>
      </c>
      <c r="R198" s="17">
        <v>0</v>
      </c>
      <c r="S198" s="17">
        <v>0</v>
      </c>
      <c r="T198" s="259">
        <v>6</v>
      </c>
      <c r="U198" s="258" t="str">
        <f t="shared" si="13"/>
        <v>Normal</v>
      </c>
      <c r="V198" s="258" t="str">
        <f t="shared" si="14"/>
        <v>Normal</v>
      </c>
      <c r="W198" s="264">
        <f t="shared" si="15"/>
        <v>-7.4712643678160925E-2</v>
      </c>
      <c r="X198" s="264">
        <f t="shared" si="16"/>
        <v>-0.10323886639676114</v>
      </c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</row>
    <row r="199" spans="1:35">
      <c r="A199" s="194">
        <v>44849</v>
      </c>
      <c r="B199" s="309">
        <f>IF(YEAR(Table9[[#This Row],[Date]]) = 2022, WEEKNUM(Table9[[#This Row],[Date]])-13, WEEKNUM(Table9[[#This Row],[Date]])+40)</f>
        <v>29</v>
      </c>
      <c r="C199" s="35" t="s">
        <v>53</v>
      </c>
      <c r="D199" s="255" t="s">
        <v>59</v>
      </c>
      <c r="E199" s="43">
        <v>139</v>
      </c>
      <c r="F199" s="43">
        <v>136</v>
      </c>
      <c r="G199" s="67">
        <v>-0.41350210970464135</v>
      </c>
      <c r="H199" s="67">
        <v>-0.39285714285714285</v>
      </c>
      <c r="I199" s="1">
        <v>6014</v>
      </c>
      <c r="J199" s="1">
        <v>5626</v>
      </c>
      <c r="K199" s="1">
        <v>80681</v>
      </c>
      <c r="L199" s="1">
        <v>73960</v>
      </c>
      <c r="M199" s="92">
        <v>0.9</v>
      </c>
      <c r="N199" s="92">
        <v>0.02</v>
      </c>
      <c r="O199" s="92">
        <v>0.98</v>
      </c>
      <c r="P199" s="92">
        <v>0.32</v>
      </c>
      <c r="Q199" s="92">
        <v>1</v>
      </c>
      <c r="R199" s="17">
        <v>0</v>
      </c>
      <c r="S199" s="17">
        <v>0</v>
      </c>
      <c r="T199" s="259">
        <v>4</v>
      </c>
      <c r="U199" s="258" t="str">
        <f t="shared" si="13"/>
        <v>Normal</v>
      </c>
      <c r="V199" s="258" t="str">
        <f t="shared" si="14"/>
        <v>Normal</v>
      </c>
      <c r="W199" s="264">
        <f t="shared" si="15"/>
        <v>-0.41350210970464135</v>
      </c>
      <c r="X199" s="264">
        <f t="shared" si="16"/>
        <v>-0.39285714285714285</v>
      </c>
    </row>
    <row r="200" spans="1:35">
      <c r="A200" s="194">
        <v>44850</v>
      </c>
      <c r="B200" s="309">
        <f>IF(YEAR(Table9[[#This Row],[Date]]) = 2022, WEEKNUM(Table9[[#This Row],[Date]])-13, WEEKNUM(Table9[[#This Row],[Date]])+40)</f>
        <v>30</v>
      </c>
      <c r="C200" s="35" t="s">
        <v>47</v>
      </c>
      <c r="D200" s="255" t="s">
        <v>59</v>
      </c>
      <c r="E200" s="43">
        <v>0</v>
      </c>
      <c r="F200" s="43">
        <v>0</v>
      </c>
      <c r="G200" s="67">
        <v>0</v>
      </c>
      <c r="H200" s="67">
        <v>0</v>
      </c>
      <c r="I200" s="1">
        <v>0</v>
      </c>
      <c r="J200" s="1">
        <v>0</v>
      </c>
      <c r="K200" s="1">
        <v>0</v>
      </c>
      <c r="L200" s="1">
        <v>0</v>
      </c>
      <c r="M200" s="92">
        <v>0</v>
      </c>
      <c r="N200" s="92">
        <v>0</v>
      </c>
      <c r="O200" s="92">
        <v>0</v>
      </c>
      <c r="P200" s="92">
        <v>0</v>
      </c>
      <c r="Q200" s="92">
        <v>0</v>
      </c>
      <c r="R200" s="17">
        <v>0</v>
      </c>
      <c r="S200" s="17">
        <v>0</v>
      </c>
      <c r="T200" s="259">
        <v>0</v>
      </c>
      <c r="U200" s="258" t="str">
        <f t="shared" si="13"/>
        <v>Normal</v>
      </c>
      <c r="V200" s="258" t="str">
        <f t="shared" si="14"/>
        <v>Normal</v>
      </c>
      <c r="W200" s="264">
        <f t="shared" si="15"/>
        <v>0</v>
      </c>
      <c r="X200" s="264">
        <f t="shared" si="16"/>
        <v>0</v>
      </c>
    </row>
    <row r="201" spans="1:35">
      <c r="A201" s="194">
        <v>44851</v>
      </c>
      <c r="B201" s="309">
        <f>IF(YEAR(Table9[[#This Row],[Date]]) = 2022, WEEKNUM(Table9[[#This Row],[Date]])-13, WEEKNUM(Table9[[#This Row],[Date]])+40)</f>
        <v>30</v>
      </c>
      <c r="C201" s="35" t="s">
        <v>48</v>
      </c>
      <c r="D201" s="255" t="s">
        <v>59</v>
      </c>
      <c r="E201" s="43">
        <v>577</v>
      </c>
      <c r="F201" s="43">
        <v>515</v>
      </c>
      <c r="G201" s="67">
        <v>-0.1527165932452276</v>
      </c>
      <c r="H201" s="67">
        <v>-0.19152276295133439</v>
      </c>
      <c r="I201" s="1">
        <v>6591</v>
      </c>
      <c r="J201" s="1">
        <v>6141</v>
      </c>
      <c r="K201" s="1">
        <v>81258</v>
      </c>
      <c r="L201" s="1">
        <v>74475</v>
      </c>
      <c r="M201" s="92">
        <v>0.8</v>
      </c>
      <c r="N201" s="92">
        <v>0.11</v>
      </c>
      <c r="O201" s="92">
        <v>0.89</v>
      </c>
      <c r="P201" s="92">
        <v>0.74</v>
      </c>
      <c r="Q201" s="92">
        <v>1</v>
      </c>
      <c r="R201" s="17">
        <v>0</v>
      </c>
      <c r="S201" s="17">
        <v>0</v>
      </c>
      <c r="T201" s="259">
        <v>6</v>
      </c>
      <c r="U201" s="258" t="str">
        <f t="shared" si="13"/>
        <v>Normal</v>
      </c>
      <c r="V201" s="258" t="str">
        <f t="shared" si="14"/>
        <v>Normal</v>
      </c>
      <c r="W201" s="264">
        <f t="shared" si="15"/>
        <v>-0.1527165932452276</v>
      </c>
      <c r="X201" s="264">
        <f t="shared" si="16"/>
        <v>-0.19152276295133439</v>
      </c>
    </row>
    <row r="202" spans="1:35">
      <c r="A202" s="194">
        <v>44852</v>
      </c>
      <c r="B202" s="309">
        <f>IF(YEAR(Table9[[#This Row],[Date]]) = 2022, WEEKNUM(Table9[[#This Row],[Date]])-13, WEEKNUM(Table9[[#This Row],[Date]])+40)</f>
        <v>30</v>
      </c>
      <c r="C202" s="35" t="s">
        <v>49</v>
      </c>
      <c r="D202" s="255" t="s">
        <v>59</v>
      </c>
      <c r="E202" s="43">
        <v>477</v>
      </c>
      <c r="F202" s="43">
        <v>446</v>
      </c>
      <c r="G202" s="67">
        <v>-0.10338345864661654</v>
      </c>
      <c r="H202" s="67">
        <v>-0.12890625</v>
      </c>
      <c r="I202" s="42">
        <v>7068</v>
      </c>
      <c r="J202" s="32">
        <v>6587</v>
      </c>
      <c r="K202" s="32">
        <v>81735</v>
      </c>
      <c r="L202" s="32">
        <v>74921</v>
      </c>
      <c r="M202" s="92">
        <v>0.86</v>
      </c>
      <c r="N202" s="92">
        <v>0.06</v>
      </c>
      <c r="O202" s="92">
        <v>0.94</v>
      </c>
      <c r="P202" s="92">
        <v>0.66</v>
      </c>
      <c r="Q202" s="92">
        <v>1</v>
      </c>
      <c r="R202" s="17">
        <v>0</v>
      </c>
      <c r="S202" s="17">
        <v>0</v>
      </c>
      <c r="T202" s="259">
        <v>5</v>
      </c>
      <c r="U202" s="258" t="str">
        <f t="shared" si="13"/>
        <v>Normal</v>
      </c>
      <c r="V202" s="258" t="str">
        <f t="shared" si="14"/>
        <v>Normal</v>
      </c>
      <c r="W202" s="264">
        <f t="shared" si="15"/>
        <v>-0.10338345864661654</v>
      </c>
      <c r="X202" s="264">
        <f t="shared" si="16"/>
        <v>-0.12890625</v>
      </c>
    </row>
    <row r="203" spans="1:35">
      <c r="A203" s="194">
        <v>44853</v>
      </c>
      <c r="B203" s="309">
        <f>IF(YEAR(Table9[[#This Row],[Date]]) = 2022, WEEKNUM(Table9[[#This Row],[Date]])-13, WEEKNUM(Table9[[#This Row],[Date]])+40)</f>
        <v>30</v>
      </c>
      <c r="C203" s="35" t="s">
        <v>50</v>
      </c>
      <c r="D203" s="255" t="s">
        <v>59</v>
      </c>
      <c r="E203" s="43">
        <v>481</v>
      </c>
      <c r="F203" s="43">
        <v>450</v>
      </c>
      <c r="G203" s="67">
        <v>-0.13799283154121864</v>
      </c>
      <c r="H203" s="67">
        <v>-0.1245136186770428</v>
      </c>
      <c r="I203" s="1">
        <v>7549</v>
      </c>
      <c r="J203" s="1">
        <v>7037</v>
      </c>
      <c r="K203" s="1">
        <v>82216</v>
      </c>
      <c r="L203" s="1">
        <v>75371</v>
      </c>
      <c r="M203" s="92">
        <v>0.88</v>
      </c>
      <c r="N203" s="92">
        <v>0.06</v>
      </c>
      <c r="O203" s="92">
        <v>0.94</v>
      </c>
      <c r="P203" s="92">
        <v>0.55000000000000004</v>
      </c>
      <c r="Q203" s="92">
        <v>1</v>
      </c>
      <c r="R203" s="17">
        <v>0</v>
      </c>
      <c r="S203" s="17">
        <v>0</v>
      </c>
      <c r="T203" s="259">
        <v>6</v>
      </c>
      <c r="U203" s="258" t="str">
        <f t="shared" si="13"/>
        <v>Normal</v>
      </c>
      <c r="V203" s="258" t="str">
        <f t="shared" si="14"/>
        <v>Normal</v>
      </c>
      <c r="W203" s="264">
        <f t="shared" si="15"/>
        <v>-0.13799283154121864</v>
      </c>
      <c r="X203" s="264">
        <f t="shared" si="16"/>
        <v>-0.1245136186770428</v>
      </c>
    </row>
    <row r="204" spans="1:35">
      <c r="A204" s="194">
        <v>44854</v>
      </c>
      <c r="B204" s="309">
        <f>IF(YEAR(Table9[[#This Row],[Date]]) = 2022, WEEKNUM(Table9[[#This Row],[Date]])-13, WEEKNUM(Table9[[#This Row],[Date]])+40)</f>
        <v>30</v>
      </c>
      <c r="C204" s="35" t="s">
        <v>51</v>
      </c>
      <c r="D204" s="255" t="s">
        <v>59</v>
      </c>
      <c r="E204" s="43">
        <v>429</v>
      </c>
      <c r="F204" s="43">
        <v>408</v>
      </c>
      <c r="G204" s="67">
        <v>-0.1765834932821497</v>
      </c>
      <c r="H204" s="67">
        <v>-0.13559322033898305</v>
      </c>
      <c r="I204" s="1">
        <v>7978</v>
      </c>
      <c r="J204" s="1">
        <v>7445</v>
      </c>
      <c r="K204" s="1">
        <v>82645</v>
      </c>
      <c r="L204" s="1">
        <v>75779</v>
      </c>
      <c r="M204" s="92">
        <v>0.85</v>
      </c>
      <c r="N204" s="92">
        <v>0.05</v>
      </c>
      <c r="O204" s="92">
        <v>0.95</v>
      </c>
      <c r="P204" s="92">
        <v>0.61</v>
      </c>
      <c r="Q204" s="92">
        <v>1</v>
      </c>
      <c r="R204" s="17">
        <v>0</v>
      </c>
      <c r="S204" s="17">
        <v>0</v>
      </c>
      <c r="T204" s="259">
        <v>6</v>
      </c>
      <c r="U204" s="258" t="str">
        <f t="shared" si="13"/>
        <v>Normal</v>
      </c>
      <c r="V204" s="258" t="str">
        <f t="shared" si="14"/>
        <v>Normal</v>
      </c>
      <c r="W204" s="264">
        <f t="shared" si="15"/>
        <v>-0.1765834932821497</v>
      </c>
      <c r="X204" s="264">
        <f t="shared" si="16"/>
        <v>-0.13559322033898305</v>
      </c>
    </row>
    <row r="205" spans="1:35">
      <c r="A205" s="194">
        <v>44855</v>
      </c>
      <c r="B205" s="309">
        <f>IF(YEAR(Table9[[#This Row],[Date]]) = 2022, WEEKNUM(Table9[[#This Row],[Date]])-13, WEEKNUM(Table9[[#This Row],[Date]])+40)</f>
        <v>30</v>
      </c>
      <c r="C205" s="35" t="s">
        <v>52</v>
      </c>
      <c r="D205" s="255" t="s">
        <v>59</v>
      </c>
      <c r="E205" s="43">
        <v>487</v>
      </c>
      <c r="F205" s="43">
        <v>450</v>
      </c>
      <c r="G205" s="67">
        <v>8.2815734989648039E-3</v>
      </c>
      <c r="H205" s="67">
        <v>1.580135440180587E-2</v>
      </c>
      <c r="I205" s="1">
        <v>8465</v>
      </c>
      <c r="J205" s="1">
        <v>7895</v>
      </c>
      <c r="K205" s="1">
        <v>83132</v>
      </c>
      <c r="L205" s="1">
        <v>76229</v>
      </c>
      <c r="M205" s="92">
        <v>0.79</v>
      </c>
      <c r="N205" s="92">
        <v>0.08</v>
      </c>
      <c r="O205" s="92">
        <v>0.92</v>
      </c>
      <c r="P205" s="92">
        <v>0.65</v>
      </c>
      <c r="Q205" s="92">
        <v>1</v>
      </c>
      <c r="R205" s="17">
        <v>0</v>
      </c>
      <c r="S205" s="17">
        <v>0</v>
      </c>
      <c r="T205" s="259">
        <v>5</v>
      </c>
      <c r="U205" s="258" t="str">
        <f t="shared" si="13"/>
        <v>Normal</v>
      </c>
      <c r="V205" s="258" t="str">
        <f t="shared" si="14"/>
        <v>Normal</v>
      </c>
      <c r="W205" s="264">
        <f t="shared" si="15"/>
        <v>8.2815734989648039E-3</v>
      </c>
      <c r="X205" s="264">
        <f t="shared" si="16"/>
        <v>1.580135440180587E-2</v>
      </c>
    </row>
    <row r="206" spans="1:35">
      <c r="A206" s="195">
        <v>44856</v>
      </c>
      <c r="B206" s="310">
        <f>IF(YEAR(Table9[[#This Row],[Date]]) = 2022, WEEKNUM(Table9[[#This Row],[Date]])-13, WEEKNUM(Table9[[#This Row],[Date]])+40)</f>
        <v>30</v>
      </c>
      <c r="C206" s="34" t="s">
        <v>53</v>
      </c>
      <c r="D206" s="255" t="s">
        <v>59</v>
      </c>
      <c r="E206" s="43">
        <v>177</v>
      </c>
      <c r="F206" s="43">
        <v>164</v>
      </c>
      <c r="G206" s="67">
        <v>0.2733812949640288</v>
      </c>
      <c r="H206" s="67">
        <v>0.20588235294117646</v>
      </c>
      <c r="I206" s="1">
        <v>8642</v>
      </c>
      <c r="J206" s="1">
        <v>8059</v>
      </c>
      <c r="K206" s="1">
        <v>83309</v>
      </c>
      <c r="L206" s="1">
        <v>76393</v>
      </c>
      <c r="M206" s="92">
        <v>0.85</v>
      </c>
      <c r="N206" s="92">
        <v>7.0000000000000007E-2</v>
      </c>
      <c r="O206" s="92">
        <v>0.93</v>
      </c>
      <c r="P206" s="92">
        <v>0.51</v>
      </c>
      <c r="Q206" s="92">
        <v>1</v>
      </c>
      <c r="R206" s="17">
        <v>0</v>
      </c>
      <c r="S206" s="17">
        <v>0</v>
      </c>
      <c r="T206" s="259">
        <v>4</v>
      </c>
      <c r="U206" s="258" t="str">
        <f t="shared" si="13"/>
        <v>Normal</v>
      </c>
      <c r="V206" s="258" t="str">
        <f t="shared" si="14"/>
        <v>Normal</v>
      </c>
      <c r="W206" s="264">
        <f t="shared" si="15"/>
        <v>0.2733812949640288</v>
      </c>
      <c r="X206" s="264">
        <f t="shared" si="16"/>
        <v>0.20588235294117646</v>
      </c>
    </row>
    <row r="207" spans="1:35">
      <c r="A207" s="194">
        <v>44857</v>
      </c>
      <c r="B207" s="309">
        <f>IF(YEAR(Table9[[#This Row],[Date]]) = 2022, WEEKNUM(Table9[[#This Row],[Date]])-13, WEEKNUM(Table9[[#This Row],[Date]])+40)</f>
        <v>31</v>
      </c>
      <c r="C207" s="35" t="s">
        <v>47</v>
      </c>
      <c r="D207" s="255" t="s">
        <v>59</v>
      </c>
      <c r="E207" s="43">
        <v>0</v>
      </c>
      <c r="F207" s="43">
        <v>0</v>
      </c>
      <c r="G207" s="67">
        <v>0</v>
      </c>
      <c r="H207" s="67">
        <v>0</v>
      </c>
      <c r="I207" s="1">
        <v>0</v>
      </c>
      <c r="J207" s="1">
        <v>0</v>
      </c>
      <c r="K207" s="1">
        <v>0</v>
      </c>
      <c r="L207" s="1">
        <v>0</v>
      </c>
      <c r="M207" s="92">
        <v>0</v>
      </c>
      <c r="N207" s="92">
        <v>0</v>
      </c>
      <c r="O207" s="92">
        <v>0</v>
      </c>
      <c r="P207" s="92">
        <v>0</v>
      </c>
      <c r="Q207" s="92">
        <v>0</v>
      </c>
      <c r="R207" s="17">
        <v>0</v>
      </c>
      <c r="S207" s="17">
        <v>0</v>
      </c>
      <c r="T207" s="259">
        <v>0</v>
      </c>
      <c r="U207" s="258" t="str">
        <f t="shared" si="13"/>
        <v>Normal</v>
      </c>
      <c r="V207" s="258" t="str">
        <f t="shared" si="14"/>
        <v>Normal</v>
      </c>
      <c r="W207" s="264">
        <f t="shared" si="15"/>
        <v>0</v>
      </c>
      <c r="X207" s="264">
        <f t="shared" si="16"/>
        <v>0</v>
      </c>
    </row>
    <row r="208" spans="1:35">
      <c r="A208" s="195">
        <v>44858</v>
      </c>
      <c r="B208" s="310">
        <f>IF(YEAR(Table9[[#This Row],[Date]]) = 2022, WEEKNUM(Table9[[#This Row],[Date]])-13, WEEKNUM(Table9[[#This Row],[Date]])+40)</f>
        <v>31</v>
      </c>
      <c r="C208" s="34" t="s">
        <v>48</v>
      </c>
      <c r="D208" s="255" t="s">
        <v>59</v>
      </c>
      <c r="E208" s="43">
        <v>577</v>
      </c>
      <c r="F208" s="43">
        <v>543</v>
      </c>
      <c r="G208" s="67">
        <v>0</v>
      </c>
      <c r="H208" s="67">
        <v>5.4368932038834951E-2</v>
      </c>
      <c r="I208" s="42">
        <v>9219</v>
      </c>
      <c r="J208" s="32">
        <v>8602</v>
      </c>
      <c r="K208" s="32">
        <v>83886</v>
      </c>
      <c r="L208" s="32">
        <v>76936</v>
      </c>
      <c r="M208" s="92">
        <v>0.8</v>
      </c>
      <c r="N208" s="92">
        <v>0.06</v>
      </c>
      <c r="O208" s="92">
        <v>0.94</v>
      </c>
      <c r="P208" s="92">
        <v>0.79</v>
      </c>
      <c r="Q208" s="92">
        <v>1</v>
      </c>
      <c r="R208" s="17">
        <v>0</v>
      </c>
      <c r="S208" s="17">
        <v>0</v>
      </c>
      <c r="T208" s="259">
        <v>5</v>
      </c>
      <c r="U208" s="258" t="str">
        <f t="shared" si="13"/>
        <v>Normal</v>
      </c>
      <c r="V208" s="258" t="str">
        <f t="shared" si="14"/>
        <v>Normal</v>
      </c>
      <c r="W208" s="264">
        <f t="shared" si="15"/>
        <v>0</v>
      </c>
      <c r="X208" s="264">
        <f t="shared" si="16"/>
        <v>5.4368932038834951E-2</v>
      </c>
    </row>
    <row r="209" spans="1:38">
      <c r="A209" s="194">
        <v>44859</v>
      </c>
      <c r="B209" s="309">
        <f>IF(YEAR(Table9[[#This Row],[Date]]) = 2022, WEEKNUM(Table9[[#This Row],[Date]])-13, WEEKNUM(Table9[[#This Row],[Date]])+40)</f>
        <v>31</v>
      </c>
      <c r="C209" s="35" t="s">
        <v>49</v>
      </c>
      <c r="D209" s="255" t="s">
        <v>59</v>
      </c>
      <c r="E209" s="43">
        <v>491</v>
      </c>
      <c r="F209" s="43">
        <v>462</v>
      </c>
      <c r="G209" s="67">
        <v>2.9350104821802937E-2</v>
      </c>
      <c r="H209" s="67">
        <v>3.5874439461883408E-2</v>
      </c>
      <c r="I209" s="1">
        <v>9710</v>
      </c>
      <c r="J209" s="1">
        <v>9064</v>
      </c>
      <c r="K209" s="1">
        <v>84377</v>
      </c>
      <c r="L209" s="1">
        <v>77398</v>
      </c>
      <c r="M209" s="92">
        <v>0.86</v>
      </c>
      <c r="N209" s="92">
        <v>0.06</v>
      </c>
      <c r="O209" s="92">
        <v>0.94</v>
      </c>
      <c r="P209" s="92">
        <v>0.68</v>
      </c>
      <c r="Q209" s="92">
        <v>1</v>
      </c>
      <c r="R209" s="17">
        <v>0</v>
      </c>
      <c r="S209" s="17">
        <v>0</v>
      </c>
      <c r="T209" s="259">
        <v>5</v>
      </c>
      <c r="U209" s="258" t="str">
        <f t="shared" si="13"/>
        <v>Normal</v>
      </c>
      <c r="V209" s="258" t="str">
        <f t="shared" si="14"/>
        <v>Normal</v>
      </c>
      <c r="W209" s="264">
        <f t="shared" si="15"/>
        <v>2.9350104821802937E-2</v>
      </c>
      <c r="X209" s="264">
        <f t="shared" si="16"/>
        <v>3.5874439461883408E-2</v>
      </c>
    </row>
    <row r="210" spans="1:38">
      <c r="A210" s="194">
        <v>44860</v>
      </c>
      <c r="B210" s="309">
        <f>IF(YEAR(Table9[[#This Row],[Date]]) = 2022, WEEKNUM(Table9[[#This Row],[Date]])-13, WEEKNUM(Table9[[#This Row],[Date]])+40)</f>
        <v>31</v>
      </c>
      <c r="C210" s="34" t="s">
        <v>50</v>
      </c>
      <c r="D210" s="255" t="s">
        <v>59</v>
      </c>
      <c r="E210" s="43">
        <v>541</v>
      </c>
      <c r="F210" s="43">
        <v>510</v>
      </c>
      <c r="G210" s="67">
        <v>0.12474012474012475</v>
      </c>
      <c r="H210" s="67">
        <v>0.13333333333333333</v>
      </c>
      <c r="I210" s="1">
        <v>10251</v>
      </c>
      <c r="J210" s="1">
        <v>9574</v>
      </c>
      <c r="K210" s="1">
        <v>84918</v>
      </c>
      <c r="L210" s="1">
        <v>77908</v>
      </c>
      <c r="M210" s="92">
        <v>0.83</v>
      </c>
      <c r="N210" s="92">
        <v>0.06</v>
      </c>
      <c r="O210" s="92">
        <v>0.94</v>
      </c>
      <c r="P210" s="92">
        <v>0.74</v>
      </c>
      <c r="Q210" s="92">
        <v>1</v>
      </c>
      <c r="R210" s="17">
        <v>0</v>
      </c>
      <c r="S210" s="17">
        <v>0</v>
      </c>
      <c r="T210" s="259">
        <v>5</v>
      </c>
      <c r="U210" s="258" t="str">
        <f t="shared" si="13"/>
        <v>Normal</v>
      </c>
      <c r="V210" s="258" t="str">
        <f t="shared" si="14"/>
        <v>Normal</v>
      </c>
      <c r="W210" s="264">
        <f t="shared" si="15"/>
        <v>0.12474012474012475</v>
      </c>
      <c r="X210" s="264">
        <f t="shared" si="16"/>
        <v>0.13333333333333333</v>
      </c>
      <c r="AJ210" s="50"/>
      <c r="AK210" s="50"/>
      <c r="AL210" s="50"/>
    </row>
    <row r="211" spans="1:38">
      <c r="A211" s="194">
        <v>44861</v>
      </c>
      <c r="B211" s="309">
        <f>IF(YEAR(Table9[[#This Row],[Date]]) = 2022, WEEKNUM(Table9[[#This Row],[Date]])-13, WEEKNUM(Table9[[#This Row],[Date]])+40)</f>
        <v>31</v>
      </c>
      <c r="C211" s="35" t="s">
        <v>51</v>
      </c>
      <c r="D211" s="255" t="s">
        <v>59</v>
      </c>
      <c r="E211" s="43">
        <v>425</v>
      </c>
      <c r="F211" s="43">
        <v>398</v>
      </c>
      <c r="G211" s="67">
        <v>-9.324009324009324E-3</v>
      </c>
      <c r="H211" s="67">
        <v>-2.4509803921568627E-2</v>
      </c>
      <c r="I211" s="1">
        <v>10676</v>
      </c>
      <c r="J211" s="1">
        <v>9972</v>
      </c>
      <c r="K211" s="1">
        <v>85343</v>
      </c>
      <c r="L211" s="1">
        <v>78306</v>
      </c>
      <c r="M211" s="92">
        <v>0.8</v>
      </c>
      <c r="N211" s="92">
        <v>0.06</v>
      </c>
      <c r="O211" s="92">
        <v>0.94</v>
      </c>
      <c r="P211" s="92">
        <v>0.74</v>
      </c>
      <c r="Q211" s="92">
        <v>1</v>
      </c>
      <c r="R211" s="17">
        <v>0</v>
      </c>
      <c r="S211" s="17">
        <v>0</v>
      </c>
      <c r="T211" s="259">
        <v>4</v>
      </c>
      <c r="U211" s="258" t="str">
        <f t="shared" si="13"/>
        <v>Normal</v>
      </c>
      <c r="V211" s="258" t="str">
        <f t="shared" si="14"/>
        <v>Normal</v>
      </c>
      <c r="W211" s="264">
        <f t="shared" si="15"/>
        <v>-9.324009324009324E-3</v>
      </c>
      <c r="X211" s="264">
        <f t="shared" si="16"/>
        <v>-2.4509803921568627E-2</v>
      </c>
    </row>
    <row r="212" spans="1:38">
      <c r="A212" s="194">
        <v>44862</v>
      </c>
      <c r="B212" s="309">
        <f>IF(YEAR(Table9[[#This Row],[Date]]) = 2022, WEEKNUM(Table9[[#This Row],[Date]])-13, WEEKNUM(Table9[[#This Row],[Date]])+40)</f>
        <v>31</v>
      </c>
      <c r="C212" s="34" t="s">
        <v>52</v>
      </c>
      <c r="D212" s="255" t="s">
        <v>59</v>
      </c>
      <c r="E212" s="43">
        <v>480</v>
      </c>
      <c r="F212" s="43">
        <v>432</v>
      </c>
      <c r="G212" s="67">
        <v>-1.4373716632443531E-2</v>
      </c>
      <c r="H212" s="67">
        <v>-0.04</v>
      </c>
      <c r="I212" s="1">
        <v>11156</v>
      </c>
      <c r="J212" s="1">
        <v>10404</v>
      </c>
      <c r="K212" s="1">
        <v>85823</v>
      </c>
      <c r="L212" s="1">
        <v>78738</v>
      </c>
      <c r="M212" s="92">
        <v>0.73</v>
      </c>
      <c r="N212" s="92">
        <v>0.1</v>
      </c>
      <c r="O212" s="92">
        <v>0.9</v>
      </c>
      <c r="P212" s="92">
        <v>0.75</v>
      </c>
      <c r="Q212" s="92">
        <v>1</v>
      </c>
      <c r="R212" s="17">
        <v>0</v>
      </c>
      <c r="S212" s="17">
        <v>0</v>
      </c>
      <c r="T212" s="259">
        <v>4</v>
      </c>
      <c r="U212" s="258" t="str">
        <f t="shared" si="13"/>
        <v>Normal</v>
      </c>
      <c r="V212" s="258" t="str">
        <f t="shared" si="14"/>
        <v>Normal</v>
      </c>
      <c r="W212" s="264">
        <f t="shared" si="15"/>
        <v>-1.4373716632443531E-2</v>
      </c>
      <c r="X212" s="264">
        <f t="shared" si="16"/>
        <v>-0.04</v>
      </c>
    </row>
    <row r="213" spans="1:38">
      <c r="A213" s="194">
        <v>44863</v>
      </c>
      <c r="B213" s="309">
        <f>IF(YEAR(Table9[[#This Row],[Date]]) = 2022, WEEKNUM(Table9[[#This Row],[Date]])-13, WEEKNUM(Table9[[#This Row],[Date]])+40)</f>
        <v>31</v>
      </c>
      <c r="C213" s="35" t="s">
        <v>53</v>
      </c>
      <c r="D213" s="255" t="s">
        <v>59</v>
      </c>
      <c r="E213" s="43">
        <v>178</v>
      </c>
      <c r="F213" s="43">
        <v>171</v>
      </c>
      <c r="G213" s="67">
        <v>5.6497175141242938E-3</v>
      </c>
      <c r="H213" s="67">
        <v>4.2682926829268296E-2</v>
      </c>
      <c r="I213" s="1">
        <v>11334</v>
      </c>
      <c r="J213" s="1">
        <v>10575</v>
      </c>
      <c r="K213" s="1">
        <v>86001</v>
      </c>
      <c r="L213" s="1">
        <v>78909</v>
      </c>
      <c r="M213" s="92">
        <v>0.87</v>
      </c>
      <c r="N213" s="92">
        <v>0.04</v>
      </c>
      <c r="O213" s="92">
        <v>0.96</v>
      </c>
      <c r="P213" s="92">
        <v>0.7</v>
      </c>
      <c r="Q213" s="92">
        <v>1</v>
      </c>
      <c r="R213" s="17">
        <v>0</v>
      </c>
      <c r="S213" s="17">
        <v>0</v>
      </c>
      <c r="T213" s="259">
        <v>3</v>
      </c>
      <c r="U213" s="258" t="str">
        <f t="shared" si="13"/>
        <v>Normal</v>
      </c>
      <c r="V213" s="258" t="str">
        <f t="shared" si="14"/>
        <v>Normal</v>
      </c>
      <c r="W213" s="264">
        <f t="shared" si="15"/>
        <v>5.6497175141242938E-3</v>
      </c>
      <c r="X213" s="264">
        <f t="shared" si="16"/>
        <v>4.2682926829268296E-2</v>
      </c>
    </row>
    <row r="214" spans="1:38">
      <c r="A214" s="194">
        <v>44864</v>
      </c>
      <c r="B214" s="309">
        <f>IF(YEAR(Table9[[#This Row],[Date]]) = 2022, WEEKNUM(Table9[[#This Row],[Date]])-13, WEEKNUM(Table9[[#This Row],[Date]])+40)</f>
        <v>32</v>
      </c>
      <c r="C214" s="34" t="s">
        <v>47</v>
      </c>
      <c r="D214" s="255" t="s">
        <v>59</v>
      </c>
      <c r="E214" s="43">
        <v>0</v>
      </c>
      <c r="F214" s="43">
        <v>0</v>
      </c>
      <c r="G214" s="67">
        <v>0</v>
      </c>
      <c r="H214" s="67">
        <v>0</v>
      </c>
      <c r="I214" s="42">
        <v>0</v>
      </c>
      <c r="J214" s="32">
        <v>0</v>
      </c>
      <c r="K214" s="32">
        <v>0</v>
      </c>
      <c r="L214" s="32">
        <v>0</v>
      </c>
      <c r="M214" s="92">
        <v>0</v>
      </c>
      <c r="N214" s="92">
        <v>0</v>
      </c>
      <c r="O214" s="92">
        <v>0</v>
      </c>
      <c r="P214" s="92">
        <v>0</v>
      </c>
      <c r="Q214" s="92">
        <v>0</v>
      </c>
      <c r="R214" s="17">
        <v>0</v>
      </c>
      <c r="S214" s="17">
        <v>0</v>
      </c>
      <c r="T214" s="259">
        <v>0</v>
      </c>
      <c r="U214" s="258" t="str">
        <f t="shared" si="13"/>
        <v>Normal</v>
      </c>
      <c r="V214" s="258" t="str">
        <f t="shared" si="14"/>
        <v>Normal</v>
      </c>
      <c r="W214" s="264">
        <f t="shared" si="15"/>
        <v>0</v>
      </c>
      <c r="X214" s="264">
        <f t="shared" si="16"/>
        <v>0</v>
      </c>
    </row>
    <row r="215" spans="1:38" s="50" customFormat="1">
      <c r="A215" s="197">
        <v>44865</v>
      </c>
      <c r="B215" s="312">
        <f>IF(YEAR(Table9[[#This Row],[Date]]) = 2022, WEEKNUM(Table9[[#This Row],[Date]])-13, WEEKNUM(Table9[[#This Row],[Date]])+40)</f>
        <v>32</v>
      </c>
      <c r="C215" s="51" t="s">
        <v>48</v>
      </c>
      <c r="D215" s="255" t="s">
        <v>59</v>
      </c>
      <c r="E215" s="101">
        <v>596</v>
      </c>
      <c r="F215" s="101">
        <v>542</v>
      </c>
      <c r="G215" s="81">
        <v>3.292894280762565E-2</v>
      </c>
      <c r="H215" s="81">
        <v>-1.841620626151013E-3</v>
      </c>
      <c r="I215" s="52">
        <v>11930</v>
      </c>
      <c r="J215" s="52">
        <v>11117</v>
      </c>
      <c r="K215" s="52">
        <v>86597</v>
      </c>
      <c r="L215" s="52">
        <v>79451</v>
      </c>
      <c r="M215" s="102">
        <v>0.75</v>
      </c>
      <c r="N215" s="102">
        <v>0.09</v>
      </c>
      <c r="O215" s="102">
        <v>0.91</v>
      </c>
      <c r="P215" s="102">
        <v>0.98</v>
      </c>
      <c r="Q215" s="102">
        <v>1</v>
      </c>
      <c r="R215" s="131">
        <v>0</v>
      </c>
      <c r="S215" s="131">
        <v>0</v>
      </c>
      <c r="T215" s="259">
        <v>4.5</v>
      </c>
      <c r="U215" s="258" t="str">
        <f t="shared" si="13"/>
        <v>Normal</v>
      </c>
      <c r="V215" s="258" t="str">
        <f t="shared" si="14"/>
        <v>Normal</v>
      </c>
      <c r="W215" s="264">
        <f t="shared" si="15"/>
        <v>3.292894280762565E-2</v>
      </c>
      <c r="X215" s="264">
        <f t="shared" si="16"/>
        <v>-1.841620626151013E-3</v>
      </c>
      <c r="Y215" s="252"/>
      <c r="Z215" s="252"/>
      <c r="AA215" s="252"/>
      <c r="AB215" s="252"/>
      <c r="AC215" s="252"/>
      <c r="AD215" s="252"/>
      <c r="AE215" s="252"/>
      <c r="AF215" s="252"/>
      <c r="AG215" s="252"/>
      <c r="AH215" s="252"/>
      <c r="AI215" s="252"/>
      <c r="AJ215"/>
      <c r="AK215"/>
      <c r="AL215"/>
    </row>
    <row r="216" spans="1:38">
      <c r="A216" s="194">
        <v>44866</v>
      </c>
      <c r="B216" s="309">
        <f>IF(YEAR(Table9[[#This Row],[Date]]) = 2022, WEEKNUM(Table9[[#This Row],[Date]])-13, WEEKNUM(Table9[[#This Row],[Date]])+40)</f>
        <v>32</v>
      </c>
      <c r="C216" s="35" t="s">
        <v>49</v>
      </c>
      <c r="D216" s="255" t="s">
        <v>59</v>
      </c>
      <c r="E216" s="42">
        <v>443</v>
      </c>
      <c r="F216" s="42">
        <v>418</v>
      </c>
      <c r="G216" s="67">
        <v>-9.775967413441955E-2</v>
      </c>
      <c r="H216" s="67">
        <v>-9.5238095238095233E-2</v>
      </c>
      <c r="I216" s="32">
        <v>443</v>
      </c>
      <c r="J216" s="32">
        <v>418</v>
      </c>
      <c r="K216" s="32">
        <v>87040</v>
      </c>
      <c r="L216" s="32">
        <v>79869</v>
      </c>
      <c r="M216" s="93">
        <v>0.87</v>
      </c>
      <c r="N216" s="93">
        <v>0.06</v>
      </c>
      <c r="O216" s="93">
        <v>0.94</v>
      </c>
      <c r="P216" s="93">
        <v>0.61</v>
      </c>
      <c r="Q216" s="93">
        <v>1</v>
      </c>
      <c r="R216" s="17">
        <v>0</v>
      </c>
      <c r="S216" s="17">
        <v>0</v>
      </c>
      <c r="T216" s="259">
        <v>5</v>
      </c>
      <c r="U216" s="258" t="str">
        <f t="shared" si="13"/>
        <v>Normal</v>
      </c>
      <c r="V216" s="258" t="str">
        <f t="shared" si="14"/>
        <v>Normal</v>
      </c>
      <c r="W216" s="264">
        <f t="shared" si="15"/>
        <v>-9.775967413441955E-2</v>
      </c>
      <c r="X216" s="264">
        <f t="shared" si="16"/>
        <v>-9.5238095238095233E-2</v>
      </c>
    </row>
    <row r="217" spans="1:38">
      <c r="A217" s="194">
        <v>44867</v>
      </c>
      <c r="B217" s="309">
        <f>IF(YEAR(Table9[[#This Row],[Date]]) = 2022, WEEKNUM(Table9[[#This Row],[Date]])-13, WEEKNUM(Table9[[#This Row],[Date]])+40)</f>
        <v>32</v>
      </c>
      <c r="C217" s="35" t="s">
        <v>50</v>
      </c>
      <c r="D217" s="255" t="s">
        <v>59</v>
      </c>
      <c r="E217" s="43">
        <v>643</v>
      </c>
      <c r="F217" s="43">
        <v>590</v>
      </c>
      <c r="G217" s="67">
        <v>0.18853974121996303</v>
      </c>
      <c r="H217" s="67">
        <v>0.15686274509803921</v>
      </c>
      <c r="I217" s="1">
        <v>1086</v>
      </c>
      <c r="J217" s="1">
        <v>1008</v>
      </c>
      <c r="K217" s="1">
        <v>87683</v>
      </c>
      <c r="L217" s="1">
        <v>80459</v>
      </c>
      <c r="M217" s="92">
        <v>0.79</v>
      </c>
      <c r="N217" s="92">
        <v>0.08</v>
      </c>
      <c r="O217" s="92">
        <v>0.92</v>
      </c>
      <c r="P217" s="92">
        <v>0.86</v>
      </c>
      <c r="Q217" s="92">
        <v>1</v>
      </c>
      <c r="R217" s="17">
        <v>0</v>
      </c>
      <c r="S217" s="17">
        <v>0</v>
      </c>
      <c r="T217" s="259">
        <v>5</v>
      </c>
      <c r="U217" s="258" t="str">
        <f t="shared" si="13"/>
        <v>Normal</v>
      </c>
      <c r="V217" s="258" t="str">
        <f t="shared" si="14"/>
        <v>Normal</v>
      </c>
      <c r="W217" s="264">
        <f t="shared" si="15"/>
        <v>0.18853974121996303</v>
      </c>
      <c r="X217" s="264">
        <f t="shared" si="16"/>
        <v>0.15686274509803921</v>
      </c>
    </row>
    <row r="218" spans="1:38">
      <c r="A218" s="194">
        <v>44868</v>
      </c>
      <c r="B218" s="309">
        <f>IF(YEAR(Table9[[#This Row],[Date]]) = 2022, WEEKNUM(Table9[[#This Row],[Date]])-13, WEEKNUM(Table9[[#This Row],[Date]])+40)</f>
        <v>32</v>
      </c>
      <c r="C218" s="34" t="s">
        <v>51</v>
      </c>
      <c r="D218" s="255" t="s">
        <v>59</v>
      </c>
      <c r="E218" s="43">
        <v>530</v>
      </c>
      <c r="F218" s="43">
        <v>509</v>
      </c>
      <c r="G218" s="67">
        <v>0.24705882352941178</v>
      </c>
      <c r="H218" s="67">
        <v>0.27889447236180903</v>
      </c>
      <c r="I218" s="1">
        <v>1616</v>
      </c>
      <c r="J218" s="1">
        <v>1517</v>
      </c>
      <c r="K218" s="1">
        <v>88213</v>
      </c>
      <c r="L218" s="1">
        <v>80968</v>
      </c>
      <c r="M218" s="92">
        <v>0.93</v>
      </c>
      <c r="N218" s="92">
        <v>0.04</v>
      </c>
      <c r="O218" s="92">
        <v>0.96</v>
      </c>
      <c r="P218" s="92">
        <v>0.7</v>
      </c>
      <c r="Q218" s="92">
        <v>1</v>
      </c>
      <c r="R218" s="17">
        <v>0</v>
      </c>
      <c r="S218" s="17">
        <v>0</v>
      </c>
      <c r="T218" s="259">
        <v>5</v>
      </c>
      <c r="U218" s="258" t="str">
        <f t="shared" si="13"/>
        <v>Normal</v>
      </c>
      <c r="V218" s="258" t="str">
        <f t="shared" si="14"/>
        <v>Normal</v>
      </c>
      <c r="W218" s="264">
        <f t="shared" si="15"/>
        <v>0.24705882352941178</v>
      </c>
      <c r="X218" s="264">
        <f t="shared" si="16"/>
        <v>0.27889447236180903</v>
      </c>
    </row>
    <row r="219" spans="1:38">
      <c r="A219" s="194">
        <v>44869</v>
      </c>
      <c r="B219" s="309">
        <f>IF(YEAR(Table9[[#This Row],[Date]]) = 2022, WEEKNUM(Table9[[#This Row],[Date]])-13, WEEKNUM(Table9[[#This Row],[Date]])+40)</f>
        <v>32</v>
      </c>
      <c r="C219" s="35" t="s">
        <v>52</v>
      </c>
      <c r="D219" s="255" t="s">
        <v>59</v>
      </c>
      <c r="E219" s="43">
        <v>496</v>
      </c>
      <c r="F219" s="43">
        <v>474</v>
      </c>
      <c r="G219" s="67">
        <v>3.3333333333333333E-2</v>
      </c>
      <c r="H219" s="67">
        <v>9.7222222222222224E-2</v>
      </c>
      <c r="I219" s="1">
        <v>2112</v>
      </c>
      <c r="J219" s="1">
        <v>1991</v>
      </c>
      <c r="K219" s="1">
        <v>88709</v>
      </c>
      <c r="L219" s="1">
        <v>81442</v>
      </c>
      <c r="M219" s="92">
        <v>0.88</v>
      </c>
      <c r="N219" s="92">
        <v>0.04</v>
      </c>
      <c r="O219" s="92">
        <v>0.96</v>
      </c>
      <c r="P219" s="92">
        <v>0.56000000000000005</v>
      </c>
      <c r="Q219" s="92">
        <v>1</v>
      </c>
      <c r="R219" s="17">
        <v>0</v>
      </c>
      <c r="S219" s="17">
        <v>0</v>
      </c>
      <c r="T219" s="259">
        <v>5</v>
      </c>
      <c r="U219" s="258" t="str">
        <f t="shared" si="13"/>
        <v>Normal</v>
      </c>
      <c r="V219" s="258" t="str">
        <f t="shared" si="14"/>
        <v>Normal</v>
      </c>
      <c r="W219" s="264">
        <f t="shared" si="15"/>
        <v>3.3333333333333333E-2</v>
      </c>
      <c r="X219" s="264">
        <f t="shared" si="16"/>
        <v>9.7222222222222224E-2</v>
      </c>
    </row>
    <row r="220" spans="1:38">
      <c r="A220" s="194">
        <v>44870</v>
      </c>
      <c r="B220" s="309">
        <f>IF(YEAR(Table9[[#This Row],[Date]]) = 2022, WEEKNUM(Table9[[#This Row],[Date]])-13, WEEKNUM(Table9[[#This Row],[Date]])+40)</f>
        <v>32</v>
      </c>
      <c r="C220" s="34" t="s">
        <v>53</v>
      </c>
      <c r="D220" s="255" t="s">
        <v>59</v>
      </c>
      <c r="E220" s="43">
        <v>247</v>
      </c>
      <c r="F220" s="43">
        <v>230</v>
      </c>
      <c r="G220" s="67">
        <v>0.38764044943820225</v>
      </c>
      <c r="H220" s="67">
        <v>0.34502923976608185</v>
      </c>
      <c r="I220" s="42">
        <v>2359</v>
      </c>
      <c r="J220" s="32">
        <v>2221</v>
      </c>
      <c r="K220" s="32">
        <v>88956</v>
      </c>
      <c r="L220" s="32">
        <v>81672</v>
      </c>
      <c r="M220" s="92">
        <v>0.88</v>
      </c>
      <c r="N220" s="92">
        <v>7.0000000000000007E-2</v>
      </c>
      <c r="O220" s="92">
        <v>0.93</v>
      </c>
      <c r="P220" s="92">
        <v>0.7</v>
      </c>
      <c r="Q220" s="92">
        <v>1</v>
      </c>
      <c r="R220" s="17">
        <v>0</v>
      </c>
      <c r="S220" s="17">
        <v>0</v>
      </c>
      <c r="T220" s="259">
        <v>4</v>
      </c>
      <c r="U220" s="258" t="str">
        <f t="shared" si="13"/>
        <v>Normal</v>
      </c>
      <c r="V220" s="258" t="str">
        <f t="shared" si="14"/>
        <v>Normal</v>
      </c>
      <c r="W220" s="264">
        <f t="shared" si="15"/>
        <v>0.38764044943820225</v>
      </c>
      <c r="X220" s="264">
        <f t="shared" si="16"/>
        <v>0.34502923976608185</v>
      </c>
    </row>
    <row r="221" spans="1:38">
      <c r="A221" s="194">
        <v>44871</v>
      </c>
      <c r="B221" s="309">
        <f>IF(YEAR(Table9[[#This Row],[Date]]) = 2022, WEEKNUM(Table9[[#This Row],[Date]])-13, WEEKNUM(Table9[[#This Row],[Date]])+40)</f>
        <v>33</v>
      </c>
      <c r="C221" s="35" t="s">
        <v>47</v>
      </c>
      <c r="D221" s="255" t="s">
        <v>59</v>
      </c>
      <c r="E221" s="43">
        <v>0</v>
      </c>
      <c r="F221" s="43">
        <v>0</v>
      </c>
      <c r="G221" s="67">
        <v>0</v>
      </c>
      <c r="H221" s="67">
        <v>0</v>
      </c>
      <c r="I221" s="1">
        <v>0</v>
      </c>
      <c r="J221" s="1">
        <v>0</v>
      </c>
      <c r="K221" s="1">
        <v>0</v>
      </c>
      <c r="L221" s="1">
        <v>0</v>
      </c>
      <c r="M221" s="92">
        <v>0</v>
      </c>
      <c r="N221" s="92">
        <v>0</v>
      </c>
      <c r="O221" s="92">
        <v>0</v>
      </c>
      <c r="P221" s="92">
        <v>0</v>
      </c>
      <c r="Q221" s="92">
        <v>0</v>
      </c>
      <c r="R221" s="17">
        <v>0</v>
      </c>
      <c r="S221" s="17">
        <v>0</v>
      </c>
      <c r="T221" s="259">
        <v>0</v>
      </c>
      <c r="U221" s="258" t="str">
        <f t="shared" si="13"/>
        <v>Normal</v>
      </c>
      <c r="V221" s="258" t="str">
        <f t="shared" si="14"/>
        <v>Normal</v>
      </c>
      <c r="W221" s="264">
        <f t="shared" si="15"/>
        <v>0</v>
      </c>
      <c r="X221" s="264">
        <f t="shared" si="16"/>
        <v>0</v>
      </c>
    </row>
    <row r="222" spans="1:38">
      <c r="A222" s="194">
        <v>44872</v>
      </c>
      <c r="B222" s="309">
        <f>IF(YEAR(Table9[[#This Row],[Date]]) = 2022, WEEKNUM(Table9[[#This Row],[Date]])-13, WEEKNUM(Table9[[#This Row],[Date]])+40)</f>
        <v>33</v>
      </c>
      <c r="C222" s="34" t="s">
        <v>48</v>
      </c>
      <c r="D222" s="255" t="s">
        <v>59</v>
      </c>
      <c r="E222" s="43">
        <v>600</v>
      </c>
      <c r="F222" s="43">
        <v>584</v>
      </c>
      <c r="G222" s="67">
        <v>6.7114093959731542E-3</v>
      </c>
      <c r="H222" s="67">
        <v>7.7490774907749083E-2</v>
      </c>
      <c r="I222" s="42">
        <v>2959</v>
      </c>
      <c r="J222" s="32">
        <v>2805</v>
      </c>
      <c r="K222" s="32">
        <v>89556</v>
      </c>
      <c r="L222" s="32">
        <v>82256</v>
      </c>
      <c r="M222" s="92">
        <v>0.94</v>
      </c>
      <c r="N222" s="92">
        <v>0.03</v>
      </c>
      <c r="O222" s="92">
        <v>0.97</v>
      </c>
      <c r="P222" s="92">
        <v>0.44</v>
      </c>
      <c r="Q222" s="92">
        <v>1</v>
      </c>
      <c r="R222" s="17">
        <v>0</v>
      </c>
      <c r="S222" s="17">
        <v>0</v>
      </c>
      <c r="T222" s="259">
        <v>7</v>
      </c>
      <c r="U222" s="258" t="str">
        <f t="shared" si="13"/>
        <v>Normal</v>
      </c>
      <c r="V222" s="258" t="str">
        <f t="shared" si="14"/>
        <v>Normal</v>
      </c>
      <c r="W222" s="264">
        <f t="shared" si="15"/>
        <v>6.7114093959731542E-3</v>
      </c>
      <c r="X222" s="264">
        <f t="shared" si="16"/>
        <v>7.7490774907749083E-2</v>
      </c>
    </row>
    <row r="223" spans="1:38">
      <c r="A223" s="194">
        <v>44873</v>
      </c>
      <c r="B223" s="309">
        <f>IF(YEAR(Table9[[#This Row],[Date]]) = 2022, WEEKNUM(Table9[[#This Row],[Date]])-13, WEEKNUM(Table9[[#This Row],[Date]])+40)</f>
        <v>33</v>
      </c>
      <c r="C223" s="35" t="s">
        <v>49</v>
      </c>
      <c r="D223" s="255" t="s">
        <v>59</v>
      </c>
      <c r="E223" s="43">
        <v>614</v>
      </c>
      <c r="F223" s="43">
        <v>577</v>
      </c>
      <c r="G223" s="67">
        <v>0.38600451467268621</v>
      </c>
      <c r="H223" s="67">
        <v>0.38038277511961721</v>
      </c>
      <c r="I223" s="1">
        <v>3573</v>
      </c>
      <c r="J223" s="1">
        <v>3382</v>
      </c>
      <c r="K223" s="1">
        <v>90170</v>
      </c>
      <c r="L223" s="1">
        <v>82833</v>
      </c>
      <c r="M223" s="92">
        <v>0.89</v>
      </c>
      <c r="N223" s="92">
        <v>0.06</v>
      </c>
      <c r="O223" s="92">
        <v>0.94</v>
      </c>
      <c r="P223" s="92">
        <v>0.51</v>
      </c>
      <c r="Q223" s="92">
        <v>1</v>
      </c>
      <c r="R223" s="17">
        <v>0</v>
      </c>
      <c r="S223" s="17">
        <v>0</v>
      </c>
      <c r="T223" s="259">
        <v>7</v>
      </c>
      <c r="U223" s="258" t="str">
        <f t="shared" si="13"/>
        <v>Normal</v>
      </c>
      <c r="V223" s="258" t="str">
        <f t="shared" si="14"/>
        <v>Outlier</v>
      </c>
      <c r="W223" s="264">
        <f t="shared" si="15"/>
        <v>0.38600451467268621</v>
      </c>
      <c r="X223" s="264">
        <f t="shared" si="16"/>
        <v>0.38038277511961721</v>
      </c>
    </row>
    <row r="224" spans="1:38">
      <c r="A224" s="194">
        <v>44874</v>
      </c>
      <c r="B224" s="309">
        <f>IF(YEAR(Table9[[#This Row],[Date]]) = 2022, WEEKNUM(Table9[[#This Row],[Date]])-13, WEEKNUM(Table9[[#This Row],[Date]])+40)</f>
        <v>33</v>
      </c>
      <c r="C224" s="34" t="s">
        <v>50</v>
      </c>
      <c r="D224" s="255" t="s">
        <v>59</v>
      </c>
      <c r="E224" s="43">
        <v>662</v>
      </c>
      <c r="F224" s="43">
        <v>641</v>
      </c>
      <c r="G224" s="67">
        <v>2.9548989113530325E-2</v>
      </c>
      <c r="H224" s="67">
        <v>8.6440677966101692E-2</v>
      </c>
      <c r="I224" s="42">
        <v>4235</v>
      </c>
      <c r="J224" s="32">
        <v>4023</v>
      </c>
      <c r="K224" s="32">
        <v>90832</v>
      </c>
      <c r="L224" s="32">
        <v>83474</v>
      </c>
      <c r="M224" s="92">
        <v>0.95</v>
      </c>
      <c r="N224" s="92">
        <v>0.03</v>
      </c>
      <c r="O224" s="92">
        <v>0.97</v>
      </c>
      <c r="P224" s="92">
        <v>0.47</v>
      </c>
      <c r="Q224" s="92">
        <v>1</v>
      </c>
      <c r="R224" s="17">
        <v>0</v>
      </c>
      <c r="S224" s="17">
        <v>0</v>
      </c>
      <c r="T224" s="259">
        <v>7</v>
      </c>
      <c r="U224" s="258" t="str">
        <f t="shared" si="13"/>
        <v>Normal</v>
      </c>
      <c r="V224" s="258" t="str">
        <f t="shared" si="14"/>
        <v>Normal</v>
      </c>
      <c r="W224" s="264">
        <f t="shared" si="15"/>
        <v>2.9548989113530325E-2</v>
      </c>
      <c r="X224" s="264">
        <f t="shared" si="16"/>
        <v>8.6440677966101692E-2</v>
      </c>
    </row>
    <row r="225" spans="1:38">
      <c r="A225" s="194">
        <v>44875</v>
      </c>
      <c r="B225" s="309">
        <f>IF(YEAR(Table9[[#This Row],[Date]]) = 2022, WEEKNUM(Table9[[#This Row],[Date]])-13, WEEKNUM(Table9[[#This Row],[Date]])+40)</f>
        <v>33</v>
      </c>
      <c r="C225" s="35" t="s">
        <v>51</v>
      </c>
      <c r="D225" s="255" t="s">
        <v>59</v>
      </c>
      <c r="E225" s="43">
        <v>648</v>
      </c>
      <c r="F225" s="43">
        <v>612</v>
      </c>
      <c r="G225" s="67">
        <v>0.22264150943396227</v>
      </c>
      <c r="H225" s="67">
        <v>0.20235756385068762</v>
      </c>
      <c r="I225" s="1">
        <v>4883</v>
      </c>
      <c r="J225" s="1">
        <v>4635</v>
      </c>
      <c r="K225" s="1">
        <v>91480</v>
      </c>
      <c r="L225" s="1">
        <v>84086</v>
      </c>
      <c r="M225" s="92">
        <v>0.91</v>
      </c>
      <c r="N225" s="92">
        <v>0.06</v>
      </c>
      <c r="O225" s="92">
        <v>0.94</v>
      </c>
      <c r="P225" s="92">
        <v>0.44</v>
      </c>
      <c r="Q225" s="92">
        <v>1</v>
      </c>
      <c r="R225" s="17">
        <v>0</v>
      </c>
      <c r="S225" s="17">
        <v>0</v>
      </c>
      <c r="T225" s="259">
        <v>7</v>
      </c>
      <c r="U225" s="258" t="str">
        <f t="shared" si="13"/>
        <v>Normal</v>
      </c>
      <c r="V225" s="258" t="str">
        <f t="shared" si="14"/>
        <v>Normal</v>
      </c>
      <c r="W225" s="264">
        <f t="shared" si="15"/>
        <v>0.22264150943396227</v>
      </c>
      <c r="X225" s="264">
        <f t="shared" si="16"/>
        <v>0.20235756385068762</v>
      </c>
    </row>
    <row r="226" spans="1:38">
      <c r="A226" s="194">
        <v>44876</v>
      </c>
      <c r="B226" s="309">
        <f>IF(YEAR(Table9[[#This Row],[Date]]) = 2022, WEEKNUM(Table9[[#This Row],[Date]])-13, WEEKNUM(Table9[[#This Row],[Date]])+40)</f>
        <v>33</v>
      </c>
      <c r="C226" s="34" t="s">
        <v>52</v>
      </c>
      <c r="D226" s="255" t="s">
        <v>59</v>
      </c>
      <c r="E226" s="43">
        <v>667</v>
      </c>
      <c r="F226" s="43">
        <v>640</v>
      </c>
      <c r="G226" s="67">
        <v>0.34475806451612906</v>
      </c>
      <c r="H226" s="67">
        <v>0.35021097046413502</v>
      </c>
      <c r="I226" s="42">
        <v>5550</v>
      </c>
      <c r="J226" s="32">
        <v>5275</v>
      </c>
      <c r="K226" s="32">
        <v>92147</v>
      </c>
      <c r="L226" s="32">
        <v>84726</v>
      </c>
      <c r="M226" s="92">
        <v>0.9</v>
      </c>
      <c r="N226" s="92">
        <v>0.04</v>
      </c>
      <c r="O226" s="92">
        <v>0.96</v>
      </c>
      <c r="P226" s="92">
        <v>0.56000000000000005</v>
      </c>
      <c r="Q226" s="92">
        <v>1</v>
      </c>
      <c r="R226" s="17">
        <v>0</v>
      </c>
      <c r="S226" s="17">
        <v>0</v>
      </c>
      <c r="T226" s="259">
        <v>7</v>
      </c>
      <c r="U226" s="258" t="str">
        <f t="shared" si="13"/>
        <v>Normal</v>
      </c>
      <c r="V226" s="258" t="str">
        <f t="shared" si="14"/>
        <v>Normal</v>
      </c>
      <c r="W226" s="264">
        <f t="shared" si="15"/>
        <v>0.34475806451612906</v>
      </c>
      <c r="X226" s="264">
        <f t="shared" si="16"/>
        <v>0.35021097046413502</v>
      </c>
    </row>
    <row r="227" spans="1:38">
      <c r="A227" s="194">
        <v>44877</v>
      </c>
      <c r="B227" s="309">
        <f>IF(YEAR(Table9[[#This Row],[Date]]) = 2022, WEEKNUM(Table9[[#This Row],[Date]])-13, WEEKNUM(Table9[[#This Row],[Date]])+40)</f>
        <v>33</v>
      </c>
      <c r="C227" s="35" t="s">
        <v>53</v>
      </c>
      <c r="D227" s="255" t="s">
        <v>59</v>
      </c>
      <c r="E227" s="43">
        <v>260</v>
      </c>
      <c r="F227" s="43">
        <v>252</v>
      </c>
      <c r="G227" s="67">
        <v>5.2631578947368418E-2</v>
      </c>
      <c r="H227" s="67">
        <v>9.5652173913043481E-2</v>
      </c>
      <c r="I227" s="1">
        <v>5810</v>
      </c>
      <c r="J227" s="1">
        <v>5527</v>
      </c>
      <c r="K227" s="1">
        <v>92407</v>
      </c>
      <c r="L227" s="1">
        <v>84978</v>
      </c>
      <c r="M227" s="92">
        <v>0.92</v>
      </c>
      <c r="N227" s="92">
        <v>0.03</v>
      </c>
      <c r="O227" s="92">
        <v>0.97</v>
      </c>
      <c r="P227" s="92">
        <v>0.62</v>
      </c>
      <c r="Q227" s="92">
        <v>1</v>
      </c>
      <c r="R227" s="17">
        <v>0</v>
      </c>
      <c r="S227" s="17">
        <v>0</v>
      </c>
      <c r="T227" s="259">
        <v>4</v>
      </c>
      <c r="U227" s="258" t="str">
        <f t="shared" si="13"/>
        <v>Normal</v>
      </c>
      <c r="V227" s="258" t="str">
        <f t="shared" si="14"/>
        <v>Normal</v>
      </c>
      <c r="W227" s="264">
        <f t="shared" si="15"/>
        <v>5.2631578947368418E-2</v>
      </c>
      <c r="X227" s="264">
        <f t="shared" si="16"/>
        <v>9.5652173913043481E-2</v>
      </c>
    </row>
    <row r="228" spans="1:38">
      <c r="A228" s="194">
        <v>44878</v>
      </c>
      <c r="B228" s="309">
        <f>IF(YEAR(Table9[[#This Row],[Date]]) = 2022, WEEKNUM(Table9[[#This Row],[Date]])-13, WEEKNUM(Table9[[#This Row],[Date]])+40)</f>
        <v>34</v>
      </c>
      <c r="C228" s="34" t="s">
        <v>47</v>
      </c>
      <c r="D228" s="255" t="s">
        <v>59</v>
      </c>
      <c r="E228" s="43">
        <v>22</v>
      </c>
      <c r="F228" s="43">
        <v>22</v>
      </c>
      <c r="G228" s="67">
        <v>0</v>
      </c>
      <c r="H228" s="67">
        <v>0</v>
      </c>
      <c r="I228" s="42">
        <v>5832</v>
      </c>
      <c r="J228" s="32">
        <v>5549</v>
      </c>
      <c r="K228" s="32">
        <v>92429</v>
      </c>
      <c r="L228" s="32">
        <v>85000</v>
      </c>
      <c r="M228" s="92">
        <v>1</v>
      </c>
      <c r="N228" s="92">
        <v>0</v>
      </c>
      <c r="O228" s="92">
        <v>1</v>
      </c>
      <c r="P228" s="92">
        <v>0.08</v>
      </c>
      <c r="Q228" s="92">
        <v>1</v>
      </c>
      <c r="R228" s="17">
        <v>0</v>
      </c>
      <c r="S228" s="17">
        <v>0</v>
      </c>
      <c r="T228" s="259">
        <v>2</v>
      </c>
      <c r="U228" s="258" t="str">
        <f t="shared" si="13"/>
        <v>Normal</v>
      </c>
      <c r="V228" s="258" t="str">
        <f t="shared" si="14"/>
        <v>Normal</v>
      </c>
      <c r="W228" s="264">
        <f t="shared" si="15"/>
        <v>0</v>
      </c>
      <c r="X228" s="264">
        <f t="shared" si="16"/>
        <v>0</v>
      </c>
    </row>
    <row r="229" spans="1:38">
      <c r="A229" s="194">
        <v>44879</v>
      </c>
      <c r="B229" s="309">
        <f>IF(YEAR(Table9[[#This Row],[Date]]) = 2022, WEEKNUM(Table9[[#This Row],[Date]])-13, WEEKNUM(Table9[[#This Row],[Date]])+40)</f>
        <v>34</v>
      </c>
      <c r="C229" s="35" t="s">
        <v>48</v>
      </c>
      <c r="D229" s="255" t="s">
        <v>59</v>
      </c>
      <c r="E229" s="43">
        <v>709</v>
      </c>
      <c r="F229" s="43">
        <v>687</v>
      </c>
      <c r="G229" s="67">
        <v>0.18166666666666667</v>
      </c>
      <c r="H229" s="67">
        <v>0.17636986301369864</v>
      </c>
      <c r="I229" s="1">
        <v>6541</v>
      </c>
      <c r="J229" s="1">
        <v>6236</v>
      </c>
      <c r="K229" s="1">
        <v>93138</v>
      </c>
      <c r="L229" s="1">
        <v>85687</v>
      </c>
      <c r="M229" s="92">
        <v>0.9</v>
      </c>
      <c r="N229" s="92">
        <v>0.03</v>
      </c>
      <c r="O229" s="92">
        <v>0.97</v>
      </c>
      <c r="P229" s="92">
        <v>0.61</v>
      </c>
      <c r="Q229" s="92">
        <v>1</v>
      </c>
      <c r="R229" s="17">
        <v>0</v>
      </c>
      <c r="S229" s="17">
        <v>0</v>
      </c>
      <c r="T229" s="259">
        <v>7</v>
      </c>
      <c r="U229" s="258" t="str">
        <f t="shared" si="13"/>
        <v>Normal</v>
      </c>
      <c r="V229" s="258" t="str">
        <f t="shared" si="14"/>
        <v>Normal</v>
      </c>
      <c r="W229" s="264">
        <f t="shared" si="15"/>
        <v>0.18166666666666667</v>
      </c>
      <c r="X229" s="264">
        <f t="shared" si="16"/>
        <v>0.17636986301369864</v>
      </c>
    </row>
    <row r="230" spans="1:38">
      <c r="A230" s="194">
        <v>44880</v>
      </c>
      <c r="B230" s="309">
        <f>IF(YEAR(Table9[[#This Row],[Date]]) = 2022, WEEKNUM(Table9[[#This Row],[Date]])-13, WEEKNUM(Table9[[#This Row],[Date]])+40)</f>
        <v>34</v>
      </c>
      <c r="C230" s="34" t="s">
        <v>49</v>
      </c>
      <c r="D230" s="255" t="s">
        <v>59</v>
      </c>
      <c r="E230" s="43">
        <v>652</v>
      </c>
      <c r="F230" s="43">
        <v>620</v>
      </c>
      <c r="G230" s="67">
        <v>6.1889250814332247E-2</v>
      </c>
      <c r="H230" s="67">
        <v>7.452339688041594E-2</v>
      </c>
      <c r="I230" s="1">
        <v>7193</v>
      </c>
      <c r="J230" s="1">
        <v>6856</v>
      </c>
      <c r="K230" s="1">
        <v>93790</v>
      </c>
      <c r="L230" s="1">
        <v>86307</v>
      </c>
      <c r="M230" s="92">
        <v>0.89</v>
      </c>
      <c r="N230" s="92">
        <v>0.05</v>
      </c>
      <c r="O230" s="92">
        <v>0.95</v>
      </c>
      <c r="P230" s="92">
        <v>0.55000000000000004</v>
      </c>
      <c r="Q230" s="92">
        <v>1</v>
      </c>
      <c r="R230" s="17">
        <v>0</v>
      </c>
      <c r="S230" s="17">
        <v>0</v>
      </c>
      <c r="T230" s="259">
        <v>7</v>
      </c>
      <c r="U230" s="258" t="str">
        <f t="shared" si="13"/>
        <v>Normal</v>
      </c>
      <c r="V230" s="258" t="str">
        <f t="shared" si="14"/>
        <v>Normal</v>
      </c>
      <c r="W230" s="264">
        <f t="shared" si="15"/>
        <v>6.1889250814332247E-2</v>
      </c>
      <c r="X230" s="264">
        <f t="shared" si="16"/>
        <v>7.452339688041594E-2</v>
      </c>
    </row>
    <row r="231" spans="1:38">
      <c r="A231" s="194">
        <v>44881</v>
      </c>
      <c r="B231" s="309">
        <f>IF(YEAR(Table9[[#This Row],[Date]]) = 2022, WEEKNUM(Table9[[#This Row],[Date]])-13, WEEKNUM(Table9[[#This Row],[Date]])+40)</f>
        <v>34</v>
      </c>
      <c r="C231" s="35" t="s">
        <v>50</v>
      </c>
      <c r="D231" s="255" t="s">
        <v>59</v>
      </c>
      <c r="E231" s="43">
        <v>634</v>
      </c>
      <c r="F231" s="43">
        <v>608</v>
      </c>
      <c r="G231" s="67">
        <v>-4.2296072507552872E-2</v>
      </c>
      <c r="H231" s="67">
        <v>-5.1482059282371297E-2</v>
      </c>
      <c r="I231" s="1">
        <v>7827</v>
      </c>
      <c r="J231" s="1">
        <v>7464</v>
      </c>
      <c r="K231" s="1">
        <v>94424</v>
      </c>
      <c r="L231" s="1">
        <v>86915</v>
      </c>
      <c r="M231" s="92">
        <v>0.89</v>
      </c>
      <c r="N231" s="92">
        <v>0.04</v>
      </c>
      <c r="O231" s="92">
        <v>0.96</v>
      </c>
      <c r="P231" s="92">
        <v>0.54</v>
      </c>
      <c r="Q231" s="92">
        <v>1</v>
      </c>
      <c r="R231" s="17">
        <v>0</v>
      </c>
      <c r="S231" s="17">
        <v>0</v>
      </c>
      <c r="T231" s="259">
        <v>7</v>
      </c>
      <c r="U231" s="258" t="str">
        <f t="shared" si="13"/>
        <v>Normal</v>
      </c>
      <c r="V231" s="258" t="str">
        <f t="shared" si="14"/>
        <v>Normal</v>
      </c>
      <c r="W231" s="264">
        <f t="shared" si="15"/>
        <v>-4.2296072507552872E-2</v>
      </c>
      <c r="X231" s="264">
        <f t="shared" si="16"/>
        <v>-5.1482059282371297E-2</v>
      </c>
    </row>
    <row r="232" spans="1:38">
      <c r="A232" s="194">
        <v>44882</v>
      </c>
      <c r="B232" s="309">
        <f>IF(YEAR(Table9[[#This Row],[Date]]) = 2022, WEEKNUM(Table9[[#This Row],[Date]])-13, WEEKNUM(Table9[[#This Row],[Date]])+40)</f>
        <v>34</v>
      </c>
      <c r="C232" s="34" t="s">
        <v>51</v>
      </c>
      <c r="D232" s="255" t="s">
        <v>59</v>
      </c>
      <c r="E232" s="43">
        <v>588</v>
      </c>
      <c r="F232" s="43">
        <v>561</v>
      </c>
      <c r="G232" s="67">
        <v>-9.2592592592592587E-2</v>
      </c>
      <c r="H232" s="67">
        <v>-8.3333333333333329E-2</v>
      </c>
      <c r="I232" s="1">
        <v>8415</v>
      </c>
      <c r="J232" s="1">
        <v>8025</v>
      </c>
      <c r="K232" s="1">
        <v>95012</v>
      </c>
      <c r="L232" s="1">
        <v>87476</v>
      </c>
      <c r="M232" s="92">
        <v>0.91</v>
      </c>
      <c r="N232" s="92">
        <v>0.05</v>
      </c>
      <c r="O232" s="92">
        <v>0.95</v>
      </c>
      <c r="P232" s="92">
        <v>0.5</v>
      </c>
      <c r="Q232" s="92">
        <v>1</v>
      </c>
      <c r="R232" s="17">
        <v>0</v>
      </c>
      <c r="S232" s="17">
        <v>0</v>
      </c>
      <c r="T232" s="259">
        <v>7</v>
      </c>
      <c r="U232" s="258" t="str">
        <f t="shared" si="13"/>
        <v>Normal</v>
      </c>
      <c r="V232" s="258" t="str">
        <f t="shared" si="14"/>
        <v>Normal</v>
      </c>
      <c r="W232" s="264">
        <f t="shared" si="15"/>
        <v>-9.2592592592592587E-2</v>
      </c>
      <c r="X232" s="264">
        <f t="shared" si="16"/>
        <v>-8.3333333333333329E-2</v>
      </c>
      <c r="AJ232">
        <f>AVERAGEIF(Q185:Q215,"&lt;&gt;0")</f>
        <v>1</v>
      </c>
    </row>
    <row r="233" spans="1:38">
      <c r="A233" s="194">
        <v>44883</v>
      </c>
      <c r="B233" s="309">
        <f>IF(YEAR(Table9[[#This Row],[Date]]) = 2022, WEEKNUM(Table9[[#This Row],[Date]])-13, WEEKNUM(Table9[[#This Row],[Date]])+40)</f>
        <v>34</v>
      </c>
      <c r="C233" s="35" t="s">
        <v>52</v>
      </c>
      <c r="D233" s="255" t="s">
        <v>59</v>
      </c>
      <c r="E233" s="43">
        <v>630</v>
      </c>
      <c r="F233" s="43">
        <v>600</v>
      </c>
      <c r="G233" s="67">
        <v>-5.5472263868065967E-2</v>
      </c>
      <c r="H233" s="67">
        <v>-6.25E-2</v>
      </c>
      <c r="I233" s="1">
        <v>9045</v>
      </c>
      <c r="J233" s="1">
        <v>8625</v>
      </c>
      <c r="K233" s="1">
        <v>95642</v>
      </c>
      <c r="L233" s="1">
        <v>88076</v>
      </c>
      <c r="M233" s="92">
        <v>0.88</v>
      </c>
      <c r="N233" s="92">
        <v>0.05</v>
      </c>
      <c r="O233" s="92">
        <v>0.95</v>
      </c>
      <c r="P233" s="92">
        <v>0.53</v>
      </c>
      <c r="Q233" s="92">
        <v>1</v>
      </c>
      <c r="R233" s="17">
        <v>0</v>
      </c>
      <c r="S233" s="17">
        <v>0</v>
      </c>
      <c r="T233" s="259">
        <v>7</v>
      </c>
      <c r="U233" s="258" t="str">
        <f t="shared" si="13"/>
        <v>Normal</v>
      </c>
      <c r="V233" s="258" t="str">
        <f t="shared" si="14"/>
        <v>Normal</v>
      </c>
      <c r="W233" s="264">
        <f t="shared" si="15"/>
        <v>-5.5472263868065967E-2</v>
      </c>
      <c r="X233" s="264">
        <f t="shared" si="16"/>
        <v>-6.25E-2</v>
      </c>
    </row>
    <row r="234" spans="1:38">
      <c r="A234" s="194">
        <v>44884</v>
      </c>
      <c r="B234" s="309">
        <f>IF(YEAR(Table9[[#This Row],[Date]]) = 2022, WEEKNUM(Table9[[#This Row],[Date]])-13, WEEKNUM(Table9[[#This Row],[Date]])+40)</f>
        <v>34</v>
      </c>
      <c r="C234" s="34" t="s">
        <v>53</v>
      </c>
      <c r="D234" s="255" t="s">
        <v>59</v>
      </c>
      <c r="E234" s="43">
        <v>233</v>
      </c>
      <c r="F234" s="43">
        <v>199</v>
      </c>
      <c r="G234" s="67">
        <v>-0.10384615384615385</v>
      </c>
      <c r="H234" s="67">
        <v>-0.21031746031746032</v>
      </c>
      <c r="I234" s="1">
        <v>9278</v>
      </c>
      <c r="J234" s="1">
        <v>8824</v>
      </c>
      <c r="K234" s="1">
        <v>95875</v>
      </c>
      <c r="L234" s="1">
        <v>88275</v>
      </c>
      <c r="M234" s="92">
        <v>0.67</v>
      </c>
      <c r="N234" s="92">
        <v>0.15</v>
      </c>
      <c r="O234" s="92">
        <v>0.85</v>
      </c>
      <c r="P234" s="92">
        <v>0.3</v>
      </c>
      <c r="Q234" s="92">
        <v>1</v>
      </c>
      <c r="R234" s="17">
        <v>0</v>
      </c>
      <c r="S234" s="17">
        <v>0</v>
      </c>
      <c r="T234" s="259">
        <v>4</v>
      </c>
      <c r="U234" s="258" t="str">
        <f t="shared" si="13"/>
        <v>Normal</v>
      </c>
      <c r="V234" s="258" t="str">
        <f t="shared" si="14"/>
        <v>Normal</v>
      </c>
      <c r="W234" s="264">
        <f t="shared" si="15"/>
        <v>-0.10384615384615385</v>
      </c>
      <c r="X234" s="264">
        <f t="shared" si="16"/>
        <v>-0.21031746031746032</v>
      </c>
    </row>
    <row r="235" spans="1:38">
      <c r="A235" s="194">
        <v>44885</v>
      </c>
      <c r="B235" s="309">
        <f>IF(YEAR(Table9[[#This Row],[Date]]) = 2022, WEEKNUM(Table9[[#This Row],[Date]])-13, WEEKNUM(Table9[[#This Row],[Date]])+40)</f>
        <v>35</v>
      </c>
      <c r="C235" s="35" t="s">
        <v>47</v>
      </c>
      <c r="D235" s="255" t="s">
        <v>59</v>
      </c>
      <c r="E235" s="43">
        <v>49</v>
      </c>
      <c r="F235" s="43">
        <v>37</v>
      </c>
      <c r="G235" s="67">
        <v>1.2272727272727273</v>
      </c>
      <c r="H235" s="67">
        <v>0.68181818181818177</v>
      </c>
      <c r="I235" s="1">
        <v>9327</v>
      </c>
      <c r="J235" s="1">
        <v>8861</v>
      </c>
      <c r="K235" s="1">
        <v>95924</v>
      </c>
      <c r="L235" s="1">
        <v>88312</v>
      </c>
      <c r="M235" s="92">
        <v>0.73</v>
      </c>
      <c r="N235" s="92">
        <v>0.24</v>
      </c>
      <c r="O235" s="92">
        <v>0.76</v>
      </c>
      <c r="P235" s="92">
        <v>0.06</v>
      </c>
      <c r="Q235" s="92">
        <v>1</v>
      </c>
      <c r="R235" s="17">
        <v>0</v>
      </c>
      <c r="S235" s="17">
        <v>0</v>
      </c>
      <c r="T235" s="259">
        <v>2</v>
      </c>
      <c r="U235" s="258" t="str">
        <f t="shared" si="13"/>
        <v>Outlier</v>
      </c>
      <c r="V235" s="258" t="str">
        <f t="shared" si="14"/>
        <v>Outlier</v>
      </c>
      <c r="W235" s="264">
        <f t="shared" si="15"/>
        <v>1.2272727272727273</v>
      </c>
      <c r="X235" s="264">
        <f t="shared" si="16"/>
        <v>0.68181818181818177</v>
      </c>
    </row>
    <row r="236" spans="1:38">
      <c r="A236" s="194">
        <v>44886</v>
      </c>
      <c r="B236" s="309">
        <f>IF(YEAR(Table9[[#This Row],[Date]]) = 2022, WEEKNUM(Table9[[#This Row],[Date]])-13, WEEKNUM(Table9[[#This Row],[Date]])+40)</f>
        <v>35</v>
      </c>
      <c r="C236" s="34" t="s">
        <v>48</v>
      </c>
      <c r="D236" s="255" t="s">
        <v>59</v>
      </c>
      <c r="E236" s="43">
        <v>774</v>
      </c>
      <c r="F236" s="43">
        <v>746</v>
      </c>
      <c r="G236" s="67">
        <v>9.1678420310296188E-2</v>
      </c>
      <c r="H236" s="67">
        <v>8.5880640465793301E-2</v>
      </c>
      <c r="I236" s="1">
        <v>10101</v>
      </c>
      <c r="J236" s="1">
        <v>9607</v>
      </c>
      <c r="K236" s="1">
        <v>96698</v>
      </c>
      <c r="L236" s="1">
        <v>89058</v>
      </c>
      <c r="M236" s="92">
        <v>0.9</v>
      </c>
      <c r="N236" s="92">
        <v>0.04</v>
      </c>
      <c r="O236" s="92">
        <v>0.96</v>
      </c>
      <c r="P236" s="92">
        <v>0.52</v>
      </c>
      <c r="Q236" s="92">
        <v>1</v>
      </c>
      <c r="R236" s="17">
        <v>0</v>
      </c>
      <c r="S236" s="17">
        <v>0</v>
      </c>
      <c r="T236" s="259">
        <v>7</v>
      </c>
      <c r="U236" s="258" t="str">
        <f t="shared" si="13"/>
        <v>Normal</v>
      </c>
      <c r="V236" s="258" t="str">
        <f t="shared" si="14"/>
        <v>Normal</v>
      </c>
      <c r="W236" s="264">
        <f t="shared" si="15"/>
        <v>9.1678420310296188E-2</v>
      </c>
      <c r="X236" s="264">
        <f t="shared" si="16"/>
        <v>8.5880640465793301E-2</v>
      </c>
      <c r="AJ236" s="50"/>
      <c r="AK236" s="50"/>
      <c r="AL236" s="50"/>
    </row>
    <row r="237" spans="1:38">
      <c r="A237" s="194">
        <v>44887</v>
      </c>
      <c r="B237" s="309">
        <f>IF(YEAR(Table9[[#This Row],[Date]]) = 2022, WEEKNUM(Table9[[#This Row],[Date]])-13, WEEKNUM(Table9[[#This Row],[Date]])+40)</f>
        <v>35</v>
      </c>
      <c r="C237" s="35" t="s">
        <v>49</v>
      </c>
      <c r="D237" s="255" t="s">
        <v>59</v>
      </c>
      <c r="E237" s="43">
        <v>712</v>
      </c>
      <c r="F237" s="43">
        <v>674</v>
      </c>
      <c r="G237" s="67">
        <v>9.202453987730061E-2</v>
      </c>
      <c r="H237" s="67">
        <v>8.7096774193548387E-2</v>
      </c>
      <c r="I237" s="1">
        <v>10813</v>
      </c>
      <c r="J237" s="1">
        <v>10281</v>
      </c>
      <c r="K237" s="1">
        <v>97410</v>
      </c>
      <c r="L237" s="1">
        <v>89732</v>
      </c>
      <c r="M237" s="92">
        <v>0.89</v>
      </c>
      <c r="N237" s="92">
        <v>0.05</v>
      </c>
      <c r="O237" s="92">
        <v>0.95</v>
      </c>
      <c r="P237" s="92">
        <v>0.69</v>
      </c>
      <c r="Q237" s="92">
        <v>1</v>
      </c>
      <c r="R237" s="17">
        <v>0</v>
      </c>
      <c r="S237" s="17">
        <v>0</v>
      </c>
      <c r="T237" s="259">
        <v>6</v>
      </c>
      <c r="U237" s="258" t="str">
        <f t="shared" si="13"/>
        <v>Normal</v>
      </c>
      <c r="V237" s="258" t="str">
        <f t="shared" si="14"/>
        <v>Normal</v>
      </c>
      <c r="W237" s="264">
        <f t="shared" si="15"/>
        <v>9.202453987730061E-2</v>
      </c>
      <c r="X237" s="264">
        <f t="shared" si="16"/>
        <v>8.7096774193548387E-2</v>
      </c>
    </row>
    <row r="238" spans="1:38">
      <c r="A238" s="194">
        <v>44888</v>
      </c>
      <c r="B238" s="309">
        <f>IF(YEAR(Table9[[#This Row],[Date]]) = 2022, WEEKNUM(Table9[[#This Row],[Date]])-13, WEEKNUM(Table9[[#This Row],[Date]])+40)</f>
        <v>35</v>
      </c>
      <c r="C238" s="34" t="s">
        <v>50</v>
      </c>
      <c r="D238" s="255" t="s">
        <v>59</v>
      </c>
      <c r="E238" s="43">
        <v>775</v>
      </c>
      <c r="F238" s="43">
        <v>729</v>
      </c>
      <c r="G238" s="67">
        <v>0.22239747634069401</v>
      </c>
      <c r="H238" s="67">
        <v>0.19901315789473684</v>
      </c>
      <c r="I238" s="1">
        <v>11588</v>
      </c>
      <c r="J238" s="1">
        <v>11010</v>
      </c>
      <c r="K238" s="1">
        <v>98185</v>
      </c>
      <c r="L238" s="1">
        <v>90461</v>
      </c>
      <c r="M238" s="92">
        <v>0.84</v>
      </c>
      <c r="N238" s="92">
        <v>0.06</v>
      </c>
      <c r="O238" s="92">
        <v>0.94</v>
      </c>
      <c r="P238" s="92">
        <v>0.77</v>
      </c>
      <c r="Q238" s="92">
        <v>1</v>
      </c>
      <c r="R238" s="17">
        <v>0</v>
      </c>
      <c r="S238" s="17">
        <v>0</v>
      </c>
      <c r="T238" s="259">
        <v>6</v>
      </c>
      <c r="U238" s="258" t="str">
        <f t="shared" si="13"/>
        <v>Normal</v>
      </c>
      <c r="V238" s="258" t="str">
        <f t="shared" si="14"/>
        <v>Normal</v>
      </c>
      <c r="W238" s="264">
        <f t="shared" si="15"/>
        <v>0.22239747634069401</v>
      </c>
      <c r="X238" s="264">
        <f t="shared" si="16"/>
        <v>0.19901315789473684</v>
      </c>
    </row>
    <row r="239" spans="1:38">
      <c r="A239" s="194">
        <v>44889</v>
      </c>
      <c r="B239" s="309">
        <f>IF(YEAR(Table9[[#This Row],[Date]]) = 2022, WEEKNUM(Table9[[#This Row],[Date]])-13, WEEKNUM(Table9[[#This Row],[Date]])+40)</f>
        <v>35</v>
      </c>
      <c r="C239" s="35" t="s">
        <v>51</v>
      </c>
      <c r="D239" s="255" t="s">
        <v>59</v>
      </c>
      <c r="E239" s="43">
        <v>442</v>
      </c>
      <c r="F239" s="43">
        <v>415</v>
      </c>
      <c r="G239" s="67">
        <v>-0.24829931972789115</v>
      </c>
      <c r="H239" s="67">
        <v>-0.26024955436720143</v>
      </c>
      <c r="I239" s="1">
        <v>12030</v>
      </c>
      <c r="J239" s="1">
        <v>11425</v>
      </c>
      <c r="K239" s="1">
        <v>98627</v>
      </c>
      <c r="L239" s="1">
        <v>90876</v>
      </c>
      <c r="M239" s="92">
        <v>0.87</v>
      </c>
      <c r="N239" s="92">
        <v>0.06</v>
      </c>
      <c r="O239" s="92">
        <v>0.94</v>
      </c>
      <c r="P239" s="92">
        <v>0.66</v>
      </c>
      <c r="Q239" s="92">
        <v>1</v>
      </c>
      <c r="R239" s="17">
        <v>0</v>
      </c>
      <c r="S239" s="17">
        <v>0</v>
      </c>
      <c r="T239" s="259">
        <v>6</v>
      </c>
      <c r="U239" s="258" t="str">
        <f t="shared" si="13"/>
        <v>Normal</v>
      </c>
      <c r="V239" s="258" t="str">
        <f t="shared" si="14"/>
        <v>Normal</v>
      </c>
      <c r="W239" s="264">
        <f t="shared" si="15"/>
        <v>-0.24829931972789115</v>
      </c>
      <c r="X239" s="264">
        <f t="shared" si="16"/>
        <v>-0.26024955436720143</v>
      </c>
    </row>
    <row r="240" spans="1:38">
      <c r="A240" s="194">
        <v>44890</v>
      </c>
      <c r="B240" s="309">
        <f>IF(YEAR(Table9[[#This Row],[Date]]) = 2022, WEEKNUM(Table9[[#This Row],[Date]])-13, WEEKNUM(Table9[[#This Row],[Date]])+40)</f>
        <v>35</v>
      </c>
      <c r="C240" s="34" t="s">
        <v>52</v>
      </c>
      <c r="D240" s="255" t="s">
        <v>59</v>
      </c>
      <c r="E240" s="43">
        <v>941</v>
      </c>
      <c r="F240" s="43">
        <v>898</v>
      </c>
      <c r="G240" s="67">
        <v>0.49365079365079367</v>
      </c>
      <c r="H240" s="67">
        <v>0.49666666666666665</v>
      </c>
      <c r="I240" s="1">
        <v>12971</v>
      </c>
      <c r="J240" s="1">
        <v>12323</v>
      </c>
      <c r="K240" s="1">
        <v>99568</v>
      </c>
      <c r="L240" s="1">
        <v>91774</v>
      </c>
      <c r="M240" s="92">
        <v>0.88</v>
      </c>
      <c r="N240" s="92">
        <v>0.05</v>
      </c>
      <c r="O240" s="92">
        <v>0.95</v>
      </c>
      <c r="P240" s="92">
        <v>0.56999999999999995</v>
      </c>
      <c r="Q240" s="92">
        <v>1</v>
      </c>
      <c r="R240" s="17">
        <v>0</v>
      </c>
      <c r="S240" s="17">
        <v>0</v>
      </c>
      <c r="T240" s="259">
        <v>8</v>
      </c>
      <c r="U240" s="258" t="str">
        <f t="shared" si="13"/>
        <v>Outlier</v>
      </c>
      <c r="V240" s="258" t="str">
        <f t="shared" si="14"/>
        <v>Outlier</v>
      </c>
      <c r="W240" s="264">
        <f t="shared" si="15"/>
        <v>0.49365079365079367</v>
      </c>
      <c r="X240" s="264">
        <f t="shared" si="16"/>
        <v>0.49666666666666665</v>
      </c>
    </row>
    <row r="241" spans="1:38">
      <c r="A241" s="194">
        <v>44891</v>
      </c>
      <c r="B241" s="309">
        <f>IF(YEAR(Table9[[#This Row],[Date]]) = 2022, WEEKNUM(Table9[[#This Row],[Date]])-13, WEEKNUM(Table9[[#This Row],[Date]])+40)</f>
        <v>35</v>
      </c>
      <c r="C241" s="35" t="s">
        <v>53</v>
      </c>
      <c r="D241" s="255" t="s">
        <v>59</v>
      </c>
      <c r="E241" s="43">
        <v>392</v>
      </c>
      <c r="F241" s="43">
        <v>379</v>
      </c>
      <c r="G241" s="67">
        <v>0.68240343347639487</v>
      </c>
      <c r="H241" s="67">
        <v>0.90452261306532666</v>
      </c>
      <c r="I241" s="1">
        <v>13363</v>
      </c>
      <c r="J241" s="1">
        <v>12702</v>
      </c>
      <c r="K241" s="1">
        <v>99960</v>
      </c>
      <c r="L241" s="1">
        <v>92153</v>
      </c>
      <c r="M241" s="92">
        <v>0.91</v>
      </c>
      <c r="N241" s="92">
        <v>0.03</v>
      </c>
      <c r="O241" s="92">
        <v>0.97</v>
      </c>
      <c r="P241" s="92">
        <v>0.3</v>
      </c>
      <c r="Q241" s="92">
        <v>1</v>
      </c>
      <c r="R241" s="17">
        <v>0</v>
      </c>
      <c r="S241" s="17">
        <v>0</v>
      </c>
      <c r="T241" s="259">
        <v>7</v>
      </c>
      <c r="U241" s="258" t="str">
        <f t="shared" si="13"/>
        <v>Outlier</v>
      </c>
      <c r="V241" s="258" t="str">
        <f t="shared" si="14"/>
        <v>Outlier</v>
      </c>
      <c r="W241" s="264">
        <f t="shared" si="15"/>
        <v>0.68240343347639487</v>
      </c>
      <c r="X241" s="264">
        <f t="shared" si="16"/>
        <v>0.90452261306532666</v>
      </c>
    </row>
    <row r="242" spans="1:38">
      <c r="A242" s="194">
        <v>44892</v>
      </c>
      <c r="B242" s="309">
        <f>IF(YEAR(Table9[[#This Row],[Date]]) = 2022, WEEKNUM(Table9[[#This Row],[Date]])-13, WEEKNUM(Table9[[#This Row],[Date]])+40)</f>
        <v>36</v>
      </c>
      <c r="C242" s="34" t="s">
        <v>47</v>
      </c>
      <c r="D242" s="255" t="s">
        <v>59</v>
      </c>
      <c r="E242" s="43">
        <v>91</v>
      </c>
      <c r="F242" s="43">
        <v>89</v>
      </c>
      <c r="G242" s="67">
        <v>0.8571428571428571</v>
      </c>
      <c r="H242" s="67">
        <v>1.4054054054054055</v>
      </c>
      <c r="I242" s="1">
        <v>13454</v>
      </c>
      <c r="J242" s="1">
        <v>12791</v>
      </c>
      <c r="K242" s="1">
        <v>100051</v>
      </c>
      <c r="L242" s="1">
        <v>92242</v>
      </c>
      <c r="M242" s="92">
        <v>0.87</v>
      </c>
      <c r="N242" s="92">
        <v>0.06</v>
      </c>
      <c r="O242" s="92">
        <v>0.94</v>
      </c>
      <c r="P242" s="92">
        <v>0.66</v>
      </c>
      <c r="Q242" s="92">
        <v>1</v>
      </c>
      <c r="R242" s="17">
        <v>0</v>
      </c>
      <c r="S242" s="17">
        <v>0</v>
      </c>
      <c r="T242" s="259">
        <v>6</v>
      </c>
      <c r="U242" s="258" t="str">
        <f t="shared" si="13"/>
        <v>Outlier</v>
      </c>
      <c r="V242" s="258" t="str">
        <f t="shared" si="14"/>
        <v>Outlier</v>
      </c>
      <c r="W242" s="264">
        <f t="shared" si="15"/>
        <v>0.8571428571428571</v>
      </c>
      <c r="X242" s="264">
        <f t="shared" si="16"/>
        <v>1.4054054054054055</v>
      </c>
    </row>
    <row r="243" spans="1:38">
      <c r="A243" s="194">
        <v>44893</v>
      </c>
      <c r="B243" s="309">
        <f>IF(YEAR(Table9[[#This Row],[Date]]) = 2022, WEEKNUM(Table9[[#This Row],[Date]])-13, WEEKNUM(Table9[[#This Row],[Date]])+40)</f>
        <v>36</v>
      </c>
      <c r="C243" s="35" t="s">
        <v>48</v>
      </c>
      <c r="D243" s="255" t="s">
        <v>59</v>
      </c>
      <c r="E243" s="43">
        <v>1004</v>
      </c>
      <c r="F243" s="43">
        <v>949</v>
      </c>
      <c r="G243" s="67">
        <v>0.29715762273901808</v>
      </c>
      <c r="H243" s="67">
        <v>0.27211796246648795</v>
      </c>
      <c r="I243" s="1">
        <v>14458</v>
      </c>
      <c r="J243" s="1">
        <v>13740</v>
      </c>
      <c r="K243" s="1">
        <v>101055</v>
      </c>
      <c r="L243" s="1">
        <v>93191</v>
      </c>
      <c r="M243" s="92">
        <v>0.82</v>
      </c>
      <c r="N243" s="92">
        <v>0.05</v>
      </c>
      <c r="O243" s="92">
        <v>0.95</v>
      </c>
      <c r="P243" s="92">
        <v>0.88</v>
      </c>
      <c r="Q243" s="92">
        <v>1</v>
      </c>
      <c r="R243" s="17">
        <v>0</v>
      </c>
      <c r="S243" s="17">
        <v>0</v>
      </c>
      <c r="T243" s="259">
        <v>7</v>
      </c>
      <c r="U243" s="258" t="str">
        <f t="shared" si="13"/>
        <v>Normal</v>
      </c>
      <c r="V243" s="258" t="str">
        <f t="shared" si="14"/>
        <v>Normal</v>
      </c>
      <c r="W243" s="264">
        <f t="shared" si="15"/>
        <v>0.29715762273901808</v>
      </c>
      <c r="X243" s="264">
        <f t="shared" si="16"/>
        <v>0.27211796246648795</v>
      </c>
    </row>
    <row r="244" spans="1:38">
      <c r="A244" s="194">
        <v>44894</v>
      </c>
      <c r="B244" s="309">
        <f>IF(YEAR(Table9[[#This Row],[Date]]) = 2022, WEEKNUM(Table9[[#This Row],[Date]])-13, WEEKNUM(Table9[[#This Row],[Date]])+40)</f>
        <v>36</v>
      </c>
      <c r="C244" s="34" t="s">
        <v>49</v>
      </c>
      <c r="D244" s="255" t="s">
        <v>59</v>
      </c>
      <c r="E244" s="43">
        <v>845</v>
      </c>
      <c r="F244" s="43">
        <v>804</v>
      </c>
      <c r="G244" s="67">
        <v>0.18679775280898878</v>
      </c>
      <c r="H244" s="67">
        <v>0.19287833827893175</v>
      </c>
      <c r="I244" s="1">
        <v>15303</v>
      </c>
      <c r="J244" s="1">
        <v>14544</v>
      </c>
      <c r="K244" s="1">
        <v>101900</v>
      </c>
      <c r="L244" s="1">
        <v>93995</v>
      </c>
      <c r="M244" s="92">
        <v>0.85</v>
      </c>
      <c r="N244" s="92">
        <v>0.05</v>
      </c>
      <c r="O244" s="92">
        <v>0.95</v>
      </c>
      <c r="P244" s="92">
        <v>0.74</v>
      </c>
      <c r="Q244" s="92">
        <v>1</v>
      </c>
      <c r="R244" s="17">
        <v>0</v>
      </c>
      <c r="S244" s="17">
        <v>0</v>
      </c>
      <c r="T244" s="259">
        <v>7</v>
      </c>
      <c r="U244" s="258" t="str">
        <f t="shared" si="13"/>
        <v>Normal</v>
      </c>
      <c r="V244" s="258" t="str">
        <f t="shared" si="14"/>
        <v>Normal</v>
      </c>
      <c r="W244" s="264">
        <f t="shared" si="15"/>
        <v>0.18679775280898878</v>
      </c>
      <c r="X244" s="264">
        <f t="shared" si="16"/>
        <v>0.19287833827893175</v>
      </c>
    </row>
    <row r="245" spans="1:38">
      <c r="A245" s="194">
        <v>44895</v>
      </c>
      <c r="B245" s="309">
        <f>IF(YEAR(Table9[[#This Row],[Date]]) = 2022, WEEKNUM(Table9[[#This Row],[Date]])-13, WEEKNUM(Table9[[#This Row],[Date]])+40)</f>
        <v>36</v>
      </c>
      <c r="C245" s="35" t="s">
        <v>50</v>
      </c>
      <c r="D245" s="255" t="s">
        <v>59</v>
      </c>
      <c r="E245" s="43">
        <v>764</v>
      </c>
      <c r="F245" s="43">
        <v>734</v>
      </c>
      <c r="G245" s="67">
        <v>-1.4193548387096775E-2</v>
      </c>
      <c r="H245" s="67">
        <v>6.8587105624142658E-3</v>
      </c>
      <c r="I245" s="1">
        <v>16067</v>
      </c>
      <c r="J245" s="1">
        <v>15278</v>
      </c>
      <c r="K245" s="1">
        <v>102664</v>
      </c>
      <c r="L245" s="1">
        <v>94729</v>
      </c>
      <c r="M245" s="92">
        <v>0.86</v>
      </c>
      <c r="N245" s="92">
        <v>0.04</v>
      </c>
      <c r="O245" s="92">
        <v>0.96</v>
      </c>
      <c r="P245" s="92">
        <v>0.68</v>
      </c>
      <c r="Q245" s="92">
        <v>1</v>
      </c>
      <c r="R245" s="17">
        <v>0</v>
      </c>
      <c r="S245" s="17">
        <v>0</v>
      </c>
      <c r="T245" s="259">
        <v>7</v>
      </c>
      <c r="U245" s="258" t="str">
        <f t="shared" si="13"/>
        <v>Normal</v>
      </c>
      <c r="V245" s="258" t="str">
        <f t="shared" si="14"/>
        <v>Normal</v>
      </c>
      <c r="W245" s="264">
        <f t="shared" si="15"/>
        <v>-1.4193548387096775E-2</v>
      </c>
      <c r="X245" s="264">
        <f t="shared" si="16"/>
        <v>6.8587105624142658E-3</v>
      </c>
    </row>
    <row r="246" spans="1:38" s="50" customFormat="1">
      <c r="A246" s="197">
        <v>44896</v>
      </c>
      <c r="B246" s="312">
        <f>IF(YEAR(Table9[[#This Row],[Date]]) = 2022, WEEKNUM(Table9[[#This Row],[Date]])-13, WEEKNUM(Table9[[#This Row],[Date]])+40)</f>
        <v>36</v>
      </c>
      <c r="C246" s="103" t="s">
        <v>51</v>
      </c>
      <c r="D246" s="255" t="s">
        <v>59</v>
      </c>
      <c r="E246" s="101">
        <v>789</v>
      </c>
      <c r="F246" s="101">
        <v>755</v>
      </c>
      <c r="G246" s="81">
        <v>0.78506787330316741</v>
      </c>
      <c r="H246" s="81">
        <v>0.81927710843373491</v>
      </c>
      <c r="I246" s="52">
        <v>789</v>
      </c>
      <c r="J246" s="52">
        <v>755</v>
      </c>
      <c r="K246" s="52">
        <v>103453</v>
      </c>
      <c r="L246" s="52">
        <v>95484</v>
      </c>
      <c r="M246" s="102">
        <v>0.85</v>
      </c>
      <c r="N246" s="102">
        <v>0.04</v>
      </c>
      <c r="O246" s="102">
        <v>0.96</v>
      </c>
      <c r="P246" s="102">
        <v>0.69</v>
      </c>
      <c r="Q246" s="102">
        <v>1</v>
      </c>
      <c r="R246" s="131">
        <v>0</v>
      </c>
      <c r="S246" s="131">
        <v>0</v>
      </c>
      <c r="T246" s="259">
        <v>7</v>
      </c>
      <c r="U246" s="258" t="str">
        <f t="shared" si="13"/>
        <v>Outlier</v>
      </c>
      <c r="V246" s="258" t="str">
        <f t="shared" si="14"/>
        <v>Outlier</v>
      </c>
      <c r="W246" s="264">
        <f t="shared" si="15"/>
        <v>0.78506787330316741</v>
      </c>
      <c r="X246" s="264">
        <f t="shared" si="16"/>
        <v>0.81927710843373491</v>
      </c>
      <c r="Y246" s="252"/>
      <c r="Z246" s="252"/>
      <c r="AA246" s="252"/>
      <c r="AB246" s="252"/>
      <c r="AC246" s="252"/>
      <c r="AD246" s="252"/>
      <c r="AE246" s="252"/>
      <c r="AF246" s="252"/>
      <c r="AG246" s="252"/>
      <c r="AH246" s="252"/>
      <c r="AI246" s="252"/>
      <c r="AJ246"/>
      <c r="AK246"/>
      <c r="AL246"/>
    </row>
    <row r="247" spans="1:38">
      <c r="A247" s="194">
        <v>44897</v>
      </c>
      <c r="B247" s="309">
        <f>IF(YEAR(Table9[[#This Row],[Date]]) = 2022, WEEKNUM(Table9[[#This Row],[Date]])-13, WEEKNUM(Table9[[#This Row],[Date]])+40)</f>
        <v>36</v>
      </c>
      <c r="C247" s="35" t="s">
        <v>52</v>
      </c>
      <c r="D247" s="255" t="s">
        <v>59</v>
      </c>
      <c r="E247" s="43">
        <v>738</v>
      </c>
      <c r="F247" s="43">
        <v>691</v>
      </c>
      <c r="G247" s="67">
        <v>-0.21572794899043571</v>
      </c>
      <c r="H247" s="67">
        <v>-0.23051224944320714</v>
      </c>
      <c r="I247" s="1">
        <v>1527</v>
      </c>
      <c r="J247" s="1">
        <v>1446</v>
      </c>
      <c r="K247" s="1">
        <v>104191</v>
      </c>
      <c r="L247" s="1">
        <v>96175</v>
      </c>
      <c r="M247" s="92">
        <v>0.81</v>
      </c>
      <c r="N247" s="92">
        <v>0.06</v>
      </c>
      <c r="O247" s="92">
        <v>0.94</v>
      </c>
      <c r="P247" s="92">
        <v>0.66</v>
      </c>
      <c r="Q247" s="92">
        <v>1</v>
      </c>
      <c r="R247" s="17">
        <v>0</v>
      </c>
      <c r="S247" s="17">
        <v>0</v>
      </c>
      <c r="T247" s="259">
        <v>7</v>
      </c>
      <c r="U247" s="258" t="str">
        <f t="shared" si="13"/>
        <v>Normal</v>
      </c>
      <c r="V247" s="258" t="str">
        <f t="shared" si="14"/>
        <v>Normal</v>
      </c>
      <c r="W247" s="264">
        <f t="shared" si="15"/>
        <v>-0.21572794899043571</v>
      </c>
      <c r="X247" s="264">
        <f t="shared" si="16"/>
        <v>-0.23051224944320714</v>
      </c>
    </row>
    <row r="248" spans="1:38">
      <c r="A248" s="194">
        <v>44898</v>
      </c>
      <c r="B248" s="309">
        <f>IF(YEAR(Table9[[#This Row],[Date]]) = 2022, WEEKNUM(Table9[[#This Row],[Date]])-13, WEEKNUM(Table9[[#This Row],[Date]])+40)</f>
        <v>36</v>
      </c>
      <c r="C248" s="34" t="s">
        <v>53</v>
      </c>
      <c r="D248" s="255" t="s">
        <v>59</v>
      </c>
      <c r="E248" s="43">
        <v>342</v>
      </c>
      <c r="F248" s="43">
        <v>296</v>
      </c>
      <c r="G248" s="67">
        <v>-0.12755102040816327</v>
      </c>
      <c r="H248" s="67">
        <v>-0.21899736147757257</v>
      </c>
      <c r="I248" s="1">
        <v>1869</v>
      </c>
      <c r="J248" s="1">
        <v>1742</v>
      </c>
      <c r="K248" s="1">
        <v>104533</v>
      </c>
      <c r="L248" s="1">
        <v>96471</v>
      </c>
      <c r="M248" s="92">
        <v>0.74</v>
      </c>
      <c r="N248" s="92">
        <v>0.13</v>
      </c>
      <c r="O248" s="92">
        <v>0.87</v>
      </c>
      <c r="P248" s="92">
        <v>0.48</v>
      </c>
      <c r="Q248" s="92">
        <v>1</v>
      </c>
      <c r="R248" s="17">
        <v>0</v>
      </c>
      <c r="S248" s="17">
        <v>0</v>
      </c>
      <c r="T248" s="259">
        <v>4</v>
      </c>
      <c r="U248" s="258" t="str">
        <f t="shared" si="13"/>
        <v>Normal</v>
      </c>
      <c r="V248" s="258" t="str">
        <f t="shared" si="14"/>
        <v>Normal</v>
      </c>
      <c r="W248" s="264">
        <f t="shared" si="15"/>
        <v>-0.12755102040816327</v>
      </c>
      <c r="X248" s="264">
        <f t="shared" si="16"/>
        <v>-0.21899736147757257</v>
      </c>
    </row>
    <row r="249" spans="1:38">
      <c r="A249" s="194">
        <v>44899</v>
      </c>
      <c r="B249" s="309">
        <f>IF(YEAR(Table9[[#This Row],[Date]]) = 2022, WEEKNUM(Table9[[#This Row],[Date]])-13, WEEKNUM(Table9[[#This Row],[Date]])+40)</f>
        <v>37</v>
      </c>
      <c r="C249" s="35" t="s">
        <v>47</v>
      </c>
      <c r="D249" s="255" t="s">
        <v>59</v>
      </c>
      <c r="E249" s="43">
        <v>57</v>
      </c>
      <c r="F249" s="43">
        <v>54</v>
      </c>
      <c r="G249" s="67">
        <v>-0.37362637362637363</v>
      </c>
      <c r="H249" s="67">
        <v>-0.39325842696629215</v>
      </c>
      <c r="I249" s="1">
        <v>1926</v>
      </c>
      <c r="J249" s="1">
        <v>1796</v>
      </c>
      <c r="K249" s="1">
        <v>104590</v>
      </c>
      <c r="L249" s="1">
        <v>96525</v>
      </c>
      <c r="M249" s="92">
        <v>0.95</v>
      </c>
      <c r="N249" s="92">
        <v>0.05</v>
      </c>
      <c r="O249" s="92">
        <v>0.95</v>
      </c>
      <c r="P249" s="92">
        <v>0.19</v>
      </c>
      <c r="Q249" s="92">
        <v>1</v>
      </c>
      <c r="R249" s="17">
        <v>0</v>
      </c>
      <c r="S249" s="17">
        <v>0</v>
      </c>
      <c r="T249" s="259">
        <v>3</v>
      </c>
      <c r="U249" s="258" t="str">
        <f t="shared" si="13"/>
        <v>Normal</v>
      </c>
      <c r="V249" s="258" t="str">
        <f t="shared" si="14"/>
        <v>Normal</v>
      </c>
      <c r="W249" s="264">
        <f t="shared" si="15"/>
        <v>-0.37362637362637363</v>
      </c>
      <c r="X249" s="264">
        <f t="shared" si="16"/>
        <v>-0.39325842696629215</v>
      </c>
    </row>
    <row r="250" spans="1:38">
      <c r="A250" s="194">
        <v>44900</v>
      </c>
      <c r="B250" s="309">
        <f>IF(YEAR(Table9[[#This Row],[Date]]) = 2022, WEEKNUM(Table9[[#This Row],[Date]])-13, WEEKNUM(Table9[[#This Row],[Date]])+40)</f>
        <v>37</v>
      </c>
      <c r="C250" s="34" t="s">
        <v>48</v>
      </c>
      <c r="D250" s="255" t="s">
        <v>59</v>
      </c>
      <c r="E250" s="43">
        <v>795</v>
      </c>
      <c r="F250" s="43">
        <v>754</v>
      </c>
      <c r="G250" s="67">
        <v>-0.20816733067729085</v>
      </c>
      <c r="H250" s="67">
        <v>-0.20547945205479451</v>
      </c>
      <c r="I250" s="1">
        <v>2721</v>
      </c>
      <c r="J250" s="1">
        <v>2550</v>
      </c>
      <c r="K250" s="1">
        <v>105385</v>
      </c>
      <c r="L250" s="1">
        <v>97279</v>
      </c>
      <c r="M250" s="92">
        <v>0.81</v>
      </c>
      <c r="N250" s="92">
        <v>0.05</v>
      </c>
      <c r="O250" s="92">
        <v>0.95</v>
      </c>
      <c r="P250" s="92">
        <v>0.82</v>
      </c>
      <c r="Q250" s="92">
        <v>1</v>
      </c>
      <c r="R250" s="17">
        <v>0</v>
      </c>
      <c r="S250" s="17">
        <v>0</v>
      </c>
      <c r="T250" s="259">
        <v>6</v>
      </c>
      <c r="U250" s="258" t="str">
        <f t="shared" si="13"/>
        <v>Normal</v>
      </c>
      <c r="V250" s="258" t="str">
        <f t="shared" si="14"/>
        <v>Normal</v>
      </c>
      <c r="W250" s="264">
        <f t="shared" si="15"/>
        <v>-0.20816733067729085</v>
      </c>
      <c r="X250" s="264">
        <f t="shared" si="16"/>
        <v>-0.20547945205479451</v>
      </c>
    </row>
    <row r="251" spans="1:38">
      <c r="A251" s="194">
        <v>44901</v>
      </c>
      <c r="B251" s="309">
        <f>IF(YEAR(Table9[[#This Row],[Date]]) = 2022, WEEKNUM(Table9[[#This Row],[Date]])-13, WEEKNUM(Table9[[#This Row],[Date]])+40)</f>
        <v>37</v>
      </c>
      <c r="C251" s="35" t="s">
        <v>49</v>
      </c>
      <c r="D251" s="255" t="s">
        <v>59</v>
      </c>
      <c r="E251" s="43">
        <v>655</v>
      </c>
      <c r="F251" s="43">
        <v>610</v>
      </c>
      <c r="G251" s="67">
        <v>-0.22485207100591717</v>
      </c>
      <c r="H251" s="67">
        <v>-0.24129353233830847</v>
      </c>
      <c r="I251" s="1">
        <v>3376</v>
      </c>
      <c r="J251" s="1">
        <v>3160</v>
      </c>
      <c r="K251" s="1">
        <v>106040</v>
      </c>
      <c r="L251" s="1">
        <v>97889</v>
      </c>
      <c r="M251" s="92">
        <v>0.84</v>
      </c>
      <c r="N251" s="92">
        <v>7.0000000000000007E-2</v>
      </c>
      <c r="O251" s="92">
        <v>0.93</v>
      </c>
      <c r="P251" s="92">
        <v>0.64</v>
      </c>
      <c r="Q251" s="92">
        <v>1</v>
      </c>
      <c r="R251" s="17">
        <v>0</v>
      </c>
      <c r="S251" s="17">
        <v>0</v>
      </c>
      <c r="T251" s="259">
        <v>6</v>
      </c>
      <c r="U251" s="258" t="str">
        <f t="shared" si="13"/>
        <v>Normal</v>
      </c>
      <c r="V251" s="258" t="str">
        <f t="shared" si="14"/>
        <v>Normal</v>
      </c>
      <c r="W251" s="264">
        <f t="shared" si="15"/>
        <v>-0.22485207100591717</v>
      </c>
      <c r="X251" s="264">
        <f t="shared" si="16"/>
        <v>-0.24129353233830847</v>
      </c>
    </row>
    <row r="252" spans="1:38">
      <c r="A252" s="194">
        <v>44902</v>
      </c>
      <c r="B252" s="309">
        <f>IF(YEAR(Table9[[#This Row],[Date]]) = 2022, WEEKNUM(Table9[[#This Row],[Date]])-13, WEEKNUM(Table9[[#This Row],[Date]])+40)</f>
        <v>37</v>
      </c>
      <c r="C252" s="34" t="s">
        <v>50</v>
      </c>
      <c r="D252" s="255" t="s">
        <v>59</v>
      </c>
      <c r="E252" s="42">
        <v>635</v>
      </c>
      <c r="F252" s="42">
        <v>614</v>
      </c>
      <c r="G252" s="67">
        <v>-0.16884816753926701</v>
      </c>
      <c r="H252" s="67">
        <v>-0.16348773841961853</v>
      </c>
      <c r="I252" s="32">
        <v>4011</v>
      </c>
      <c r="J252" s="32">
        <v>3774</v>
      </c>
      <c r="K252" s="32">
        <v>106675</v>
      </c>
      <c r="L252" s="32">
        <v>98503</v>
      </c>
      <c r="M252" s="93">
        <v>0.87</v>
      </c>
      <c r="N252" s="93">
        <v>0.03</v>
      </c>
      <c r="O252" s="93">
        <v>0.97</v>
      </c>
      <c r="P252" s="93">
        <v>0.65</v>
      </c>
      <c r="Q252" s="93">
        <v>1</v>
      </c>
      <c r="R252" s="108">
        <v>0</v>
      </c>
      <c r="S252" s="108">
        <v>0</v>
      </c>
      <c r="T252" s="259">
        <v>6</v>
      </c>
      <c r="U252" s="258" t="str">
        <f t="shared" si="13"/>
        <v>Normal</v>
      </c>
      <c r="V252" s="258" t="str">
        <f t="shared" si="14"/>
        <v>Normal</v>
      </c>
      <c r="W252" s="264">
        <f t="shared" si="15"/>
        <v>-0.16884816753926701</v>
      </c>
      <c r="X252" s="264">
        <f t="shared" si="16"/>
        <v>-0.16348773841961853</v>
      </c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</row>
    <row r="253" spans="1:38">
      <c r="A253" s="194">
        <v>44903</v>
      </c>
      <c r="B253" s="309">
        <f>IF(YEAR(Table9[[#This Row],[Date]]) = 2022, WEEKNUM(Table9[[#This Row],[Date]])-13, WEEKNUM(Table9[[#This Row],[Date]])+40)</f>
        <v>37</v>
      </c>
      <c r="C253" s="35" t="s">
        <v>51</v>
      </c>
      <c r="D253" s="255" t="s">
        <v>59</v>
      </c>
      <c r="E253" s="43">
        <v>566</v>
      </c>
      <c r="F253" s="43">
        <v>546</v>
      </c>
      <c r="G253" s="67">
        <v>-0.28263624841571611</v>
      </c>
      <c r="H253" s="67">
        <v>-0.27682119205298011</v>
      </c>
      <c r="I253" s="1">
        <v>4577</v>
      </c>
      <c r="J253" s="1">
        <v>4320</v>
      </c>
      <c r="K253" s="1">
        <v>107241</v>
      </c>
      <c r="L253" s="1">
        <v>99049</v>
      </c>
      <c r="M253" s="18">
        <v>0.9</v>
      </c>
      <c r="N253" s="92">
        <v>0.04</v>
      </c>
      <c r="O253" s="92">
        <v>0.96</v>
      </c>
      <c r="P253" s="92">
        <v>0.56999999999999995</v>
      </c>
      <c r="Q253" s="92">
        <v>1</v>
      </c>
      <c r="R253" s="17">
        <v>0</v>
      </c>
      <c r="S253" s="17">
        <v>0</v>
      </c>
      <c r="T253" s="259">
        <v>6</v>
      </c>
      <c r="U253" s="258" t="str">
        <f t="shared" si="13"/>
        <v>Normal</v>
      </c>
      <c r="V253" s="258" t="str">
        <f t="shared" si="14"/>
        <v>Normal</v>
      </c>
      <c r="W253" s="264">
        <f t="shared" si="15"/>
        <v>-0.28263624841571611</v>
      </c>
      <c r="X253" s="264">
        <f t="shared" si="16"/>
        <v>-0.27682119205298011</v>
      </c>
    </row>
    <row r="254" spans="1:38">
      <c r="A254" s="194">
        <v>44904</v>
      </c>
      <c r="B254" s="309">
        <f>IF(YEAR(Table9[[#This Row],[Date]]) = 2022, WEEKNUM(Table9[[#This Row],[Date]])-13, WEEKNUM(Table9[[#This Row],[Date]])+40)</f>
        <v>37</v>
      </c>
      <c r="C254" s="35" t="s">
        <v>52</v>
      </c>
      <c r="D254" s="255" t="s">
        <v>59</v>
      </c>
      <c r="E254" s="42">
        <v>499</v>
      </c>
      <c r="F254" s="42">
        <v>481</v>
      </c>
      <c r="G254" s="67">
        <v>-0.32384823848238481</v>
      </c>
      <c r="H254" s="67">
        <v>-0.30390738060781475</v>
      </c>
      <c r="I254" s="1">
        <v>5076</v>
      </c>
      <c r="J254" s="32">
        <v>4801</v>
      </c>
      <c r="K254" s="32">
        <v>107740</v>
      </c>
      <c r="L254" s="32">
        <v>99530</v>
      </c>
      <c r="M254" s="37">
        <v>0.88</v>
      </c>
      <c r="N254" s="93">
        <v>0.04</v>
      </c>
      <c r="O254" s="93">
        <v>0.96</v>
      </c>
      <c r="P254" s="93">
        <v>0.59</v>
      </c>
      <c r="Q254" s="93">
        <v>1</v>
      </c>
      <c r="R254" s="17">
        <v>0</v>
      </c>
      <c r="S254" s="17">
        <v>0</v>
      </c>
      <c r="T254" s="259">
        <v>5</v>
      </c>
      <c r="U254" s="258" t="str">
        <f t="shared" si="13"/>
        <v>Normal</v>
      </c>
      <c r="V254" s="258" t="str">
        <f t="shared" si="14"/>
        <v>Normal</v>
      </c>
      <c r="W254" s="264">
        <f t="shared" si="15"/>
        <v>-0.32384823848238481</v>
      </c>
      <c r="X254" s="264">
        <f t="shared" si="16"/>
        <v>-0.30390738060781475</v>
      </c>
    </row>
    <row r="255" spans="1:38">
      <c r="A255" s="194">
        <v>44905</v>
      </c>
      <c r="B255" s="309">
        <f>IF(YEAR(Table9[[#This Row],[Date]]) = 2022, WEEKNUM(Table9[[#This Row],[Date]])-13, WEEKNUM(Table9[[#This Row],[Date]])+40)</f>
        <v>37</v>
      </c>
      <c r="C255" s="35" t="s">
        <v>53</v>
      </c>
      <c r="D255" s="255" t="s">
        <v>59</v>
      </c>
      <c r="E255" s="43">
        <v>275</v>
      </c>
      <c r="F255" s="43">
        <v>261</v>
      </c>
      <c r="G255" s="67">
        <v>-0.195906432748538</v>
      </c>
      <c r="H255" s="67">
        <v>-0.11824324324324324</v>
      </c>
      <c r="I255" s="1">
        <v>5351</v>
      </c>
      <c r="J255" s="1">
        <v>5062</v>
      </c>
      <c r="K255" s="1">
        <v>108015</v>
      </c>
      <c r="L255" s="1">
        <v>99791</v>
      </c>
      <c r="M255" s="18">
        <v>0.88</v>
      </c>
      <c r="N255" s="92">
        <v>0.05</v>
      </c>
      <c r="O255" s="92">
        <v>0.95</v>
      </c>
      <c r="P255" s="92">
        <v>0.5</v>
      </c>
      <c r="Q255" s="92">
        <v>1</v>
      </c>
      <c r="R255" s="17">
        <v>0</v>
      </c>
      <c r="S255" s="17">
        <v>0</v>
      </c>
      <c r="T255" s="259">
        <v>4</v>
      </c>
      <c r="U255" s="258" t="str">
        <f t="shared" si="13"/>
        <v>Normal</v>
      </c>
      <c r="V255" s="258" t="str">
        <f t="shared" si="14"/>
        <v>Normal</v>
      </c>
      <c r="W255" s="264">
        <f t="shared" si="15"/>
        <v>-0.195906432748538</v>
      </c>
      <c r="X255" s="264">
        <f t="shared" si="16"/>
        <v>-0.11824324324324324</v>
      </c>
    </row>
    <row r="256" spans="1:38">
      <c r="A256" s="194">
        <v>44906</v>
      </c>
      <c r="B256" s="309">
        <f>IF(YEAR(Table9[[#This Row],[Date]]) = 2022, WEEKNUM(Table9[[#This Row],[Date]])-13, WEEKNUM(Table9[[#This Row],[Date]])+40)</f>
        <v>38</v>
      </c>
      <c r="C256" s="35" t="s">
        <v>47</v>
      </c>
      <c r="D256" s="255" t="s">
        <v>59</v>
      </c>
      <c r="E256" s="42">
        <v>38</v>
      </c>
      <c r="F256" s="42">
        <v>38</v>
      </c>
      <c r="G256" s="67">
        <v>-0.33333333333333331</v>
      </c>
      <c r="H256" s="67">
        <v>-0.29629629629629628</v>
      </c>
      <c r="I256" s="1">
        <v>5389</v>
      </c>
      <c r="J256" s="32">
        <v>5100</v>
      </c>
      <c r="K256" s="32">
        <v>108053</v>
      </c>
      <c r="L256" s="32">
        <v>99829</v>
      </c>
      <c r="M256" s="37">
        <v>1</v>
      </c>
      <c r="N256" s="93">
        <v>0</v>
      </c>
      <c r="O256" s="93">
        <v>1</v>
      </c>
      <c r="P256" s="93">
        <v>7.0000000000000007E-2</v>
      </c>
      <c r="Q256" s="93">
        <v>1</v>
      </c>
      <c r="R256" s="17">
        <v>0</v>
      </c>
      <c r="S256" s="17">
        <v>0</v>
      </c>
      <c r="T256" s="259">
        <v>6</v>
      </c>
      <c r="U256" s="258" t="str">
        <f t="shared" si="13"/>
        <v>Normal</v>
      </c>
      <c r="V256" s="258" t="str">
        <f t="shared" si="14"/>
        <v>Normal</v>
      </c>
      <c r="W256" s="264">
        <f t="shared" si="15"/>
        <v>-0.33333333333333331</v>
      </c>
      <c r="X256" s="264">
        <f t="shared" si="16"/>
        <v>-0.29629629629629628</v>
      </c>
    </row>
    <row r="257" spans="1:38">
      <c r="A257" s="194">
        <v>44907</v>
      </c>
      <c r="B257" s="309">
        <f>IF(YEAR(Table9[[#This Row],[Date]]) = 2022, WEEKNUM(Table9[[#This Row],[Date]])-13, WEEKNUM(Table9[[#This Row],[Date]])+40)</f>
        <v>38</v>
      </c>
      <c r="C257" s="35" t="s">
        <v>48</v>
      </c>
      <c r="D257" s="255" t="s">
        <v>59</v>
      </c>
      <c r="E257" s="43">
        <v>663</v>
      </c>
      <c r="F257" s="43">
        <v>634</v>
      </c>
      <c r="G257" s="67">
        <v>-0.16603773584905659</v>
      </c>
      <c r="H257" s="67">
        <v>-0.15915119363395225</v>
      </c>
      <c r="I257" s="1">
        <v>6052</v>
      </c>
      <c r="J257" s="1">
        <v>5734</v>
      </c>
      <c r="K257" s="1">
        <v>108716</v>
      </c>
      <c r="L257" s="1">
        <v>100463</v>
      </c>
      <c r="M257" s="18">
        <v>0.9</v>
      </c>
      <c r="N257" s="92">
        <v>0.04</v>
      </c>
      <c r="O257" s="92">
        <v>0.96</v>
      </c>
      <c r="P257" s="92">
        <v>0.64</v>
      </c>
      <c r="Q257" s="92">
        <v>1</v>
      </c>
      <c r="R257" s="17">
        <v>0</v>
      </c>
      <c r="S257" s="17">
        <v>0</v>
      </c>
      <c r="T257" s="259">
        <v>6</v>
      </c>
      <c r="U257" s="258" t="str">
        <f t="shared" si="13"/>
        <v>Normal</v>
      </c>
      <c r="V257" s="258" t="str">
        <f t="shared" si="14"/>
        <v>Normal</v>
      </c>
      <c r="W257" s="264">
        <f t="shared" si="15"/>
        <v>-0.16603773584905659</v>
      </c>
      <c r="X257" s="264">
        <f t="shared" si="16"/>
        <v>-0.15915119363395225</v>
      </c>
    </row>
    <row r="258" spans="1:38">
      <c r="A258" s="194">
        <v>44908</v>
      </c>
      <c r="B258" s="309">
        <f>IF(YEAR(Table9[[#This Row],[Date]]) = 2022, WEEKNUM(Table9[[#This Row],[Date]])-13, WEEKNUM(Table9[[#This Row],[Date]])+40)</f>
        <v>38</v>
      </c>
      <c r="C258" s="34" t="s">
        <v>49</v>
      </c>
      <c r="D258" s="255" t="s">
        <v>59</v>
      </c>
      <c r="E258" s="42">
        <v>345</v>
      </c>
      <c r="F258" s="42">
        <v>337</v>
      </c>
      <c r="G258" s="67">
        <v>-0.47328244274809161</v>
      </c>
      <c r="H258" s="67">
        <v>-0.44754098360655736</v>
      </c>
      <c r="I258" s="32">
        <v>6397</v>
      </c>
      <c r="J258" s="32">
        <v>6071</v>
      </c>
      <c r="K258" s="32">
        <v>109061</v>
      </c>
      <c r="L258" s="32">
        <v>100800</v>
      </c>
      <c r="M258" s="37">
        <v>0.95</v>
      </c>
      <c r="N258" s="93">
        <v>0.02</v>
      </c>
      <c r="O258" s="93">
        <v>0.98</v>
      </c>
      <c r="P258" s="93">
        <v>0.47</v>
      </c>
      <c r="Q258" s="93">
        <v>1</v>
      </c>
      <c r="R258" s="17">
        <v>0</v>
      </c>
      <c r="S258" s="17">
        <v>0</v>
      </c>
      <c r="T258" s="259">
        <v>4</v>
      </c>
      <c r="U258" s="258" t="str">
        <f t="shared" si="13"/>
        <v>Outlier</v>
      </c>
      <c r="V258" s="258" t="str">
        <f t="shared" si="14"/>
        <v>Outlier</v>
      </c>
      <c r="W258" s="264">
        <f t="shared" si="15"/>
        <v>-0.47328244274809161</v>
      </c>
      <c r="X258" s="264">
        <f t="shared" si="16"/>
        <v>-0.44754098360655736</v>
      </c>
      <c r="AJ258">
        <f>AVERAGEIF(Q1:Q366,"&lt;&gt;0")</f>
        <v>0.99874193548387102</v>
      </c>
    </row>
    <row r="259" spans="1:38">
      <c r="A259" s="194">
        <v>44909</v>
      </c>
      <c r="B259" s="309">
        <f>IF(YEAR(Table9[[#This Row],[Date]]) = 2022, WEEKNUM(Table9[[#This Row],[Date]])-13, WEEKNUM(Table9[[#This Row],[Date]])+40)</f>
        <v>38</v>
      </c>
      <c r="C259" s="35" t="s">
        <v>50</v>
      </c>
      <c r="D259" s="255" t="s">
        <v>59</v>
      </c>
      <c r="E259" s="43">
        <v>708</v>
      </c>
      <c r="F259" s="43">
        <v>678</v>
      </c>
      <c r="G259" s="67">
        <v>0.11496062992125984</v>
      </c>
      <c r="H259" s="67">
        <v>0.10423452768729642</v>
      </c>
      <c r="I259" s="1">
        <v>7105</v>
      </c>
      <c r="J259" s="1">
        <v>6749</v>
      </c>
      <c r="K259" s="1">
        <v>109769</v>
      </c>
      <c r="L259" s="1">
        <v>101478</v>
      </c>
      <c r="M259" s="18">
        <v>0.89</v>
      </c>
      <c r="N259" s="92">
        <v>0.04</v>
      </c>
      <c r="O259" s="92">
        <v>0.96</v>
      </c>
      <c r="P259" s="92">
        <v>0.71</v>
      </c>
      <c r="Q259" s="92">
        <v>1</v>
      </c>
      <c r="R259" s="17">
        <v>0</v>
      </c>
      <c r="S259" s="17">
        <v>0</v>
      </c>
      <c r="T259" s="259">
        <v>6</v>
      </c>
      <c r="U259" s="258" t="str">
        <f t="shared" ref="U259:U322" si="17">IF(OR(G259&lt;$AA$5,G259&gt;$AB$5), "Outlier", "Normal")</f>
        <v>Normal</v>
      </c>
      <c r="V259" s="258" t="str">
        <f t="shared" ref="V259:V322" si="18">IF(OR(H259&lt;$AA$6,H259&gt;$AB$6), "Outlier", "Normal")</f>
        <v>Normal</v>
      </c>
      <c r="W259" s="264">
        <f t="shared" ref="W259:W322" si="19">IF(U259="Normal",$G259,IF($G259&lt;150%, $G259, $AA$9))</f>
        <v>0.11496062992125984</v>
      </c>
      <c r="X259" s="264">
        <f t="shared" ref="X259:X322" si="20">IF(V259="Normal",$H259,IF($H259&lt;150%, $H259, $AE$9))</f>
        <v>0.10423452768729642</v>
      </c>
    </row>
    <row r="260" spans="1:38">
      <c r="A260" s="194">
        <v>44910</v>
      </c>
      <c r="B260" s="309">
        <f>IF(YEAR(Table9[[#This Row],[Date]]) = 2022, WEEKNUM(Table9[[#This Row],[Date]])-13, WEEKNUM(Table9[[#This Row],[Date]])+40)</f>
        <v>38</v>
      </c>
      <c r="C260" s="34" t="s">
        <v>51</v>
      </c>
      <c r="D260" s="255" t="s">
        <v>59</v>
      </c>
      <c r="E260" s="42">
        <v>707</v>
      </c>
      <c r="F260" s="42">
        <v>652</v>
      </c>
      <c r="G260" s="67">
        <v>0.24911660777385158</v>
      </c>
      <c r="H260" s="67">
        <v>0.19413919413919414</v>
      </c>
      <c r="I260" s="32">
        <v>7812</v>
      </c>
      <c r="J260" s="32">
        <v>7401</v>
      </c>
      <c r="K260" s="32">
        <v>110476</v>
      </c>
      <c r="L260" s="32">
        <v>102130</v>
      </c>
      <c r="M260" s="37">
        <v>0.79</v>
      </c>
      <c r="N260" s="93">
        <v>0.08</v>
      </c>
      <c r="O260" s="93">
        <v>0.92</v>
      </c>
      <c r="P260" s="93">
        <v>0.68</v>
      </c>
      <c r="Q260" s="93">
        <v>1</v>
      </c>
      <c r="R260" s="17">
        <v>0</v>
      </c>
      <c r="S260" s="17">
        <v>0</v>
      </c>
      <c r="T260" s="259">
        <v>5</v>
      </c>
      <c r="U260" s="258" t="str">
        <f t="shared" si="17"/>
        <v>Normal</v>
      </c>
      <c r="V260" s="258" t="str">
        <f t="shared" si="18"/>
        <v>Normal</v>
      </c>
      <c r="W260" s="264">
        <f t="shared" si="19"/>
        <v>0.24911660777385158</v>
      </c>
      <c r="X260" s="264">
        <f t="shared" si="20"/>
        <v>0.19413919413919414</v>
      </c>
    </row>
    <row r="261" spans="1:38">
      <c r="A261" s="194">
        <v>44911</v>
      </c>
      <c r="B261" s="309">
        <f>IF(YEAR(Table9[[#This Row],[Date]]) = 2022, WEEKNUM(Table9[[#This Row],[Date]])-13, WEEKNUM(Table9[[#This Row],[Date]])+40)</f>
        <v>38</v>
      </c>
      <c r="C261" s="35" t="s">
        <v>52</v>
      </c>
      <c r="D261" s="255" t="s">
        <v>59</v>
      </c>
      <c r="E261" s="43">
        <v>673</v>
      </c>
      <c r="F261" s="43">
        <v>636</v>
      </c>
      <c r="G261" s="67">
        <v>0.34869739478957917</v>
      </c>
      <c r="H261" s="67">
        <v>0.32224532224532226</v>
      </c>
      <c r="I261" s="1">
        <v>8485</v>
      </c>
      <c r="J261" s="1">
        <v>8037</v>
      </c>
      <c r="K261" s="1">
        <v>111149</v>
      </c>
      <c r="L261" s="1">
        <v>102766</v>
      </c>
      <c r="M261" s="18">
        <v>0.85</v>
      </c>
      <c r="N261" s="92">
        <v>0.05</v>
      </c>
      <c r="O261" s="92">
        <v>0.95</v>
      </c>
      <c r="P261" s="92">
        <v>0.73</v>
      </c>
      <c r="Q261" s="92">
        <v>1</v>
      </c>
      <c r="R261" s="17">
        <v>0</v>
      </c>
      <c r="S261" s="17">
        <v>0</v>
      </c>
      <c r="T261" s="259">
        <v>5</v>
      </c>
      <c r="U261" s="258" t="str">
        <f t="shared" si="17"/>
        <v>Normal</v>
      </c>
      <c r="V261" s="258" t="str">
        <f t="shared" si="18"/>
        <v>Normal</v>
      </c>
      <c r="W261" s="264">
        <f t="shared" si="19"/>
        <v>0.34869739478957917</v>
      </c>
      <c r="X261" s="264">
        <f t="shared" si="20"/>
        <v>0.32224532224532226</v>
      </c>
    </row>
    <row r="262" spans="1:38">
      <c r="A262" s="194">
        <v>44912</v>
      </c>
      <c r="B262" s="309">
        <f>IF(YEAR(Table9[[#This Row],[Date]]) = 2022, WEEKNUM(Table9[[#This Row],[Date]])-13, WEEKNUM(Table9[[#This Row],[Date]])+40)</f>
        <v>38</v>
      </c>
      <c r="C262" s="34" t="s">
        <v>53</v>
      </c>
      <c r="D262" s="255" t="s">
        <v>59</v>
      </c>
      <c r="E262" s="42">
        <v>340</v>
      </c>
      <c r="F262" s="42">
        <v>260</v>
      </c>
      <c r="G262" s="67">
        <v>0.23636363636363636</v>
      </c>
      <c r="H262" s="67">
        <v>-3.8314176245210726E-3</v>
      </c>
      <c r="I262" s="32">
        <v>8825</v>
      </c>
      <c r="J262" s="32">
        <v>8297</v>
      </c>
      <c r="K262" s="32">
        <v>111489</v>
      </c>
      <c r="L262" s="32">
        <v>103026</v>
      </c>
      <c r="M262" s="37">
        <v>0.55000000000000004</v>
      </c>
      <c r="N262" s="93">
        <v>0.24</v>
      </c>
      <c r="O262" s="93">
        <v>0.76</v>
      </c>
      <c r="P262" s="93">
        <v>0.39</v>
      </c>
      <c r="Q262" s="93">
        <v>1</v>
      </c>
      <c r="R262" s="17">
        <v>0</v>
      </c>
      <c r="S262" s="17">
        <v>0</v>
      </c>
      <c r="T262" s="259">
        <v>5</v>
      </c>
      <c r="U262" s="258" t="str">
        <f t="shared" si="17"/>
        <v>Normal</v>
      </c>
      <c r="V262" s="258" t="str">
        <f t="shared" si="18"/>
        <v>Normal</v>
      </c>
      <c r="W262" s="264">
        <f t="shared" si="19"/>
        <v>0.23636363636363636</v>
      </c>
      <c r="X262" s="264">
        <f t="shared" si="20"/>
        <v>-3.8314176245210726E-3</v>
      </c>
    </row>
    <row r="263" spans="1:38">
      <c r="A263" s="194">
        <v>44913</v>
      </c>
      <c r="B263" s="309">
        <f>IF(YEAR(Table9[[#This Row],[Date]]) = 2022, WEEKNUM(Table9[[#This Row],[Date]])-13, WEEKNUM(Table9[[#This Row],[Date]])+40)</f>
        <v>39</v>
      </c>
      <c r="C263" s="35" t="s">
        <v>47</v>
      </c>
      <c r="D263" s="255" t="s">
        <v>59</v>
      </c>
      <c r="E263" s="43">
        <v>106</v>
      </c>
      <c r="F263" s="43">
        <v>105</v>
      </c>
      <c r="G263" s="67">
        <v>1.7894736842105263</v>
      </c>
      <c r="H263" s="67">
        <v>1.763157894736842</v>
      </c>
      <c r="I263" s="1">
        <v>8931</v>
      </c>
      <c r="J263" s="1">
        <v>8402</v>
      </c>
      <c r="K263" s="1">
        <v>111595</v>
      </c>
      <c r="L263" s="1">
        <v>103131</v>
      </c>
      <c r="M263" s="18">
        <v>0.99</v>
      </c>
      <c r="N263" s="92">
        <v>0.01</v>
      </c>
      <c r="O263" s="92">
        <v>0.99</v>
      </c>
      <c r="P263" s="92">
        <v>0.15</v>
      </c>
      <c r="Q263" s="92">
        <v>1</v>
      </c>
      <c r="R263" s="17">
        <v>0</v>
      </c>
      <c r="S263" s="17">
        <v>0</v>
      </c>
      <c r="T263" s="259">
        <v>4</v>
      </c>
      <c r="U263" s="258" t="str">
        <f t="shared" si="17"/>
        <v>Outlier</v>
      </c>
      <c r="V263" s="258" t="str">
        <f t="shared" si="18"/>
        <v>Outlier</v>
      </c>
      <c r="W263" s="264">
        <f t="shared" si="19"/>
        <v>3.8866598404146913E-2</v>
      </c>
      <c r="X263" s="264">
        <f t="shared" si="20"/>
        <v>3.6987410590264454E-2</v>
      </c>
    </row>
    <row r="264" spans="1:38">
      <c r="A264" s="194">
        <v>44914</v>
      </c>
      <c r="B264" s="309">
        <f>IF(YEAR(Table9[[#This Row],[Date]]) = 2022, WEEKNUM(Table9[[#This Row],[Date]])-13, WEEKNUM(Table9[[#This Row],[Date]])+40)</f>
        <v>39</v>
      </c>
      <c r="C264" s="34" t="s">
        <v>48</v>
      </c>
      <c r="D264" s="255" t="s">
        <v>59</v>
      </c>
      <c r="E264" s="42">
        <v>781</v>
      </c>
      <c r="F264" s="42">
        <v>731</v>
      </c>
      <c r="G264" s="67">
        <f>(Table2[[#This Row],[Calls Off]]-E257)/E257</f>
        <v>0.17797888386123681</v>
      </c>
      <c r="H264" s="67">
        <f>(Table2[[#This Row],[Calls Ans]]-F257)/F257</f>
        <v>0.1529968454258675</v>
      </c>
      <c r="I264" s="32">
        <f>I263+Table2[[#This Row],[Calls Off]]</f>
        <v>9712</v>
      </c>
      <c r="J264" s="32">
        <f>J263+Table2[[#This Row],[Calls Ans]]</f>
        <v>9133</v>
      </c>
      <c r="K264" s="32">
        <f>K263+Table2[[#This Row],[Calls Off]]</f>
        <v>112376</v>
      </c>
      <c r="L264" s="32">
        <f>L263+Table2[[#This Row],[Calls Ans]]</f>
        <v>103862</v>
      </c>
      <c r="M264" s="37">
        <v>0.79</v>
      </c>
      <c r="N264" s="93">
        <v>0.06</v>
      </c>
      <c r="O264" s="93">
        <v>0.94</v>
      </c>
      <c r="P264" s="93">
        <v>0.91</v>
      </c>
      <c r="Q264" s="93">
        <v>1</v>
      </c>
      <c r="R264" s="17">
        <v>0</v>
      </c>
      <c r="S264" s="17">
        <v>0</v>
      </c>
      <c r="T264" s="259">
        <v>5</v>
      </c>
      <c r="U264" s="258" t="str">
        <f t="shared" si="17"/>
        <v>Normal</v>
      </c>
      <c r="V264" s="258" t="str">
        <f t="shared" si="18"/>
        <v>Normal</v>
      </c>
      <c r="W264" s="264">
        <f t="shared" si="19"/>
        <v>0.17797888386123681</v>
      </c>
      <c r="X264" s="264">
        <f t="shared" si="20"/>
        <v>0.1529968454258675</v>
      </c>
      <c r="AJ264" s="50"/>
      <c r="AK264" s="50"/>
      <c r="AL264" s="50"/>
    </row>
    <row r="265" spans="1:38">
      <c r="A265" s="194">
        <v>44915</v>
      </c>
      <c r="B265" s="309">
        <f>IF(YEAR(Table9[[#This Row],[Date]]) = 2022, WEEKNUM(Table9[[#This Row],[Date]])-13, WEEKNUM(Table9[[#This Row],[Date]])+40)</f>
        <v>39</v>
      </c>
      <c r="C265" s="35" t="s">
        <v>49</v>
      </c>
      <c r="D265" s="255" t="s">
        <v>59</v>
      </c>
      <c r="E265" s="43">
        <v>802</v>
      </c>
      <c r="F265" s="43">
        <v>741</v>
      </c>
      <c r="G265" s="67">
        <f>(Table2[[#This Row],[Calls Off]]-E258)/E258</f>
        <v>1.3246376811594203</v>
      </c>
      <c r="H265" s="67">
        <f>(Table2[[#This Row],[Calls Ans]]-F258)/F258</f>
        <v>1.1988130563798221</v>
      </c>
      <c r="I265" s="1">
        <f>I264+Table2[[#This Row],[Calls Off]]</f>
        <v>10514</v>
      </c>
      <c r="J265" s="1">
        <f>J264+Table2[[#This Row],[Calls Ans]]</f>
        <v>9874</v>
      </c>
      <c r="K265" s="1">
        <f>K264+Table2[[#This Row],[Calls Off]]</f>
        <v>113178</v>
      </c>
      <c r="L265" s="1">
        <f>L264+Table2[[#This Row],[Calls Ans]]</f>
        <v>104603</v>
      </c>
      <c r="M265" s="18">
        <v>0.79</v>
      </c>
      <c r="N265" s="92">
        <v>0.08</v>
      </c>
      <c r="O265" s="92">
        <v>0.92</v>
      </c>
      <c r="P265" s="92">
        <v>0.78</v>
      </c>
      <c r="Q265" s="92">
        <v>1</v>
      </c>
      <c r="R265" s="17">
        <v>0</v>
      </c>
      <c r="S265" s="17">
        <v>0</v>
      </c>
      <c r="T265" s="259">
        <v>6</v>
      </c>
      <c r="U265" s="258" t="str">
        <f t="shared" si="17"/>
        <v>Outlier</v>
      </c>
      <c r="V265" s="258" t="str">
        <f t="shared" si="18"/>
        <v>Outlier</v>
      </c>
      <c r="W265" s="264">
        <f t="shared" si="19"/>
        <v>1.3246376811594203</v>
      </c>
      <c r="X265" s="264">
        <f t="shared" si="20"/>
        <v>1.1988130563798221</v>
      </c>
    </row>
    <row r="266" spans="1:38">
      <c r="A266" s="194">
        <v>44916</v>
      </c>
      <c r="B266" s="309">
        <f>IF(YEAR(Table9[[#This Row],[Date]]) = 2022, WEEKNUM(Table9[[#This Row],[Date]])-13, WEEKNUM(Table9[[#This Row],[Date]])+40)</f>
        <v>39</v>
      </c>
      <c r="C266" s="34" t="s">
        <v>50</v>
      </c>
      <c r="D266" s="255" t="s">
        <v>59</v>
      </c>
      <c r="E266" s="42">
        <v>771</v>
      </c>
      <c r="F266" s="42">
        <v>704</v>
      </c>
      <c r="G266" s="67">
        <f>(Table2[[#This Row],[Calls Off]]-E259)/E259</f>
        <v>8.8983050847457626E-2</v>
      </c>
      <c r="H266" s="67">
        <f>(Table2[[#This Row],[Calls Ans]]-F259)/F259</f>
        <v>3.8348082595870206E-2</v>
      </c>
      <c r="I266" s="1">
        <f>I265+Table2[[#This Row],[Calls Off]]</f>
        <v>11285</v>
      </c>
      <c r="J266" s="1">
        <f>J265+Table2[[#This Row],[Calls Ans]]</f>
        <v>10578</v>
      </c>
      <c r="K266" s="1">
        <f>K265+Table2[[#This Row],[Calls Off]]</f>
        <v>113949</v>
      </c>
      <c r="L266" s="1">
        <f>L265+Table2[[#This Row],[Calls Ans]]</f>
        <v>105307</v>
      </c>
      <c r="M266" s="37">
        <v>0.76</v>
      </c>
      <c r="N266" s="93">
        <v>0.09</v>
      </c>
      <c r="O266" s="93">
        <v>0.91</v>
      </c>
      <c r="P266" s="93">
        <v>0.74</v>
      </c>
      <c r="Q266" s="93">
        <v>1</v>
      </c>
      <c r="R266" s="17">
        <v>0</v>
      </c>
      <c r="S266" s="17">
        <v>0</v>
      </c>
      <c r="T266" s="259">
        <v>6</v>
      </c>
      <c r="U266" s="258" t="str">
        <f t="shared" si="17"/>
        <v>Normal</v>
      </c>
      <c r="V266" s="258" t="str">
        <f t="shared" si="18"/>
        <v>Normal</v>
      </c>
      <c r="W266" s="264">
        <f t="shared" si="19"/>
        <v>8.8983050847457626E-2</v>
      </c>
      <c r="X266" s="264">
        <f t="shared" si="20"/>
        <v>3.8348082595870206E-2</v>
      </c>
    </row>
    <row r="267" spans="1:38">
      <c r="A267" s="194">
        <v>44917</v>
      </c>
      <c r="B267" s="309">
        <f>IF(YEAR(Table9[[#This Row],[Date]]) = 2022, WEEKNUM(Table9[[#This Row],[Date]])-13, WEEKNUM(Table9[[#This Row],[Date]])+40)</f>
        <v>39</v>
      </c>
      <c r="C267" s="35" t="s">
        <v>51</v>
      </c>
      <c r="D267" s="255" t="s">
        <v>59</v>
      </c>
      <c r="E267" s="43">
        <v>686</v>
      </c>
      <c r="F267" s="43">
        <v>633</v>
      </c>
      <c r="G267" s="67">
        <f>(Table2[[#This Row],[Calls Off]]-E260)/E260</f>
        <v>-2.9702970297029702E-2</v>
      </c>
      <c r="H267" s="67">
        <f>(Table2[[#This Row],[Calls Ans]]-F260)/F260</f>
        <v>-2.9141104294478526E-2</v>
      </c>
      <c r="I267" s="1">
        <f>I266+Table2[[#This Row],[Calls Off]]</f>
        <v>11971</v>
      </c>
      <c r="J267" s="1">
        <f>J266+Table2[[#This Row],[Calls Ans]]</f>
        <v>11211</v>
      </c>
      <c r="K267" s="1">
        <f>K266+Table2[[#This Row],[Calls Off]]</f>
        <v>114635</v>
      </c>
      <c r="L267" s="1">
        <f>L266+Table2[[#This Row],[Calls Ans]]</f>
        <v>105940</v>
      </c>
      <c r="M267" s="18">
        <v>0.77</v>
      </c>
      <c r="N267" s="92">
        <v>0.08</v>
      </c>
      <c r="O267" s="92">
        <v>0.92</v>
      </c>
      <c r="P267" s="92">
        <v>0.7</v>
      </c>
      <c r="Q267" s="92">
        <v>1</v>
      </c>
      <c r="R267" s="17">
        <v>0</v>
      </c>
      <c r="S267" s="17">
        <v>0</v>
      </c>
      <c r="T267" s="259">
        <v>6</v>
      </c>
      <c r="U267" s="258" t="str">
        <f t="shared" si="17"/>
        <v>Normal</v>
      </c>
      <c r="V267" s="258" t="str">
        <f t="shared" si="18"/>
        <v>Normal</v>
      </c>
      <c r="W267" s="264">
        <f t="shared" si="19"/>
        <v>-2.9702970297029702E-2</v>
      </c>
      <c r="X267" s="264">
        <f t="shared" si="20"/>
        <v>-2.9141104294478526E-2</v>
      </c>
    </row>
    <row r="268" spans="1:38">
      <c r="A268" s="194">
        <v>44918</v>
      </c>
      <c r="B268" s="309">
        <f>IF(YEAR(Table9[[#This Row],[Date]]) = 2022, WEEKNUM(Table9[[#This Row],[Date]])-13, WEEKNUM(Table9[[#This Row],[Date]])+40)</f>
        <v>39</v>
      </c>
      <c r="C268" s="34" t="s">
        <v>52</v>
      </c>
      <c r="D268" s="255" t="s">
        <v>59</v>
      </c>
      <c r="E268" s="42">
        <v>657</v>
      </c>
      <c r="F268" s="42">
        <v>623</v>
      </c>
      <c r="G268" s="67">
        <f>(Table2[[#This Row],[Calls Off]]-E261)/E261</f>
        <v>-2.3774145616641901E-2</v>
      </c>
      <c r="H268" s="67">
        <f>(Table2[[#This Row],[Calls Ans]]-F261)/F261</f>
        <v>-2.0440251572327043E-2</v>
      </c>
      <c r="I268" s="1">
        <f>I267+Table2[[#This Row],[Calls Off]]</f>
        <v>12628</v>
      </c>
      <c r="J268" s="1">
        <f>J267+Table2[[#This Row],[Calls Ans]]</f>
        <v>11834</v>
      </c>
      <c r="K268" s="1">
        <f>K267+Table2[[#This Row],[Calls Off]]</f>
        <v>115292</v>
      </c>
      <c r="L268" s="1">
        <f>L267+Table2[[#This Row],[Calls Ans]]</f>
        <v>106563</v>
      </c>
      <c r="M268" s="37">
        <v>0.88</v>
      </c>
      <c r="N268" s="93">
        <v>0.05</v>
      </c>
      <c r="O268" s="93">
        <v>0.95</v>
      </c>
      <c r="P268" s="93">
        <v>0.67</v>
      </c>
      <c r="Q268" s="93">
        <v>1</v>
      </c>
      <c r="R268" s="17">
        <v>0</v>
      </c>
      <c r="S268" s="17">
        <v>0</v>
      </c>
      <c r="T268" s="259">
        <v>6</v>
      </c>
      <c r="U268" s="258" t="str">
        <f t="shared" si="17"/>
        <v>Normal</v>
      </c>
      <c r="V268" s="258" t="str">
        <f t="shared" si="18"/>
        <v>Normal</v>
      </c>
      <c r="W268" s="264">
        <f t="shared" si="19"/>
        <v>-2.3774145616641901E-2</v>
      </c>
      <c r="X268" s="264">
        <f t="shared" si="20"/>
        <v>-2.0440251572327043E-2</v>
      </c>
    </row>
    <row r="269" spans="1:38">
      <c r="A269" s="194">
        <v>44919</v>
      </c>
      <c r="B269" s="309">
        <f>IF(YEAR(Table9[[#This Row],[Date]]) = 2022, WEEKNUM(Table9[[#This Row],[Date]])-13, WEEKNUM(Table9[[#This Row],[Date]])+40)</f>
        <v>39</v>
      </c>
      <c r="C269" s="35" t="s">
        <v>53</v>
      </c>
      <c r="D269" s="255" t="s">
        <v>59</v>
      </c>
      <c r="E269" s="43">
        <v>236</v>
      </c>
      <c r="F269" s="43">
        <v>230</v>
      </c>
      <c r="G269" s="67">
        <f>(Table2[[#This Row],[Calls Off]]-E262)/E262</f>
        <v>-0.30588235294117649</v>
      </c>
      <c r="H269" s="67">
        <f>(Table2[[#This Row],[Calls Ans]]-F262)/F262</f>
        <v>-0.11538461538461539</v>
      </c>
      <c r="I269" s="1">
        <f>I268+Table2[[#This Row],[Calls Off]]</f>
        <v>12864</v>
      </c>
      <c r="J269" s="1">
        <f>J268+Table2[[#This Row],[Calls Ans]]</f>
        <v>12064</v>
      </c>
      <c r="K269" s="1">
        <f>K268+Table2[[#This Row],[Calls Off]]</f>
        <v>115528</v>
      </c>
      <c r="L269" s="1">
        <f>L268+Table2[[#This Row],[Calls Ans]]</f>
        <v>106793</v>
      </c>
      <c r="M269" s="18">
        <v>0.94</v>
      </c>
      <c r="N269" s="92">
        <v>0.03</v>
      </c>
      <c r="O269" s="92">
        <v>0.97</v>
      </c>
      <c r="P269" s="92">
        <v>0.61</v>
      </c>
      <c r="Q269" s="92">
        <v>1</v>
      </c>
      <c r="R269" s="17">
        <v>0</v>
      </c>
      <c r="S269" s="17">
        <v>0</v>
      </c>
      <c r="T269" s="259">
        <v>6</v>
      </c>
      <c r="U269" s="258" t="str">
        <f t="shared" si="17"/>
        <v>Normal</v>
      </c>
      <c r="V269" s="258" t="str">
        <f t="shared" si="18"/>
        <v>Normal</v>
      </c>
      <c r="W269" s="264">
        <f t="shared" si="19"/>
        <v>-0.30588235294117649</v>
      </c>
      <c r="X269" s="264">
        <f t="shared" si="20"/>
        <v>-0.11538461538461539</v>
      </c>
    </row>
    <row r="270" spans="1:38">
      <c r="A270" s="194">
        <v>44920</v>
      </c>
      <c r="B270" s="309">
        <f>IF(YEAR(Table9[[#This Row],[Date]]) = 2022, WEEKNUM(Table9[[#This Row],[Date]])-13, WEEKNUM(Table9[[#This Row],[Date]])+40)</f>
        <v>40</v>
      </c>
      <c r="C270" s="34" t="s">
        <v>47</v>
      </c>
      <c r="D270" s="255" t="s">
        <v>59</v>
      </c>
      <c r="E270" s="42">
        <v>0</v>
      </c>
      <c r="F270" s="42">
        <v>0</v>
      </c>
      <c r="G270" s="67">
        <v>0</v>
      </c>
      <c r="H270" s="67">
        <v>0</v>
      </c>
      <c r="I270" s="32">
        <v>0</v>
      </c>
      <c r="J270" s="32">
        <v>0</v>
      </c>
      <c r="K270" s="32">
        <v>0</v>
      </c>
      <c r="L270" s="32">
        <v>0</v>
      </c>
      <c r="M270" s="37">
        <v>0</v>
      </c>
      <c r="N270" s="93">
        <v>0</v>
      </c>
      <c r="O270" s="93">
        <v>0</v>
      </c>
      <c r="P270" s="93">
        <v>0</v>
      </c>
      <c r="Q270" s="93">
        <v>0</v>
      </c>
      <c r="R270" s="17">
        <v>0</v>
      </c>
      <c r="S270" s="17">
        <v>0</v>
      </c>
      <c r="T270" s="259">
        <v>0</v>
      </c>
      <c r="U270" s="258" t="str">
        <f t="shared" si="17"/>
        <v>Normal</v>
      </c>
      <c r="V270" s="258" t="str">
        <f t="shared" si="18"/>
        <v>Normal</v>
      </c>
      <c r="W270" s="264">
        <f t="shared" si="19"/>
        <v>0</v>
      </c>
      <c r="X270" s="264">
        <f t="shared" si="20"/>
        <v>0</v>
      </c>
    </row>
    <row r="271" spans="1:38">
      <c r="A271" s="194">
        <v>44921</v>
      </c>
      <c r="B271" s="309">
        <f>IF(YEAR(Table9[[#This Row],[Date]]) = 2022, WEEKNUM(Table9[[#This Row],[Date]])-13, WEEKNUM(Table9[[#This Row],[Date]])+40)</f>
        <v>40</v>
      </c>
      <c r="C271" s="35" t="s">
        <v>48</v>
      </c>
      <c r="D271" s="255" t="s">
        <v>59</v>
      </c>
      <c r="E271" s="43">
        <v>0</v>
      </c>
      <c r="F271" s="43">
        <v>0</v>
      </c>
      <c r="G271" s="67">
        <v>0</v>
      </c>
      <c r="H271" s="67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92">
        <v>0</v>
      </c>
      <c r="O271" s="92">
        <v>0</v>
      </c>
      <c r="P271" s="92">
        <v>0</v>
      </c>
      <c r="Q271" s="92">
        <v>0</v>
      </c>
      <c r="R271" s="17">
        <v>0</v>
      </c>
      <c r="S271" s="17">
        <v>0</v>
      </c>
      <c r="T271" s="259">
        <v>0</v>
      </c>
      <c r="U271" s="258" t="str">
        <f t="shared" si="17"/>
        <v>Normal</v>
      </c>
      <c r="V271" s="258" t="str">
        <f t="shared" si="18"/>
        <v>Normal</v>
      </c>
      <c r="W271" s="264">
        <f t="shared" si="19"/>
        <v>0</v>
      </c>
      <c r="X271" s="264">
        <f t="shared" si="20"/>
        <v>0</v>
      </c>
    </row>
    <row r="272" spans="1:38">
      <c r="A272" s="194">
        <v>44922</v>
      </c>
      <c r="B272" s="309">
        <f>IF(YEAR(Table9[[#This Row],[Date]]) = 2022, WEEKNUM(Table9[[#This Row],[Date]])-13, WEEKNUM(Table9[[#This Row],[Date]])+40)</f>
        <v>40</v>
      </c>
      <c r="C272" s="34" t="s">
        <v>49</v>
      </c>
      <c r="D272" s="255" t="s">
        <v>59</v>
      </c>
      <c r="E272" s="42">
        <v>0</v>
      </c>
      <c r="F272" s="42">
        <v>0</v>
      </c>
      <c r="G272" s="67">
        <v>0</v>
      </c>
      <c r="H272" s="67">
        <v>0</v>
      </c>
      <c r="I272" s="32">
        <v>0</v>
      </c>
      <c r="J272" s="32">
        <v>0</v>
      </c>
      <c r="K272" s="32">
        <v>0</v>
      </c>
      <c r="L272" s="32">
        <v>0</v>
      </c>
      <c r="M272" s="37">
        <v>0</v>
      </c>
      <c r="N272" s="93">
        <v>0</v>
      </c>
      <c r="O272" s="93">
        <v>0</v>
      </c>
      <c r="P272" s="93">
        <v>0</v>
      </c>
      <c r="Q272" s="93">
        <v>0</v>
      </c>
      <c r="R272" s="17">
        <v>0</v>
      </c>
      <c r="S272" s="17">
        <v>0</v>
      </c>
      <c r="T272" s="259">
        <v>0</v>
      </c>
      <c r="U272" s="258" t="str">
        <f t="shared" si="17"/>
        <v>Normal</v>
      </c>
      <c r="V272" s="258" t="str">
        <f t="shared" si="18"/>
        <v>Normal</v>
      </c>
      <c r="W272" s="264">
        <f t="shared" si="19"/>
        <v>0</v>
      </c>
      <c r="X272" s="264">
        <f t="shared" si="20"/>
        <v>0</v>
      </c>
    </row>
    <row r="273" spans="1:38">
      <c r="A273" s="194">
        <v>44923</v>
      </c>
      <c r="B273" s="309">
        <f>IF(YEAR(Table9[[#This Row],[Date]]) = 2022, WEEKNUM(Table9[[#This Row],[Date]])-13, WEEKNUM(Table9[[#This Row],[Date]])+40)</f>
        <v>40</v>
      </c>
      <c r="C273" s="35" t="s">
        <v>50</v>
      </c>
      <c r="D273" s="255" t="s">
        <v>59</v>
      </c>
      <c r="E273" s="43">
        <v>670</v>
      </c>
      <c r="F273" s="43">
        <v>645</v>
      </c>
      <c r="G273" s="67">
        <f>(Table2[[#This Row],[Calls Off]]-E266)/E266</f>
        <v>-0.13099870298313879</v>
      </c>
      <c r="H273" s="67">
        <f>(Table2[[#This Row],[Calls Ans]]-F266)/F266</f>
        <v>-8.3806818181818177E-2</v>
      </c>
      <c r="I273" s="1">
        <f>I269+Table2[[#This Row],[Calls Off]]</f>
        <v>13534</v>
      </c>
      <c r="J273" s="1">
        <f>J269+Table2[[#This Row],[Calls Ans]]</f>
        <v>12709</v>
      </c>
      <c r="K273" s="1">
        <f>K269+Table2[[#This Row],[Calls Off]]</f>
        <v>116198</v>
      </c>
      <c r="L273" s="1">
        <f>L269+Table2[[#This Row],[Calls Ans]]</f>
        <v>107438</v>
      </c>
      <c r="M273" s="18">
        <v>0.89</v>
      </c>
      <c r="N273" s="92">
        <v>0.04</v>
      </c>
      <c r="O273" s="92">
        <v>0.96</v>
      </c>
      <c r="P273" s="92">
        <v>0.82</v>
      </c>
      <c r="Q273" s="92">
        <v>1</v>
      </c>
      <c r="R273" s="17">
        <v>0</v>
      </c>
      <c r="S273" s="17">
        <v>0</v>
      </c>
      <c r="T273" s="259">
        <v>6</v>
      </c>
      <c r="U273" s="258" t="str">
        <f t="shared" si="17"/>
        <v>Normal</v>
      </c>
      <c r="V273" s="258" t="str">
        <f t="shared" si="18"/>
        <v>Normal</v>
      </c>
      <c r="W273" s="264">
        <f t="shared" si="19"/>
        <v>-0.13099870298313879</v>
      </c>
      <c r="X273" s="264">
        <f t="shared" si="20"/>
        <v>-8.3806818181818177E-2</v>
      </c>
      <c r="AJ273">
        <f>AVERAGEIF(Q336:Q366,"&lt;&gt;0")</f>
        <v>1</v>
      </c>
    </row>
    <row r="274" spans="1:38">
      <c r="A274" s="194">
        <v>44924</v>
      </c>
      <c r="B274" s="309">
        <f>IF(YEAR(Table9[[#This Row],[Date]]) = 2022, WEEKNUM(Table9[[#This Row],[Date]])-13, WEEKNUM(Table9[[#This Row],[Date]])+40)</f>
        <v>40</v>
      </c>
      <c r="C274" s="34" t="s">
        <v>51</v>
      </c>
      <c r="D274" s="255" t="s">
        <v>59</v>
      </c>
      <c r="E274" s="42">
        <v>501</v>
      </c>
      <c r="F274" s="42">
        <v>486</v>
      </c>
      <c r="G274" s="67">
        <f>(Table2[[#This Row],[Calls Off]]-E267)/E267</f>
        <v>-0.26967930029154519</v>
      </c>
      <c r="H274" s="67">
        <f>(Table2[[#This Row],[Calls Ans]]-F267)/F267</f>
        <v>-0.23222748815165878</v>
      </c>
      <c r="I274" s="1">
        <f>I273+Table2[[#This Row],[Calls Off]]</f>
        <v>14035</v>
      </c>
      <c r="J274" s="1">
        <f>J273+Table2[[#This Row],[Calls Ans]]</f>
        <v>13195</v>
      </c>
      <c r="K274" s="1">
        <f>K273+Table2[[#This Row],[Calls Off]]</f>
        <v>116699</v>
      </c>
      <c r="L274" s="1">
        <f>L273+Table2[[#This Row],[Calls Ans]]</f>
        <v>107924</v>
      </c>
      <c r="M274" s="37">
        <v>0.92</v>
      </c>
      <c r="N274" s="93">
        <v>0.03</v>
      </c>
      <c r="O274" s="93">
        <v>0.97</v>
      </c>
      <c r="P274" s="93">
        <v>0.59</v>
      </c>
      <c r="Q274" s="93">
        <v>1</v>
      </c>
      <c r="R274" s="17">
        <v>0</v>
      </c>
      <c r="S274" s="17">
        <v>0</v>
      </c>
      <c r="T274" s="259">
        <v>6</v>
      </c>
      <c r="U274" s="258" t="str">
        <f t="shared" si="17"/>
        <v>Normal</v>
      </c>
      <c r="V274" s="258" t="str">
        <f t="shared" si="18"/>
        <v>Normal</v>
      </c>
      <c r="W274" s="264">
        <f t="shared" si="19"/>
        <v>-0.26967930029154519</v>
      </c>
      <c r="X274" s="264">
        <f t="shared" si="20"/>
        <v>-0.23222748815165878</v>
      </c>
    </row>
    <row r="275" spans="1:38">
      <c r="A275" s="194">
        <v>44925</v>
      </c>
      <c r="B275" s="309">
        <f>IF(YEAR(Table9[[#This Row],[Date]]) = 2022, WEEKNUM(Table9[[#This Row],[Date]])-13, WEEKNUM(Table9[[#This Row],[Date]])+40)</f>
        <v>40</v>
      </c>
      <c r="C275" s="35" t="s">
        <v>52</v>
      </c>
      <c r="D275" s="255" t="s">
        <v>59</v>
      </c>
      <c r="E275" s="43">
        <v>516</v>
      </c>
      <c r="F275" s="43">
        <v>505</v>
      </c>
      <c r="G275" s="67">
        <f>(Table2[[#This Row],[Calls Off]]-E268)/E268</f>
        <v>-0.21461187214611871</v>
      </c>
      <c r="H275" s="67">
        <f>(Table2[[#This Row],[Calls Ans]]-F268)/F268</f>
        <v>-0.18940609951845908</v>
      </c>
      <c r="I275" s="1">
        <f>I274+Table2[[#This Row],[Calls Off]]</f>
        <v>14551</v>
      </c>
      <c r="J275" s="1">
        <f>J274+Table2[[#This Row],[Calls Ans]]</f>
        <v>13700</v>
      </c>
      <c r="K275" s="1">
        <f>K274+Table2[[#This Row],[Calls Off]]</f>
        <v>117215</v>
      </c>
      <c r="L275" s="1">
        <f>L274+Table2[[#This Row],[Calls Ans]]</f>
        <v>108429</v>
      </c>
      <c r="M275" s="18">
        <v>0.94</v>
      </c>
      <c r="N275" s="92">
        <v>0.02</v>
      </c>
      <c r="O275" s="92">
        <v>0.98</v>
      </c>
      <c r="P275" s="92">
        <v>0.52</v>
      </c>
      <c r="Q275" s="92">
        <v>1</v>
      </c>
      <c r="R275" s="17">
        <v>0</v>
      </c>
      <c r="S275" s="17">
        <v>0</v>
      </c>
      <c r="T275" s="259">
        <v>7</v>
      </c>
      <c r="U275" s="258" t="str">
        <f t="shared" si="17"/>
        <v>Normal</v>
      </c>
      <c r="V275" s="258" t="str">
        <f t="shared" si="18"/>
        <v>Normal</v>
      </c>
      <c r="W275" s="264">
        <f t="shared" si="19"/>
        <v>-0.21461187214611871</v>
      </c>
      <c r="X275" s="264">
        <f t="shared" si="20"/>
        <v>-0.18940609951845908</v>
      </c>
    </row>
    <row r="276" spans="1:38">
      <c r="A276" s="194">
        <v>44926</v>
      </c>
      <c r="B276" s="309">
        <f>IF(YEAR(Table9[[#This Row],[Date]]) = 2022, WEEKNUM(Table9[[#This Row],[Date]])-13, WEEKNUM(Table9[[#This Row],[Date]])+40)</f>
        <v>40</v>
      </c>
      <c r="C276" s="34" t="s">
        <v>53</v>
      </c>
      <c r="D276" s="255" t="s">
        <v>59</v>
      </c>
      <c r="E276" s="42">
        <v>190</v>
      </c>
      <c r="F276" s="42">
        <v>186</v>
      </c>
      <c r="G276" s="67">
        <f>(Table2[[#This Row],[Calls Off]]-E269)/E269</f>
        <v>-0.19491525423728814</v>
      </c>
      <c r="H276" s="67">
        <f>(Table2[[#This Row],[Calls Ans]]-F269)/F269</f>
        <v>-0.19130434782608696</v>
      </c>
      <c r="I276" s="1">
        <f>I275+Table2[[#This Row],[Calls Off]]</f>
        <v>14741</v>
      </c>
      <c r="J276" s="1">
        <f>J275+Table2[[#This Row],[Calls Ans]]</f>
        <v>13886</v>
      </c>
      <c r="K276" s="1">
        <f>K275+Table2[[#This Row],[Calls Off]]</f>
        <v>117405</v>
      </c>
      <c r="L276" s="1">
        <f>L275+Table2[[#This Row],[Calls Ans]]</f>
        <v>108615</v>
      </c>
      <c r="M276" s="37">
        <v>0.87</v>
      </c>
      <c r="N276" s="93">
        <v>0.02</v>
      </c>
      <c r="O276" s="93">
        <v>0.98</v>
      </c>
      <c r="P276" s="93">
        <v>0.64</v>
      </c>
      <c r="Q276" s="93">
        <v>1</v>
      </c>
      <c r="R276" s="17">
        <v>0</v>
      </c>
      <c r="S276" s="17">
        <v>0</v>
      </c>
      <c r="T276" s="259">
        <v>5</v>
      </c>
      <c r="U276" s="258" t="str">
        <f t="shared" si="17"/>
        <v>Normal</v>
      </c>
      <c r="V276" s="258" t="str">
        <f t="shared" si="18"/>
        <v>Normal</v>
      </c>
      <c r="W276" s="264">
        <f t="shared" si="19"/>
        <v>-0.19491525423728814</v>
      </c>
      <c r="X276" s="264">
        <f t="shared" si="20"/>
        <v>-0.19130434782608696</v>
      </c>
    </row>
    <row r="277" spans="1:38" s="49" customFormat="1">
      <c r="A277" s="194">
        <v>44927</v>
      </c>
      <c r="B277" s="309">
        <f>IF(YEAR(Table9[[#This Row],[Date]]) = 2022, WEEKNUM(Table9[[#This Row],[Date]])-13, WEEKNUM(Table9[[#This Row],[Date]])+40)</f>
        <v>41</v>
      </c>
      <c r="C277" s="78" t="s">
        <v>47</v>
      </c>
      <c r="D277" s="255" t="s">
        <v>59</v>
      </c>
      <c r="E277" s="146">
        <v>0</v>
      </c>
      <c r="F277" s="146">
        <v>0</v>
      </c>
      <c r="G277" s="84">
        <v>0</v>
      </c>
      <c r="H277" s="84">
        <v>0</v>
      </c>
      <c r="I277" s="68">
        <v>0</v>
      </c>
      <c r="J277" s="68">
        <v>0</v>
      </c>
      <c r="K277" s="68">
        <v>0</v>
      </c>
      <c r="L277" s="68">
        <v>0</v>
      </c>
      <c r="M277" s="2">
        <v>0</v>
      </c>
      <c r="N277" s="147">
        <v>0</v>
      </c>
      <c r="O277" s="147">
        <v>0</v>
      </c>
      <c r="P277" s="147">
        <v>0</v>
      </c>
      <c r="Q277" s="147">
        <v>0</v>
      </c>
      <c r="R277" s="216">
        <v>0</v>
      </c>
      <c r="S277" s="216">
        <v>0</v>
      </c>
      <c r="T277" s="259">
        <v>0</v>
      </c>
      <c r="U277" s="258" t="str">
        <f t="shared" si="17"/>
        <v>Normal</v>
      </c>
      <c r="V277" s="258" t="str">
        <f t="shared" si="18"/>
        <v>Normal</v>
      </c>
      <c r="W277" s="264">
        <f t="shared" si="19"/>
        <v>0</v>
      </c>
      <c r="X277" s="264">
        <f t="shared" si="20"/>
        <v>0</v>
      </c>
      <c r="Y277" s="252"/>
      <c r="Z277" s="252"/>
      <c r="AA277" s="252"/>
      <c r="AB277" s="252"/>
      <c r="AC277" s="252"/>
      <c r="AD277" s="252"/>
      <c r="AE277" s="252"/>
      <c r="AF277" s="252"/>
      <c r="AG277" s="252"/>
      <c r="AH277" s="252"/>
      <c r="AI277" s="252"/>
      <c r="AJ277"/>
      <c r="AK277"/>
      <c r="AL277"/>
    </row>
    <row r="278" spans="1:38">
      <c r="A278" s="194">
        <v>44928</v>
      </c>
      <c r="B278" s="309">
        <f>IF(YEAR(Table9[[#This Row],[Date]]) = 2022, WEEKNUM(Table9[[#This Row],[Date]])-13, WEEKNUM(Table9[[#This Row],[Date]])+40)</f>
        <v>41</v>
      </c>
      <c r="C278" s="34" t="s">
        <v>48</v>
      </c>
      <c r="D278" s="255" t="s">
        <v>59</v>
      </c>
      <c r="E278" s="42">
        <v>0</v>
      </c>
      <c r="F278" s="42">
        <v>0</v>
      </c>
      <c r="G278" s="67">
        <v>0</v>
      </c>
      <c r="H278" s="67">
        <v>0</v>
      </c>
      <c r="I278" s="32">
        <v>0</v>
      </c>
      <c r="J278" s="32">
        <v>0</v>
      </c>
      <c r="K278" s="32">
        <v>0</v>
      </c>
      <c r="L278" s="32">
        <v>0</v>
      </c>
      <c r="M278" s="37">
        <v>0</v>
      </c>
      <c r="N278" s="93">
        <v>0</v>
      </c>
      <c r="O278" s="93">
        <v>0</v>
      </c>
      <c r="P278" s="93">
        <v>0</v>
      </c>
      <c r="Q278" s="93">
        <v>0</v>
      </c>
      <c r="R278" s="17">
        <v>0</v>
      </c>
      <c r="S278" s="17">
        <v>0</v>
      </c>
      <c r="T278" s="259">
        <v>0</v>
      </c>
      <c r="U278" s="258" t="str">
        <f t="shared" si="17"/>
        <v>Normal</v>
      </c>
      <c r="V278" s="258" t="str">
        <f t="shared" si="18"/>
        <v>Normal</v>
      </c>
      <c r="W278" s="264">
        <f t="shared" si="19"/>
        <v>0</v>
      </c>
      <c r="X278" s="264">
        <f t="shared" si="20"/>
        <v>0</v>
      </c>
    </row>
    <row r="279" spans="1:38">
      <c r="A279" s="194">
        <v>44929</v>
      </c>
      <c r="B279" s="309">
        <f>IF(YEAR(Table9[[#This Row],[Date]]) = 2022, WEEKNUM(Table9[[#This Row],[Date]])-13, WEEKNUM(Table9[[#This Row],[Date]])+40)</f>
        <v>41</v>
      </c>
      <c r="C279" s="35" t="s">
        <v>49</v>
      </c>
      <c r="D279" s="255" t="s">
        <v>59</v>
      </c>
      <c r="E279" s="43">
        <v>334</v>
      </c>
      <c r="F279" s="43">
        <v>325</v>
      </c>
      <c r="G279" s="67">
        <f>IFERROR(((Table2[[#This Row],[Calls Off]]-E272)/E272),0)</f>
        <v>0</v>
      </c>
      <c r="H279" s="67">
        <f>IFERROR(((Table2[[#This Row],[Calls Ans]]-F272)/F272),0)</f>
        <v>0</v>
      </c>
      <c r="I279" s="1">
        <f>Table2[[#This Row],[Calls Off]]</f>
        <v>334</v>
      </c>
      <c r="J279" s="1">
        <f>Table2[[#This Row],[Calls Ans]]</f>
        <v>325</v>
      </c>
      <c r="K279" s="1">
        <f>K276+Table2[[#This Row],[Calls Off]]</f>
        <v>117739</v>
      </c>
      <c r="L279" s="1">
        <f>L276+Table2[[#This Row],[Calls Ans]]</f>
        <v>108940</v>
      </c>
      <c r="M279" s="18">
        <v>0.93</v>
      </c>
      <c r="N279" s="92">
        <v>0.03</v>
      </c>
      <c r="O279" s="92">
        <v>0.97</v>
      </c>
      <c r="P279" s="92">
        <v>0.38</v>
      </c>
      <c r="Q279" s="92">
        <v>1</v>
      </c>
      <c r="R279" s="17">
        <v>0</v>
      </c>
      <c r="S279" s="17">
        <v>0</v>
      </c>
      <c r="T279" s="259">
        <v>5</v>
      </c>
      <c r="U279" s="258" t="str">
        <f t="shared" si="17"/>
        <v>Normal</v>
      </c>
      <c r="V279" s="258" t="str">
        <f t="shared" si="18"/>
        <v>Normal</v>
      </c>
      <c r="W279" s="264">
        <f t="shared" si="19"/>
        <v>0</v>
      </c>
      <c r="X279" s="264">
        <f t="shared" si="20"/>
        <v>0</v>
      </c>
    </row>
    <row r="280" spans="1:38">
      <c r="A280" s="194">
        <v>44930</v>
      </c>
      <c r="B280" s="309">
        <f>IF(YEAR(Table9[[#This Row],[Date]]) = 2022, WEEKNUM(Table9[[#This Row],[Date]])-13, WEEKNUM(Table9[[#This Row],[Date]])+40)</f>
        <v>41</v>
      </c>
      <c r="C280" s="34" t="s">
        <v>50</v>
      </c>
      <c r="D280" s="255" t="s">
        <v>59</v>
      </c>
      <c r="E280" s="42">
        <v>564</v>
      </c>
      <c r="F280" s="42">
        <v>543</v>
      </c>
      <c r="G280" s="67">
        <f>IFERROR(((Table2[[#This Row],[Calls Off]]-E273)/E273),0)</f>
        <v>-0.15820895522388059</v>
      </c>
      <c r="H280" s="67">
        <f>IFERROR(((Table2[[#This Row],[Calls Ans]]-F273)/F273),0)</f>
        <v>-0.15813953488372093</v>
      </c>
      <c r="I280" s="1">
        <f>I279+Table2[[#This Row],[Calls Off]]</f>
        <v>898</v>
      </c>
      <c r="J280" s="1">
        <f>J279+Table2[[#This Row],[Calls Ans]]</f>
        <v>868</v>
      </c>
      <c r="K280" s="1">
        <f>K279+Table2[[#This Row],[Calls Off]]</f>
        <v>118303</v>
      </c>
      <c r="L280" s="1">
        <f>L279+Table2[[#This Row],[Calls Ans]]</f>
        <v>109483</v>
      </c>
      <c r="M280" s="37">
        <v>0.92</v>
      </c>
      <c r="N280" s="93">
        <v>0.04</v>
      </c>
      <c r="O280" s="93">
        <v>0.96</v>
      </c>
      <c r="P280" s="93">
        <v>0.67</v>
      </c>
      <c r="Q280" s="93">
        <v>1</v>
      </c>
      <c r="R280" s="17">
        <v>0</v>
      </c>
      <c r="S280" s="17">
        <v>0</v>
      </c>
      <c r="T280" s="259">
        <v>6</v>
      </c>
      <c r="U280" s="258" t="str">
        <f t="shared" si="17"/>
        <v>Normal</v>
      </c>
      <c r="V280" s="258" t="str">
        <f t="shared" si="18"/>
        <v>Normal</v>
      </c>
      <c r="W280" s="264">
        <f t="shared" si="19"/>
        <v>-0.15820895522388059</v>
      </c>
      <c r="X280" s="264">
        <f t="shared" si="20"/>
        <v>-0.15813953488372093</v>
      </c>
    </row>
    <row r="281" spans="1:38">
      <c r="A281" s="194">
        <v>44931</v>
      </c>
      <c r="B281" s="309">
        <f>IF(YEAR(Table9[[#This Row],[Date]]) = 2022, WEEKNUM(Table9[[#This Row],[Date]])-13, WEEKNUM(Table9[[#This Row],[Date]])+40)</f>
        <v>41</v>
      </c>
      <c r="C281" s="35" t="s">
        <v>51</v>
      </c>
      <c r="D281" s="255" t="s">
        <v>59</v>
      </c>
      <c r="E281" s="43">
        <v>481</v>
      </c>
      <c r="F281" s="43">
        <v>473</v>
      </c>
      <c r="G281" s="67">
        <f>IFERROR(((Table2[[#This Row],[Calls Off]]-E274)/E274),0)</f>
        <v>-3.9920159680638723E-2</v>
      </c>
      <c r="H281" s="67">
        <f>IFERROR(((Table2[[#This Row],[Calls Ans]]-F274)/F274),0)</f>
        <v>-2.6748971193415638E-2</v>
      </c>
      <c r="I281" s="1">
        <f>I280+Table2[[#This Row],[Calls Off]]</f>
        <v>1379</v>
      </c>
      <c r="J281" s="1">
        <f>J280+Table2[[#This Row],[Calls Ans]]</f>
        <v>1341</v>
      </c>
      <c r="K281" s="1">
        <f>K280+Table2[[#This Row],[Calls Off]]</f>
        <v>118784</v>
      </c>
      <c r="L281" s="1">
        <f>L280+Table2[[#This Row],[Calls Ans]]</f>
        <v>109956</v>
      </c>
      <c r="M281" s="18">
        <v>0.97</v>
      </c>
      <c r="N281" s="92">
        <v>0.02</v>
      </c>
      <c r="O281" s="92">
        <v>0.98</v>
      </c>
      <c r="P281" s="92">
        <v>0.56000000000000005</v>
      </c>
      <c r="Q281" s="92">
        <v>1</v>
      </c>
      <c r="R281" s="17">
        <v>0</v>
      </c>
      <c r="S281" s="17">
        <v>0</v>
      </c>
      <c r="T281" s="259">
        <v>6</v>
      </c>
      <c r="U281" s="258" t="str">
        <f t="shared" si="17"/>
        <v>Normal</v>
      </c>
      <c r="V281" s="258" t="str">
        <f t="shared" si="18"/>
        <v>Normal</v>
      </c>
      <c r="W281" s="264">
        <f t="shared" si="19"/>
        <v>-3.9920159680638723E-2</v>
      </c>
      <c r="X281" s="264">
        <f t="shared" si="20"/>
        <v>-2.6748971193415638E-2</v>
      </c>
    </row>
    <row r="282" spans="1:38">
      <c r="A282" s="194">
        <v>44932</v>
      </c>
      <c r="B282" s="309">
        <f>IF(YEAR(Table9[[#This Row],[Date]]) = 2022, WEEKNUM(Table9[[#This Row],[Date]])-13, WEEKNUM(Table9[[#This Row],[Date]])+40)</f>
        <v>41</v>
      </c>
      <c r="C282" s="34" t="s">
        <v>52</v>
      </c>
      <c r="D282" s="255" t="s">
        <v>59</v>
      </c>
      <c r="E282" s="42">
        <v>497</v>
      </c>
      <c r="F282" s="42">
        <v>486</v>
      </c>
      <c r="G282" s="67">
        <f>IFERROR(((Table2[[#This Row],[Calls Off]]-E275)/E275),0)</f>
        <v>-3.6821705426356592E-2</v>
      </c>
      <c r="H282" s="67">
        <f>IFERROR(((Table2[[#This Row],[Calls Ans]]-F275)/F275),0)</f>
        <v>-3.7623762376237622E-2</v>
      </c>
      <c r="I282" s="1">
        <f>I281+Table2[[#This Row],[Calls Off]]</f>
        <v>1876</v>
      </c>
      <c r="J282" s="1">
        <f>J281+Table2[[#This Row],[Calls Ans]]</f>
        <v>1827</v>
      </c>
      <c r="K282" s="1">
        <f>K281+Table2[[#This Row],[Calls Off]]</f>
        <v>119281</v>
      </c>
      <c r="L282" s="1">
        <f>L281+Table2[[#This Row],[Calls Ans]]</f>
        <v>110442</v>
      </c>
      <c r="M282" s="37">
        <v>0.91</v>
      </c>
      <c r="N282" s="93">
        <v>0.02</v>
      </c>
      <c r="O282" s="93">
        <v>0.98</v>
      </c>
      <c r="P282" s="93">
        <v>0.57999999999999996</v>
      </c>
      <c r="Q282" s="93">
        <v>1</v>
      </c>
      <c r="R282" s="17">
        <v>0</v>
      </c>
      <c r="S282" s="17">
        <v>0</v>
      </c>
      <c r="T282" s="259">
        <v>6</v>
      </c>
      <c r="U282" s="258" t="str">
        <f t="shared" si="17"/>
        <v>Normal</v>
      </c>
      <c r="V282" s="258" t="str">
        <f t="shared" si="18"/>
        <v>Normal</v>
      </c>
      <c r="W282" s="264">
        <f t="shared" si="19"/>
        <v>-3.6821705426356592E-2</v>
      </c>
      <c r="X282" s="264">
        <f t="shared" si="20"/>
        <v>-3.7623762376237622E-2</v>
      </c>
    </row>
    <row r="283" spans="1:38">
      <c r="A283" s="194">
        <v>44933</v>
      </c>
      <c r="B283" s="309">
        <f>IF(YEAR(Table9[[#This Row],[Date]]) = 2022, WEEKNUM(Table9[[#This Row],[Date]])-13, WEEKNUM(Table9[[#This Row],[Date]])+40)</f>
        <v>41</v>
      </c>
      <c r="C283" s="35" t="s">
        <v>53</v>
      </c>
      <c r="D283" s="255" t="s">
        <v>59</v>
      </c>
      <c r="E283" s="43">
        <v>203</v>
      </c>
      <c r="F283" s="43">
        <v>195</v>
      </c>
      <c r="G283" s="67">
        <f>IFERROR(((Table2[[#This Row],[Calls Off]]-E276)/E276),0)</f>
        <v>6.8421052631578952E-2</v>
      </c>
      <c r="H283" s="67">
        <f>IFERROR(((Table2[[#This Row],[Calls Ans]]-F276)/F276),0)</f>
        <v>4.8387096774193547E-2</v>
      </c>
      <c r="I283" s="1">
        <f>I282+Table2[[#This Row],[Calls Off]]</f>
        <v>2079</v>
      </c>
      <c r="J283" s="1">
        <f>J282+Table2[[#This Row],[Calls Ans]]</f>
        <v>2022</v>
      </c>
      <c r="K283" s="1">
        <f>K282+Table2[[#This Row],[Calls Off]]</f>
        <v>119484</v>
      </c>
      <c r="L283" s="1">
        <f>L282+Table2[[#This Row],[Calls Ans]]</f>
        <v>110637</v>
      </c>
      <c r="M283" s="18">
        <v>0.85</v>
      </c>
      <c r="N283" s="92">
        <v>0.04</v>
      </c>
      <c r="O283" s="92">
        <v>0.96</v>
      </c>
      <c r="P283" s="92">
        <v>0.45</v>
      </c>
      <c r="Q283" s="92">
        <v>1</v>
      </c>
      <c r="R283" s="17">
        <v>0</v>
      </c>
      <c r="S283" s="17">
        <v>0</v>
      </c>
      <c r="T283" s="259">
        <v>4</v>
      </c>
      <c r="U283" s="258" t="str">
        <f t="shared" si="17"/>
        <v>Normal</v>
      </c>
      <c r="V283" s="258" t="str">
        <f t="shared" si="18"/>
        <v>Normal</v>
      </c>
      <c r="W283" s="264">
        <f t="shared" si="19"/>
        <v>6.8421052631578952E-2</v>
      </c>
      <c r="X283" s="264">
        <f t="shared" si="20"/>
        <v>4.8387096774193547E-2</v>
      </c>
    </row>
    <row r="284" spans="1:38">
      <c r="A284" s="194">
        <v>44934</v>
      </c>
      <c r="B284" s="309">
        <f>IF(YEAR(Table9[[#This Row],[Date]]) = 2022, WEEKNUM(Table9[[#This Row],[Date]])-13, WEEKNUM(Table9[[#This Row],[Date]])+40)</f>
        <v>42</v>
      </c>
      <c r="C284" s="34" t="s">
        <v>47</v>
      </c>
      <c r="D284" s="255" t="s">
        <v>59</v>
      </c>
      <c r="E284" s="42">
        <v>0</v>
      </c>
      <c r="F284" s="42">
        <v>0</v>
      </c>
      <c r="G284" s="67">
        <v>0</v>
      </c>
      <c r="H284" s="67">
        <v>0</v>
      </c>
      <c r="I284" s="32">
        <v>0</v>
      </c>
      <c r="J284" s="32">
        <v>0</v>
      </c>
      <c r="K284" s="32">
        <v>0</v>
      </c>
      <c r="L284" s="32">
        <v>0</v>
      </c>
      <c r="M284" s="37">
        <v>0</v>
      </c>
      <c r="N284" s="93">
        <v>0</v>
      </c>
      <c r="O284" s="93">
        <v>0</v>
      </c>
      <c r="P284" s="93">
        <v>0</v>
      </c>
      <c r="Q284" s="93">
        <v>0</v>
      </c>
      <c r="R284" s="17">
        <v>0</v>
      </c>
      <c r="S284" s="17">
        <v>0</v>
      </c>
      <c r="T284" s="259">
        <v>0</v>
      </c>
      <c r="U284" s="258" t="str">
        <f t="shared" si="17"/>
        <v>Normal</v>
      </c>
      <c r="V284" s="258" t="str">
        <f t="shared" si="18"/>
        <v>Normal</v>
      </c>
      <c r="W284" s="264">
        <f t="shared" si="19"/>
        <v>0</v>
      </c>
      <c r="X284" s="264">
        <f t="shared" si="20"/>
        <v>0</v>
      </c>
    </row>
    <row r="285" spans="1:38">
      <c r="A285" s="194">
        <v>44935</v>
      </c>
      <c r="B285" s="309">
        <f>IF(YEAR(Table9[[#This Row],[Date]]) = 2022, WEEKNUM(Table9[[#This Row],[Date]])-13, WEEKNUM(Table9[[#This Row],[Date]])+40)</f>
        <v>42</v>
      </c>
      <c r="C285" s="35" t="s">
        <v>48</v>
      </c>
      <c r="D285" s="255" t="s">
        <v>59</v>
      </c>
      <c r="E285" s="43">
        <v>547</v>
      </c>
      <c r="F285" s="43">
        <v>516</v>
      </c>
      <c r="G285" s="67">
        <f>IFERROR(((Table2[[#This Row],[Calls Off]]-E278)/E278),0)</f>
        <v>0</v>
      </c>
      <c r="H285" s="67">
        <f>IFERROR(((Table2[[#This Row],[Calls Ans]]-F278)/F278),0)</f>
        <v>0</v>
      </c>
      <c r="I285" s="1">
        <f>I283+Table2[[#This Row],[Calls Off]]</f>
        <v>2626</v>
      </c>
      <c r="J285" s="1">
        <f>J283+Table2[[#This Row],[Calls Ans]]</f>
        <v>2538</v>
      </c>
      <c r="K285" s="1">
        <f>K283+Table2[[#This Row],[Calls Off]]</f>
        <v>120031</v>
      </c>
      <c r="L285" s="1">
        <f>L283+Table2[[#This Row],[Calls Ans]]</f>
        <v>111153</v>
      </c>
      <c r="M285" s="18">
        <v>0.86</v>
      </c>
      <c r="N285" s="92">
        <v>0.06</v>
      </c>
      <c r="O285" s="92">
        <v>0.94</v>
      </c>
      <c r="P285" s="92">
        <v>0.74</v>
      </c>
      <c r="Q285" s="92">
        <v>1</v>
      </c>
      <c r="R285" s="17">
        <v>0</v>
      </c>
      <c r="S285" s="17">
        <v>0</v>
      </c>
      <c r="T285" s="259">
        <v>5</v>
      </c>
      <c r="U285" s="258" t="str">
        <f t="shared" si="17"/>
        <v>Normal</v>
      </c>
      <c r="V285" s="258" t="str">
        <f t="shared" si="18"/>
        <v>Normal</v>
      </c>
      <c r="W285" s="264">
        <f t="shared" si="19"/>
        <v>0</v>
      </c>
      <c r="X285" s="264">
        <f t="shared" si="20"/>
        <v>0</v>
      </c>
    </row>
    <row r="286" spans="1:38">
      <c r="A286" s="194">
        <v>44936</v>
      </c>
      <c r="B286" s="309">
        <f>IF(YEAR(Table9[[#This Row],[Date]]) = 2022, WEEKNUM(Table9[[#This Row],[Date]])-13, WEEKNUM(Table9[[#This Row],[Date]])+40)</f>
        <v>42</v>
      </c>
      <c r="C286" s="34" t="s">
        <v>49</v>
      </c>
      <c r="D286" s="255" t="s">
        <v>59</v>
      </c>
      <c r="E286" s="42">
        <v>506</v>
      </c>
      <c r="F286" s="42">
        <v>489</v>
      </c>
      <c r="G286" s="67">
        <f>IFERROR(((Table2[[#This Row],[Calls Off]]-E279)/E279),0)</f>
        <v>0.51497005988023947</v>
      </c>
      <c r="H286" s="67">
        <f>IFERROR(((Table2[[#This Row],[Calls Ans]]-F279)/F279),0)</f>
        <v>0.50461538461538458</v>
      </c>
      <c r="I286" s="1">
        <f>I285+Table2[[#This Row],[Calls Off]]</f>
        <v>3132</v>
      </c>
      <c r="J286" s="1">
        <f>J285+Table2[[#This Row],[Calls Ans]]</f>
        <v>3027</v>
      </c>
      <c r="K286" s="1">
        <f>K285+Table2[[#This Row],[Calls Off]]</f>
        <v>120537</v>
      </c>
      <c r="L286" s="1">
        <f>L285+Table2[[#This Row],[Calls Ans]]</f>
        <v>111642</v>
      </c>
      <c r="M286" s="37">
        <v>0.86</v>
      </c>
      <c r="N286" s="93">
        <v>0.03</v>
      </c>
      <c r="O286" s="93">
        <v>0.97</v>
      </c>
      <c r="P286" s="93">
        <v>0.71</v>
      </c>
      <c r="Q286" s="93">
        <v>1</v>
      </c>
      <c r="R286" s="17">
        <v>0</v>
      </c>
      <c r="S286" s="17">
        <v>0</v>
      </c>
      <c r="T286" s="259">
        <v>5</v>
      </c>
      <c r="U286" s="258" t="str">
        <f t="shared" si="17"/>
        <v>Outlier</v>
      </c>
      <c r="V286" s="258" t="str">
        <f t="shared" si="18"/>
        <v>Outlier</v>
      </c>
      <c r="W286" s="264">
        <f t="shared" si="19"/>
        <v>0.51497005988023947</v>
      </c>
      <c r="X286" s="264">
        <f t="shared" si="20"/>
        <v>0.50461538461538458</v>
      </c>
    </row>
    <row r="287" spans="1:38">
      <c r="A287" s="194">
        <v>44937</v>
      </c>
      <c r="B287" s="309">
        <f>IF(YEAR(Table9[[#This Row],[Date]]) = 2022, WEEKNUM(Table9[[#This Row],[Date]])-13, WEEKNUM(Table9[[#This Row],[Date]])+40)</f>
        <v>42</v>
      </c>
      <c r="C287" s="35" t="s">
        <v>50</v>
      </c>
      <c r="D287" s="255" t="s">
        <v>59</v>
      </c>
      <c r="E287" s="43">
        <v>427</v>
      </c>
      <c r="F287" s="43">
        <v>415</v>
      </c>
      <c r="G287" s="67">
        <f>IFERROR(((Table2[[#This Row],[Calls Off]]-E280)/E280),0)</f>
        <v>-0.24290780141843971</v>
      </c>
      <c r="H287" s="67">
        <f>IFERROR(((Table2[[#This Row],[Calls Ans]]-F280)/F280),0)</f>
        <v>-0.23572744014732966</v>
      </c>
      <c r="I287" s="1">
        <f>I286+Table2[[#This Row],[Calls Off]]</f>
        <v>3559</v>
      </c>
      <c r="J287" s="1">
        <f>J286+Table2[[#This Row],[Calls Ans]]</f>
        <v>3442</v>
      </c>
      <c r="K287" s="1">
        <f>K286+Table2[[#This Row],[Calls Off]]</f>
        <v>120964</v>
      </c>
      <c r="L287" s="1">
        <f>L286+Table2[[#This Row],[Calls Ans]]</f>
        <v>112057</v>
      </c>
      <c r="M287" s="18">
        <v>0.95</v>
      </c>
      <c r="N287" s="92">
        <v>0.03</v>
      </c>
      <c r="O287" s="92">
        <v>0.97</v>
      </c>
      <c r="P287" s="92">
        <v>0.48</v>
      </c>
      <c r="Q287" s="92">
        <v>1</v>
      </c>
      <c r="R287" s="17">
        <v>0</v>
      </c>
      <c r="S287" s="17">
        <v>0</v>
      </c>
      <c r="T287" s="259">
        <v>5</v>
      </c>
      <c r="U287" s="258" t="str">
        <f t="shared" si="17"/>
        <v>Normal</v>
      </c>
      <c r="V287" s="258" t="str">
        <f t="shared" si="18"/>
        <v>Normal</v>
      </c>
      <c r="W287" s="264">
        <f t="shared" si="19"/>
        <v>-0.24290780141843971</v>
      </c>
      <c r="X287" s="264">
        <f t="shared" si="20"/>
        <v>-0.23572744014732966</v>
      </c>
    </row>
    <row r="288" spans="1:38">
      <c r="A288" s="194">
        <v>44938</v>
      </c>
      <c r="B288" s="309">
        <f>IF(YEAR(Table9[[#This Row],[Date]]) = 2022, WEEKNUM(Table9[[#This Row],[Date]])-13, WEEKNUM(Table9[[#This Row],[Date]])+40)</f>
        <v>42</v>
      </c>
      <c r="C288" s="34" t="s">
        <v>51</v>
      </c>
      <c r="D288" s="255" t="s">
        <v>59</v>
      </c>
      <c r="E288" s="42">
        <v>478</v>
      </c>
      <c r="F288" s="42">
        <v>455</v>
      </c>
      <c r="G288" s="67">
        <f>IFERROR(((Table2[[#This Row],[Calls Off]]-E281)/E281),0)</f>
        <v>-6.2370062370062374E-3</v>
      </c>
      <c r="H288" s="67">
        <f>IFERROR(((Table2[[#This Row],[Calls Ans]]-F281)/F281),0)</f>
        <v>-3.8054968287526428E-2</v>
      </c>
      <c r="I288" s="1">
        <f>I287+Table2[[#This Row],[Calls Off]]</f>
        <v>4037</v>
      </c>
      <c r="J288" s="1">
        <f>J287+Table2[[#This Row],[Calls Ans]]</f>
        <v>3897</v>
      </c>
      <c r="K288" s="1">
        <f>K287+Table2[[#This Row],[Calls Off]]</f>
        <v>121442</v>
      </c>
      <c r="L288" s="1">
        <f>L287+Table2[[#This Row],[Calls Ans]]</f>
        <v>112512</v>
      </c>
      <c r="M288" s="37">
        <v>0.87</v>
      </c>
      <c r="N288" s="93">
        <v>0.05</v>
      </c>
      <c r="O288" s="93">
        <v>0.95</v>
      </c>
      <c r="P288" s="93">
        <v>0.67</v>
      </c>
      <c r="Q288" s="93">
        <v>1</v>
      </c>
      <c r="R288" s="17">
        <v>0</v>
      </c>
      <c r="S288" s="17">
        <v>0</v>
      </c>
      <c r="T288" s="259">
        <v>5</v>
      </c>
      <c r="U288" s="258" t="str">
        <f t="shared" si="17"/>
        <v>Normal</v>
      </c>
      <c r="V288" s="258" t="str">
        <f t="shared" si="18"/>
        <v>Normal</v>
      </c>
      <c r="W288" s="264">
        <f t="shared" si="19"/>
        <v>-6.2370062370062374E-3</v>
      </c>
      <c r="X288" s="264">
        <f t="shared" si="20"/>
        <v>-3.8054968287526428E-2</v>
      </c>
    </row>
    <row r="289" spans="1:40">
      <c r="A289" s="194">
        <v>44939</v>
      </c>
      <c r="B289" s="309">
        <f>IF(YEAR(Table9[[#This Row],[Date]]) = 2022, WEEKNUM(Table9[[#This Row],[Date]])-13, WEEKNUM(Table9[[#This Row],[Date]])+40)</f>
        <v>42</v>
      </c>
      <c r="C289" s="35" t="s">
        <v>52</v>
      </c>
      <c r="D289" s="255" t="s">
        <v>59</v>
      </c>
      <c r="E289" s="43">
        <v>497</v>
      </c>
      <c r="F289" s="43">
        <v>466</v>
      </c>
      <c r="G289" s="67">
        <f>IFERROR(((Table2[[#This Row],[Calls Off]]-E282)/E282),0)</f>
        <v>0</v>
      </c>
      <c r="H289" s="67">
        <f>IFERROR(((Table2[[#This Row],[Calls Ans]]-F282)/F282),0)</f>
        <v>-4.1152263374485597E-2</v>
      </c>
      <c r="I289" s="1">
        <f>I288+Table2[[#This Row],[Calls Off]]</f>
        <v>4534</v>
      </c>
      <c r="J289" s="1">
        <f>J288+Table2[[#This Row],[Calls Ans]]</f>
        <v>4363</v>
      </c>
      <c r="K289" s="1">
        <f>K288+Table2[[#This Row],[Calls Off]]</f>
        <v>121939</v>
      </c>
      <c r="L289" s="1">
        <f>L288+Table2[[#This Row],[Calls Ans]]</f>
        <v>112978</v>
      </c>
      <c r="M289" s="18">
        <v>0.84</v>
      </c>
      <c r="N289" s="92">
        <v>0.06</v>
      </c>
      <c r="O289" s="92">
        <v>0.94</v>
      </c>
      <c r="P289" s="92">
        <v>0.65</v>
      </c>
      <c r="Q289" s="92">
        <v>1</v>
      </c>
      <c r="R289" s="17">
        <v>0</v>
      </c>
      <c r="S289" s="17">
        <v>0</v>
      </c>
      <c r="T289" s="259">
        <v>5</v>
      </c>
      <c r="U289" s="258" t="str">
        <f t="shared" si="17"/>
        <v>Normal</v>
      </c>
      <c r="V289" s="258" t="str">
        <f t="shared" si="18"/>
        <v>Normal</v>
      </c>
      <c r="W289" s="264">
        <f t="shared" si="19"/>
        <v>0</v>
      </c>
      <c r="X289" s="264">
        <f t="shared" si="20"/>
        <v>-4.1152263374485597E-2</v>
      </c>
    </row>
    <row r="290" spans="1:40">
      <c r="A290" s="194">
        <v>44940</v>
      </c>
      <c r="B290" s="309">
        <f>IF(YEAR(Table9[[#This Row],[Date]]) = 2022, WEEKNUM(Table9[[#This Row],[Date]])-13, WEEKNUM(Table9[[#This Row],[Date]])+40)</f>
        <v>42</v>
      </c>
      <c r="C290" s="34" t="s">
        <v>53</v>
      </c>
      <c r="D290" s="255" t="s">
        <v>59</v>
      </c>
      <c r="E290" s="42">
        <v>172</v>
      </c>
      <c r="F290" s="42">
        <v>163</v>
      </c>
      <c r="G290" s="67">
        <f>IFERROR(((Table2[[#This Row],[Calls Off]]-E283)/E283),0)</f>
        <v>-0.15270935960591134</v>
      </c>
      <c r="H290" s="67">
        <f>IFERROR(((Table2[[#This Row],[Calls Ans]]-F283)/F283),0)</f>
        <v>-0.1641025641025641</v>
      </c>
      <c r="I290" s="1">
        <f>I289+Table2[[#This Row],[Calls Off]]</f>
        <v>4706</v>
      </c>
      <c r="J290" s="1">
        <f>J289+Table2[[#This Row],[Calls Ans]]</f>
        <v>4526</v>
      </c>
      <c r="K290" s="1">
        <f>K289+Table2[[#This Row],[Calls Off]]</f>
        <v>122111</v>
      </c>
      <c r="L290" s="1">
        <f>L289+Table2[[#This Row],[Calls Ans]]</f>
        <v>113141</v>
      </c>
      <c r="M290" s="37">
        <v>0.88</v>
      </c>
      <c r="N290" s="93">
        <v>0.05</v>
      </c>
      <c r="O290" s="93">
        <v>0.95</v>
      </c>
      <c r="P290" s="93">
        <v>0.55000000000000004</v>
      </c>
      <c r="Q290" s="93">
        <v>1</v>
      </c>
      <c r="R290" s="17">
        <v>0</v>
      </c>
      <c r="S290" s="17">
        <v>0</v>
      </c>
      <c r="T290" s="259">
        <v>4</v>
      </c>
      <c r="U290" s="258" t="str">
        <f t="shared" si="17"/>
        <v>Normal</v>
      </c>
      <c r="V290" s="258" t="str">
        <f t="shared" si="18"/>
        <v>Normal</v>
      </c>
      <c r="W290" s="264">
        <f t="shared" si="19"/>
        <v>-0.15270935960591134</v>
      </c>
      <c r="X290" s="264">
        <f t="shared" si="20"/>
        <v>-0.1641025641025641</v>
      </c>
    </row>
    <row r="291" spans="1:40">
      <c r="A291" s="194">
        <v>44941</v>
      </c>
      <c r="B291" s="309">
        <f>IF(YEAR(Table9[[#This Row],[Date]]) = 2022, WEEKNUM(Table9[[#This Row],[Date]])-13, WEEKNUM(Table9[[#This Row],[Date]])+40)</f>
        <v>43</v>
      </c>
      <c r="C291" s="35" t="s">
        <v>47</v>
      </c>
      <c r="D291" s="255" t="s">
        <v>59</v>
      </c>
      <c r="E291" s="43">
        <v>0</v>
      </c>
      <c r="F291" s="43">
        <v>0</v>
      </c>
      <c r="G291" s="67">
        <v>0</v>
      </c>
      <c r="H291" s="67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92">
        <v>0</v>
      </c>
      <c r="O291" s="92">
        <v>0</v>
      </c>
      <c r="P291" s="92">
        <v>0</v>
      </c>
      <c r="Q291" s="92">
        <v>0</v>
      </c>
      <c r="R291" s="17">
        <v>0</v>
      </c>
      <c r="S291" s="17">
        <v>0</v>
      </c>
      <c r="T291" s="259">
        <v>0</v>
      </c>
      <c r="U291" s="258" t="str">
        <f t="shared" si="17"/>
        <v>Normal</v>
      </c>
      <c r="V291" s="258" t="str">
        <f t="shared" si="18"/>
        <v>Normal</v>
      </c>
      <c r="W291" s="264">
        <f t="shared" si="19"/>
        <v>0</v>
      </c>
      <c r="X291" s="264">
        <f t="shared" si="20"/>
        <v>0</v>
      </c>
    </row>
    <row r="292" spans="1:40">
      <c r="A292" s="194">
        <v>44942</v>
      </c>
      <c r="B292" s="309">
        <f>IF(YEAR(Table9[[#This Row],[Date]]) = 2022, WEEKNUM(Table9[[#This Row],[Date]])-13, WEEKNUM(Table9[[#This Row],[Date]])+40)</f>
        <v>43</v>
      </c>
      <c r="C292" s="34" t="s">
        <v>48</v>
      </c>
      <c r="D292" s="255" t="s">
        <v>59</v>
      </c>
      <c r="E292" s="42">
        <v>500</v>
      </c>
      <c r="F292" s="42">
        <v>478</v>
      </c>
      <c r="G292" s="67">
        <f>IFERROR(((Table2[[#This Row],[Calls Off]]-E285)/E285),0)</f>
        <v>-8.5923217550274225E-2</v>
      </c>
      <c r="H292" s="67">
        <f>IFERROR(((Table2[[#This Row],[Calls Ans]]-F285)/F285),0)</f>
        <v>-7.3643410852713184E-2</v>
      </c>
      <c r="I292" s="1">
        <f>I290+Table2[[#This Row],[Calls Off]]</f>
        <v>5206</v>
      </c>
      <c r="J292" s="1">
        <f>J290+Table2[[#This Row],[Calls Ans]]</f>
        <v>5004</v>
      </c>
      <c r="K292" s="1">
        <f>K290+Table2[[#This Row],[Calls Off]]</f>
        <v>122611</v>
      </c>
      <c r="L292" s="1">
        <f>L290+Table2[[#This Row],[Calls Ans]]</f>
        <v>113619</v>
      </c>
      <c r="M292" s="37">
        <v>0.87</v>
      </c>
      <c r="N292" s="93">
        <v>0.04</v>
      </c>
      <c r="O292" s="93">
        <v>0.96</v>
      </c>
      <c r="P292" s="93">
        <v>0.72</v>
      </c>
      <c r="Q292" s="93">
        <v>1</v>
      </c>
      <c r="R292" s="17">
        <v>0</v>
      </c>
      <c r="S292" s="17">
        <v>0</v>
      </c>
      <c r="T292" s="259">
        <v>5</v>
      </c>
      <c r="U292" s="258" t="str">
        <f t="shared" si="17"/>
        <v>Normal</v>
      </c>
      <c r="V292" s="258" t="str">
        <f t="shared" si="18"/>
        <v>Normal</v>
      </c>
      <c r="W292" s="264">
        <f t="shared" si="19"/>
        <v>-8.5923217550274225E-2</v>
      </c>
      <c r="X292" s="264">
        <f t="shared" si="20"/>
        <v>-7.3643410852713184E-2</v>
      </c>
    </row>
    <row r="293" spans="1:40">
      <c r="A293" s="194">
        <v>44943</v>
      </c>
      <c r="B293" s="309">
        <f>IF(YEAR(Table9[[#This Row],[Date]]) = 2022, WEEKNUM(Table9[[#This Row],[Date]])-13, WEEKNUM(Table9[[#This Row],[Date]])+40)</f>
        <v>43</v>
      </c>
      <c r="C293" s="35" t="s">
        <v>49</v>
      </c>
      <c r="D293" s="255" t="s">
        <v>59</v>
      </c>
      <c r="E293" s="43">
        <v>433</v>
      </c>
      <c r="F293" s="43">
        <v>415</v>
      </c>
      <c r="G293" s="67">
        <f>IFERROR(((Table2[[#This Row],[Calls Off]]-E286)/E286),0)</f>
        <v>-0.14426877470355731</v>
      </c>
      <c r="H293" s="67">
        <f>IFERROR(((Table2[[#This Row],[Calls Ans]]-F286)/F286),0)</f>
        <v>-0.15132924335378323</v>
      </c>
      <c r="I293" s="1">
        <f>I292+Table2[[#This Row],[Calls Off]]</f>
        <v>5639</v>
      </c>
      <c r="J293" s="1">
        <f>J292+Table2[[#This Row],[Calls Ans]]</f>
        <v>5419</v>
      </c>
      <c r="K293" s="1">
        <f>K292+Table2[[#This Row],[Calls Off]]</f>
        <v>123044</v>
      </c>
      <c r="L293" s="1">
        <f>L292+Table2[[#This Row],[Calls Ans]]</f>
        <v>114034</v>
      </c>
      <c r="M293" s="18">
        <v>0.91</v>
      </c>
      <c r="N293" s="92">
        <v>0.04</v>
      </c>
      <c r="O293" s="92">
        <v>0.96</v>
      </c>
      <c r="P293" s="92">
        <v>0.59</v>
      </c>
      <c r="Q293" s="92">
        <v>1</v>
      </c>
      <c r="R293" s="17">
        <v>0</v>
      </c>
      <c r="S293" s="17">
        <v>0</v>
      </c>
      <c r="T293" s="259">
        <v>5</v>
      </c>
      <c r="U293" s="258" t="str">
        <f t="shared" si="17"/>
        <v>Normal</v>
      </c>
      <c r="V293" s="258" t="str">
        <f t="shared" si="18"/>
        <v>Normal</v>
      </c>
      <c r="W293" s="264">
        <f t="shared" si="19"/>
        <v>-0.14426877470355731</v>
      </c>
      <c r="X293" s="264">
        <f t="shared" si="20"/>
        <v>-0.15132924335378323</v>
      </c>
      <c r="AJ293" s="49"/>
      <c r="AK293" s="49"/>
      <c r="AL293" s="49"/>
    </row>
    <row r="294" spans="1:40">
      <c r="A294" s="194">
        <v>44944</v>
      </c>
      <c r="B294" s="309">
        <f>IF(YEAR(Table9[[#This Row],[Date]]) = 2022, WEEKNUM(Table9[[#This Row],[Date]])-13, WEEKNUM(Table9[[#This Row],[Date]])+40)</f>
        <v>43</v>
      </c>
      <c r="C294" s="34" t="s">
        <v>50</v>
      </c>
      <c r="D294" s="255" t="s">
        <v>59</v>
      </c>
      <c r="E294" s="42">
        <v>372</v>
      </c>
      <c r="F294" s="42">
        <v>361</v>
      </c>
      <c r="G294" s="67">
        <f>IFERROR(((Table2[[#This Row],[Calls Off]]-E287)/E287),0)</f>
        <v>-0.1288056206088993</v>
      </c>
      <c r="H294" s="67">
        <f>IFERROR(((Table2[[#This Row],[Calls Ans]]-F287)/F287),0)</f>
        <v>-0.13012048192771083</v>
      </c>
      <c r="I294" s="1">
        <f>I293+Table2[[#This Row],[Calls Off]]</f>
        <v>6011</v>
      </c>
      <c r="J294" s="1">
        <f>J293+Table2[[#This Row],[Calls Ans]]</f>
        <v>5780</v>
      </c>
      <c r="K294" s="1">
        <f>K293+Table2[[#This Row],[Calls Off]]</f>
        <v>123416</v>
      </c>
      <c r="L294" s="1">
        <f>L293+Table2[[#This Row],[Calls Ans]]</f>
        <v>114395</v>
      </c>
      <c r="M294" s="37">
        <v>0.9</v>
      </c>
      <c r="N294" s="93">
        <v>0.03</v>
      </c>
      <c r="O294" s="93">
        <v>0.97</v>
      </c>
      <c r="P294" s="93">
        <v>0.51</v>
      </c>
      <c r="Q294" s="93">
        <v>1</v>
      </c>
      <c r="R294" s="17">
        <v>0</v>
      </c>
      <c r="S294" s="17">
        <v>0</v>
      </c>
      <c r="T294" s="259">
        <v>5</v>
      </c>
      <c r="U294" s="258" t="str">
        <f t="shared" si="17"/>
        <v>Normal</v>
      </c>
      <c r="V294" s="258" t="str">
        <f t="shared" si="18"/>
        <v>Normal</v>
      </c>
      <c r="W294" s="264">
        <f t="shared" si="19"/>
        <v>-0.1288056206088993</v>
      </c>
      <c r="X294" s="264">
        <f t="shared" si="20"/>
        <v>-0.13012048192771083</v>
      </c>
    </row>
    <row r="295" spans="1:40">
      <c r="A295" s="194">
        <v>44945</v>
      </c>
      <c r="B295" s="309">
        <f>IF(YEAR(Table9[[#This Row],[Date]]) = 2022, WEEKNUM(Table9[[#This Row],[Date]])-13, WEEKNUM(Table9[[#This Row],[Date]])+40)</f>
        <v>43</v>
      </c>
      <c r="C295" s="35" t="s">
        <v>51</v>
      </c>
      <c r="D295" s="255" t="s">
        <v>59</v>
      </c>
      <c r="E295" s="43">
        <v>312</v>
      </c>
      <c r="F295" s="43">
        <v>302</v>
      </c>
      <c r="G295" s="67">
        <f>IFERROR(((Table2[[#This Row],[Calls Off]]-E288)/E288),0)</f>
        <v>-0.34728033472803349</v>
      </c>
      <c r="H295" s="67">
        <f>IFERROR(((Table2[[#This Row],[Calls Ans]]-F288)/F288),0)</f>
        <v>-0.33626373626373629</v>
      </c>
      <c r="I295" s="1">
        <f>I294+Table2[[#This Row],[Calls Off]]</f>
        <v>6323</v>
      </c>
      <c r="J295" s="1">
        <f>J294+Table2[[#This Row],[Calls Ans]]</f>
        <v>6082</v>
      </c>
      <c r="K295" s="1">
        <f>K294+Table2[[#This Row],[Calls Off]]</f>
        <v>123728</v>
      </c>
      <c r="L295" s="1">
        <f>L294+Table2[[#This Row],[Calls Ans]]</f>
        <v>114697</v>
      </c>
      <c r="M295" s="18">
        <v>0.89</v>
      </c>
      <c r="N295" s="92">
        <v>0.03</v>
      </c>
      <c r="O295" s="92">
        <v>0.97</v>
      </c>
      <c r="P295" s="92">
        <v>0.47</v>
      </c>
      <c r="Q295" s="92">
        <v>1</v>
      </c>
      <c r="R295" s="17">
        <v>0</v>
      </c>
      <c r="S295" s="17">
        <v>0</v>
      </c>
      <c r="T295" s="259">
        <v>5</v>
      </c>
      <c r="U295" s="258" t="str">
        <f t="shared" si="17"/>
        <v>Normal</v>
      </c>
      <c r="V295" s="258" t="str">
        <f t="shared" si="18"/>
        <v>Normal</v>
      </c>
      <c r="W295" s="264">
        <f t="shared" si="19"/>
        <v>-0.34728033472803349</v>
      </c>
      <c r="X295" s="264">
        <f t="shared" si="20"/>
        <v>-0.33626373626373629</v>
      </c>
    </row>
    <row r="296" spans="1:40">
      <c r="A296" s="194">
        <v>44946</v>
      </c>
      <c r="B296" s="309">
        <f>IF(YEAR(Table9[[#This Row],[Date]]) = 2022, WEEKNUM(Table9[[#This Row],[Date]])-13, WEEKNUM(Table9[[#This Row],[Date]])+40)</f>
        <v>43</v>
      </c>
      <c r="C296" s="34" t="s">
        <v>52</v>
      </c>
      <c r="D296" s="255" t="s">
        <v>59</v>
      </c>
      <c r="E296" s="42">
        <v>414</v>
      </c>
      <c r="F296" s="42">
        <v>393</v>
      </c>
      <c r="G296" s="67">
        <f>IFERROR(((Table2[[#This Row],[Calls Off]]-E289)/E289),0)</f>
        <v>-0.16700201207243462</v>
      </c>
      <c r="H296" s="67">
        <f>IFERROR(((Table2[[#This Row],[Calls Ans]]-F289)/F289),0)</f>
        <v>-0.15665236051502146</v>
      </c>
      <c r="I296" s="1">
        <f>I295+Table2[[#This Row],[Calls Off]]</f>
        <v>6737</v>
      </c>
      <c r="J296" s="1">
        <f>J295+Table2[[#This Row],[Calls Ans]]</f>
        <v>6475</v>
      </c>
      <c r="K296" s="1">
        <f>K295+Table2[[#This Row],[Calls Off]]</f>
        <v>124142</v>
      </c>
      <c r="L296" s="1">
        <f>L295+Table2[[#This Row],[Calls Ans]]</f>
        <v>115090</v>
      </c>
      <c r="M296" s="37">
        <v>0.85</v>
      </c>
      <c r="N296" s="93">
        <v>0.05</v>
      </c>
      <c r="O296" s="93">
        <v>0.95</v>
      </c>
      <c r="P296" s="93">
        <v>0.56999999999999995</v>
      </c>
      <c r="Q296" s="93">
        <v>1</v>
      </c>
      <c r="R296" s="17">
        <v>0</v>
      </c>
      <c r="S296" s="17">
        <v>0</v>
      </c>
      <c r="T296" s="259">
        <v>5</v>
      </c>
      <c r="U296" s="258" t="str">
        <f t="shared" si="17"/>
        <v>Normal</v>
      </c>
      <c r="V296" s="258" t="str">
        <f t="shared" si="18"/>
        <v>Normal</v>
      </c>
      <c r="W296" s="264">
        <f t="shared" si="19"/>
        <v>-0.16700201207243462</v>
      </c>
      <c r="X296" s="264">
        <f t="shared" si="20"/>
        <v>-0.15665236051502146</v>
      </c>
    </row>
    <row r="297" spans="1:40">
      <c r="A297" s="194">
        <v>44947</v>
      </c>
      <c r="B297" s="309">
        <f>IF(YEAR(Table9[[#This Row],[Date]]) = 2022, WEEKNUM(Table9[[#This Row],[Date]])-13, WEEKNUM(Table9[[#This Row],[Date]])+40)</f>
        <v>43</v>
      </c>
      <c r="C297" s="35" t="s">
        <v>53</v>
      </c>
      <c r="D297" s="255" t="s">
        <v>59</v>
      </c>
      <c r="E297" s="43">
        <v>132</v>
      </c>
      <c r="F297" s="43">
        <v>128</v>
      </c>
      <c r="G297" s="67">
        <f>IFERROR(((Table2[[#This Row],[Calls Off]]-E290)/E290),0)</f>
        <v>-0.23255813953488372</v>
      </c>
      <c r="H297" s="67">
        <f>IFERROR(((Table2[[#This Row],[Calls Ans]]-F290)/F290),0)</f>
        <v>-0.21472392638036811</v>
      </c>
      <c r="I297" s="1">
        <f>I296+Table2[[#This Row],[Calls Off]]</f>
        <v>6869</v>
      </c>
      <c r="J297" s="1">
        <f>J296+Table2[[#This Row],[Calls Ans]]</f>
        <v>6603</v>
      </c>
      <c r="K297" s="1">
        <f>K296+Table2[[#This Row],[Calls Off]]</f>
        <v>124274</v>
      </c>
      <c r="L297" s="1">
        <f>L296+Table2[[#This Row],[Calls Ans]]</f>
        <v>115218</v>
      </c>
      <c r="M297" s="18">
        <v>0.91</v>
      </c>
      <c r="N297" s="92">
        <v>0.03</v>
      </c>
      <c r="O297" s="92">
        <v>0.97</v>
      </c>
      <c r="P297" s="92">
        <v>0.4</v>
      </c>
      <c r="Q297" s="92">
        <v>1</v>
      </c>
      <c r="R297" s="17">
        <v>0</v>
      </c>
      <c r="S297" s="17">
        <v>0</v>
      </c>
      <c r="T297" s="259">
        <v>3</v>
      </c>
      <c r="U297" s="258" t="str">
        <f t="shared" si="17"/>
        <v>Normal</v>
      </c>
      <c r="V297" s="258" t="str">
        <f t="shared" si="18"/>
        <v>Normal</v>
      </c>
      <c r="W297" s="264">
        <f t="shared" si="19"/>
        <v>-0.23255813953488372</v>
      </c>
      <c r="X297" s="264">
        <f t="shared" si="20"/>
        <v>-0.21472392638036811</v>
      </c>
    </row>
    <row r="298" spans="1:40">
      <c r="A298" s="194">
        <v>44948</v>
      </c>
      <c r="B298" s="309">
        <f>IF(YEAR(Table9[[#This Row],[Date]]) = 2022, WEEKNUM(Table9[[#This Row],[Date]])-13, WEEKNUM(Table9[[#This Row],[Date]])+40)</f>
        <v>44</v>
      </c>
      <c r="C298" s="34" t="s">
        <v>47</v>
      </c>
      <c r="D298" s="255" t="s">
        <v>59</v>
      </c>
      <c r="E298" s="42">
        <v>0</v>
      </c>
      <c r="F298" s="42">
        <v>0</v>
      </c>
      <c r="G298" s="67">
        <v>0</v>
      </c>
      <c r="H298" s="67">
        <v>0</v>
      </c>
      <c r="I298" s="32">
        <v>0</v>
      </c>
      <c r="J298" s="32">
        <v>0</v>
      </c>
      <c r="K298" s="32">
        <v>0</v>
      </c>
      <c r="L298" s="32">
        <v>0</v>
      </c>
      <c r="M298" s="37">
        <v>0</v>
      </c>
      <c r="N298" s="93">
        <v>0</v>
      </c>
      <c r="O298" s="93">
        <v>0</v>
      </c>
      <c r="P298" s="93">
        <v>0</v>
      </c>
      <c r="Q298" s="93">
        <v>0</v>
      </c>
      <c r="R298" s="17">
        <v>0</v>
      </c>
      <c r="S298" s="17">
        <v>0</v>
      </c>
      <c r="T298" s="259">
        <v>0</v>
      </c>
      <c r="U298" s="258" t="str">
        <f t="shared" si="17"/>
        <v>Normal</v>
      </c>
      <c r="V298" s="258" t="str">
        <f t="shared" si="18"/>
        <v>Normal</v>
      </c>
      <c r="W298" s="264">
        <f t="shared" si="19"/>
        <v>0</v>
      </c>
      <c r="X298" s="264">
        <f t="shared" si="20"/>
        <v>0</v>
      </c>
    </row>
    <row r="299" spans="1:40">
      <c r="A299" s="194">
        <v>44949</v>
      </c>
      <c r="B299" s="309">
        <f>IF(YEAR(Table9[[#This Row],[Date]]) = 2022, WEEKNUM(Table9[[#This Row],[Date]])-13, WEEKNUM(Table9[[#This Row],[Date]])+40)</f>
        <v>44</v>
      </c>
      <c r="C299" s="35" t="s">
        <v>48</v>
      </c>
      <c r="D299" s="255" t="s">
        <v>59</v>
      </c>
      <c r="E299" s="43">
        <v>446</v>
      </c>
      <c r="F299" s="43">
        <v>426</v>
      </c>
      <c r="G299" s="67">
        <f>IFERROR(((Table2[[#This Row],[Calls Off]]-E292)/E292),0)</f>
        <v>-0.108</v>
      </c>
      <c r="H299" s="67">
        <f>IFERROR(((Table2[[#This Row],[Calls Ans]]-F292)/F292),0)</f>
        <v>-0.10878661087866109</v>
      </c>
      <c r="I299" s="1">
        <f>I297+Table2[[#This Row],[Calls Off]]</f>
        <v>7315</v>
      </c>
      <c r="J299" s="1">
        <f>J297+Table2[[#This Row],[Calls Ans]]</f>
        <v>7029</v>
      </c>
      <c r="K299" s="1">
        <f>K297+Table2[[#This Row],[Calls Off]]</f>
        <v>124720</v>
      </c>
      <c r="L299" s="1">
        <f>L297+Table2[[#This Row],[Calls Ans]]</f>
        <v>115644</v>
      </c>
      <c r="M299" s="18">
        <v>0.83</v>
      </c>
      <c r="N299" s="92">
        <v>0.05</v>
      </c>
      <c r="O299" s="92">
        <v>0.95</v>
      </c>
      <c r="P299" s="92">
        <v>0.59</v>
      </c>
      <c r="Q299" s="92">
        <v>1</v>
      </c>
      <c r="R299" s="17">
        <v>0</v>
      </c>
      <c r="S299" s="17">
        <v>0</v>
      </c>
      <c r="T299" s="259">
        <v>5</v>
      </c>
      <c r="U299" s="258" t="str">
        <f t="shared" si="17"/>
        <v>Normal</v>
      </c>
      <c r="V299" s="258" t="str">
        <f t="shared" si="18"/>
        <v>Normal</v>
      </c>
      <c r="W299" s="264">
        <f t="shared" si="19"/>
        <v>-0.108</v>
      </c>
      <c r="X299" s="264">
        <f t="shared" si="20"/>
        <v>-0.10878661087866109</v>
      </c>
    </row>
    <row r="300" spans="1:40">
      <c r="A300" s="194">
        <v>44950</v>
      </c>
      <c r="B300" s="309">
        <f>IF(YEAR(Table9[[#This Row],[Date]]) = 2022, WEEKNUM(Table9[[#This Row],[Date]])-13, WEEKNUM(Table9[[#This Row],[Date]])+40)</f>
        <v>44</v>
      </c>
      <c r="C300" s="34" t="s">
        <v>49</v>
      </c>
      <c r="D300" s="255" t="s">
        <v>59</v>
      </c>
      <c r="E300" s="42">
        <v>438</v>
      </c>
      <c r="F300" s="42">
        <v>416</v>
      </c>
      <c r="G300" s="67">
        <f>IFERROR(((Table2[[#This Row],[Calls Off]]-E293)/E293),0)</f>
        <v>1.1547344110854504E-2</v>
      </c>
      <c r="H300" s="67">
        <f>IFERROR(((Table2[[#This Row],[Calls Ans]]-F293)/F293),0)</f>
        <v>2.4096385542168677E-3</v>
      </c>
      <c r="I300" s="1">
        <f>I299+Table2[[#This Row],[Calls Off]]</f>
        <v>7753</v>
      </c>
      <c r="J300" s="1">
        <f>J299+Table2[[#This Row],[Calls Ans]]</f>
        <v>7445</v>
      </c>
      <c r="K300" s="1">
        <f>K299+Table2[[#This Row],[Calls Off]]</f>
        <v>125158</v>
      </c>
      <c r="L300" s="1">
        <f>L299+Table2[[#This Row],[Calls Ans]]</f>
        <v>116060</v>
      </c>
      <c r="M300" s="37">
        <v>0.89</v>
      </c>
      <c r="N300" s="93">
        <v>0.05</v>
      </c>
      <c r="O300" s="93">
        <v>0.95</v>
      </c>
      <c r="P300" s="93">
        <v>0.62</v>
      </c>
      <c r="Q300" s="93">
        <v>1</v>
      </c>
      <c r="R300" s="17">
        <v>0</v>
      </c>
      <c r="S300" s="17">
        <v>0</v>
      </c>
      <c r="T300" s="259">
        <v>5</v>
      </c>
      <c r="U300" s="258" t="str">
        <f t="shared" si="17"/>
        <v>Normal</v>
      </c>
      <c r="V300" s="258" t="str">
        <f t="shared" si="18"/>
        <v>Normal</v>
      </c>
      <c r="W300" s="264">
        <f t="shared" si="19"/>
        <v>1.1547344110854504E-2</v>
      </c>
      <c r="X300" s="264">
        <f t="shared" si="20"/>
        <v>2.4096385542168677E-3</v>
      </c>
    </row>
    <row r="301" spans="1:40">
      <c r="A301" s="194">
        <v>44951</v>
      </c>
      <c r="B301" s="309">
        <f>IF(YEAR(Table9[[#This Row],[Date]]) = 2022, WEEKNUM(Table9[[#This Row],[Date]])-13, WEEKNUM(Table9[[#This Row],[Date]])+40)</f>
        <v>44</v>
      </c>
      <c r="C301" s="35" t="s">
        <v>50</v>
      </c>
      <c r="D301" s="255" t="s">
        <v>59</v>
      </c>
      <c r="E301" s="43">
        <v>412</v>
      </c>
      <c r="F301" s="43">
        <v>388</v>
      </c>
      <c r="G301" s="67">
        <f>IFERROR(((Table2[[#This Row],[Calls Off]]-E294)/E294),0)</f>
        <v>0.10752688172043011</v>
      </c>
      <c r="H301" s="67">
        <f>IFERROR(((Table2[[#This Row],[Calls Ans]]-F294)/F294),0)</f>
        <v>7.4792243767313013E-2</v>
      </c>
      <c r="I301" s="1">
        <f>I300+Table2[[#This Row],[Calls Off]]</f>
        <v>8165</v>
      </c>
      <c r="J301" s="1">
        <f>J300+Table2[[#This Row],[Calls Ans]]</f>
        <v>7833</v>
      </c>
      <c r="K301" s="1">
        <f>K300+Table2[[#This Row],[Calls Off]]</f>
        <v>125570</v>
      </c>
      <c r="L301" s="1">
        <f>L300+Table2[[#This Row],[Calls Ans]]</f>
        <v>116448</v>
      </c>
      <c r="M301" s="18">
        <v>0.89</v>
      </c>
      <c r="N301" s="92">
        <v>0.02</v>
      </c>
      <c r="O301" s="92">
        <v>0.98</v>
      </c>
      <c r="P301" s="92">
        <v>0.45</v>
      </c>
      <c r="Q301" s="92">
        <v>1</v>
      </c>
      <c r="R301" s="214">
        <v>176</v>
      </c>
      <c r="S301" s="214">
        <v>0</v>
      </c>
      <c r="T301" s="259">
        <v>5</v>
      </c>
      <c r="U301" s="258" t="str">
        <f t="shared" si="17"/>
        <v>Normal</v>
      </c>
      <c r="V301" s="258" t="str">
        <f t="shared" si="18"/>
        <v>Normal</v>
      </c>
      <c r="W301" s="264">
        <f t="shared" si="19"/>
        <v>0.10752688172043011</v>
      </c>
      <c r="X301" s="264">
        <f t="shared" si="20"/>
        <v>7.4792243767313013E-2</v>
      </c>
      <c r="AK301">
        <f>MINUTE(Table2[[#This Row],[AHT]])</f>
        <v>0</v>
      </c>
      <c r="AL301">
        <f>SECOND(Table2[[#This Row],[AHT]])</f>
        <v>0</v>
      </c>
      <c r="AN301">
        <v>176</v>
      </c>
    </row>
    <row r="302" spans="1:40">
      <c r="A302" s="194">
        <v>44952</v>
      </c>
      <c r="B302" s="309">
        <f>IF(YEAR(Table9[[#This Row],[Date]]) = 2022, WEEKNUM(Table9[[#This Row],[Date]])-13, WEEKNUM(Table9[[#This Row],[Date]])+40)</f>
        <v>44</v>
      </c>
      <c r="C302" s="34" t="s">
        <v>51</v>
      </c>
      <c r="D302" s="255" t="s">
        <v>59</v>
      </c>
      <c r="E302" s="42">
        <v>424</v>
      </c>
      <c r="F302" s="42">
        <v>414</v>
      </c>
      <c r="G302" s="67">
        <f>IFERROR(((Table2[[#This Row],[Calls Off]]-E295)/E295),0)</f>
        <v>0.35897435897435898</v>
      </c>
      <c r="H302" s="67">
        <f>IFERROR(((Table2[[#This Row],[Calls Ans]]-F295)/F295),0)</f>
        <v>0.37086092715231789</v>
      </c>
      <c r="I302" s="1">
        <f>I301+Table2[[#This Row],[Calls Off]]</f>
        <v>8589</v>
      </c>
      <c r="J302" s="1">
        <f>J301+Table2[[#This Row],[Calls Ans]]</f>
        <v>8247</v>
      </c>
      <c r="K302" s="1">
        <f>K301+Table2[[#This Row],[Calls Off]]</f>
        <v>125994</v>
      </c>
      <c r="L302" s="1">
        <f>L301+Table2[[#This Row],[Calls Ans]]</f>
        <v>116862</v>
      </c>
      <c r="M302" s="37">
        <v>0.91</v>
      </c>
      <c r="N302" s="93">
        <v>0.02</v>
      </c>
      <c r="O302" s="93">
        <v>0.98</v>
      </c>
      <c r="P302" s="93">
        <v>0.57999999999999996</v>
      </c>
      <c r="Q302" s="93">
        <v>1</v>
      </c>
      <c r="R302" s="214">
        <v>186</v>
      </c>
      <c r="S302" s="214">
        <v>0</v>
      </c>
      <c r="T302" s="259">
        <v>5</v>
      </c>
      <c r="U302" s="258" t="str">
        <f t="shared" si="17"/>
        <v>Normal</v>
      </c>
      <c r="V302" s="258" t="str">
        <f t="shared" si="18"/>
        <v>Outlier</v>
      </c>
      <c r="W302" s="264">
        <f t="shared" si="19"/>
        <v>0.35897435897435898</v>
      </c>
      <c r="X302" s="264">
        <f t="shared" si="20"/>
        <v>0.37086092715231789</v>
      </c>
      <c r="AK302">
        <f>MINUTE(Table2[[#This Row],[AHT]])</f>
        <v>0</v>
      </c>
      <c r="AL302">
        <f>SECOND(Table2[[#This Row],[AHT]])</f>
        <v>0</v>
      </c>
      <c r="AN302">
        <v>186</v>
      </c>
    </row>
    <row r="303" spans="1:40">
      <c r="A303" s="194">
        <v>44953</v>
      </c>
      <c r="B303" s="309">
        <f>IF(YEAR(Table9[[#This Row],[Date]]) = 2022, WEEKNUM(Table9[[#This Row],[Date]])-13, WEEKNUM(Table9[[#This Row],[Date]])+40)</f>
        <v>44</v>
      </c>
      <c r="C303" s="35" t="s">
        <v>52</v>
      </c>
      <c r="D303" s="255" t="s">
        <v>59</v>
      </c>
      <c r="E303" s="43">
        <v>387</v>
      </c>
      <c r="F303" s="43">
        <v>375</v>
      </c>
      <c r="G303" s="67">
        <f>IFERROR(((Table2[[#This Row],[Calls Off]]-E296)/E296),0)</f>
        <v>-6.5217391304347824E-2</v>
      </c>
      <c r="H303" s="67">
        <f>IFERROR(((Table2[[#This Row],[Calls Ans]]-F296)/F296),0)</f>
        <v>-4.5801526717557252E-2</v>
      </c>
      <c r="I303" s="1">
        <f>I302+Table2[[#This Row],[Calls Off]]</f>
        <v>8976</v>
      </c>
      <c r="J303" s="1">
        <f>J302+Table2[[#This Row],[Calls Ans]]</f>
        <v>8622</v>
      </c>
      <c r="K303" s="1">
        <f>K302+Table2[[#This Row],[Calls Off]]</f>
        <v>126381</v>
      </c>
      <c r="L303" s="1">
        <f>L302+Table2[[#This Row],[Calls Ans]]</f>
        <v>117237</v>
      </c>
      <c r="M303" s="18">
        <v>0.94</v>
      </c>
      <c r="N303" s="92">
        <v>0.03</v>
      </c>
      <c r="O303" s="92">
        <v>0.97</v>
      </c>
      <c r="P303" s="92">
        <v>0.44</v>
      </c>
      <c r="Q303" s="92">
        <v>1</v>
      </c>
      <c r="R303" s="214">
        <v>173</v>
      </c>
      <c r="S303" s="214">
        <v>0</v>
      </c>
      <c r="T303" s="259">
        <v>5</v>
      </c>
      <c r="U303" s="258" t="str">
        <f t="shared" si="17"/>
        <v>Normal</v>
      </c>
      <c r="V303" s="258" t="str">
        <f t="shared" si="18"/>
        <v>Normal</v>
      </c>
      <c r="W303" s="264">
        <f t="shared" si="19"/>
        <v>-6.5217391304347824E-2</v>
      </c>
      <c r="X303" s="264">
        <f t="shared" si="20"/>
        <v>-4.5801526717557252E-2</v>
      </c>
      <c r="AK303">
        <f>MINUTE(Table2[[#This Row],[AHT]])</f>
        <v>0</v>
      </c>
      <c r="AL303">
        <f>SECOND(Table2[[#This Row],[AHT]])</f>
        <v>0</v>
      </c>
      <c r="AN303">
        <v>173</v>
      </c>
    </row>
    <row r="304" spans="1:40">
      <c r="A304" s="194">
        <v>44954</v>
      </c>
      <c r="B304" s="309">
        <f>IF(YEAR(Table9[[#This Row],[Date]]) = 2022, WEEKNUM(Table9[[#This Row],[Date]])-13, WEEKNUM(Table9[[#This Row],[Date]])+40)</f>
        <v>44</v>
      </c>
      <c r="C304" s="34" t="s">
        <v>53</v>
      </c>
      <c r="D304" s="255" t="s">
        <v>59</v>
      </c>
      <c r="E304" s="42">
        <v>184</v>
      </c>
      <c r="F304" s="42">
        <v>179</v>
      </c>
      <c r="G304" s="67">
        <f>IFERROR(((Table2[[#This Row],[Calls Off]]-E297)/E297),0)</f>
        <v>0.39393939393939392</v>
      </c>
      <c r="H304" s="67">
        <f>IFERROR(((Table2[[#This Row],[Calls Ans]]-F297)/F297),0)</f>
        <v>0.3984375</v>
      </c>
      <c r="I304" s="1">
        <f>I303+Table2[[#This Row],[Calls Off]]</f>
        <v>9160</v>
      </c>
      <c r="J304" s="1">
        <f>J303+Table2[[#This Row],[Calls Ans]]</f>
        <v>8801</v>
      </c>
      <c r="K304" s="1">
        <f>K303+Table2[[#This Row],[Calls Off]]</f>
        <v>126565</v>
      </c>
      <c r="L304" s="1">
        <f>L303+Table2[[#This Row],[Calls Ans]]</f>
        <v>117416</v>
      </c>
      <c r="M304" s="37">
        <v>0.91</v>
      </c>
      <c r="N304" s="93">
        <v>0.03</v>
      </c>
      <c r="O304" s="93">
        <v>0.97</v>
      </c>
      <c r="P304" s="93">
        <v>0.53</v>
      </c>
      <c r="Q304" s="93">
        <v>1</v>
      </c>
      <c r="R304" s="214">
        <v>180</v>
      </c>
      <c r="S304" s="214">
        <v>0</v>
      </c>
      <c r="T304" s="259">
        <v>4</v>
      </c>
      <c r="U304" s="258" t="str">
        <f t="shared" si="17"/>
        <v>Normal</v>
      </c>
      <c r="V304" s="258" t="str">
        <f t="shared" si="18"/>
        <v>Outlier</v>
      </c>
      <c r="W304" s="264">
        <f t="shared" si="19"/>
        <v>0.39393939393939392</v>
      </c>
      <c r="X304" s="264">
        <f t="shared" si="20"/>
        <v>0.3984375</v>
      </c>
      <c r="AK304">
        <f>MINUTE(Table2[[#This Row],[AHT]])</f>
        <v>0</v>
      </c>
      <c r="AL304">
        <f>SECOND(Table2[[#This Row],[AHT]])</f>
        <v>0</v>
      </c>
      <c r="AN304">
        <v>180</v>
      </c>
    </row>
    <row r="305" spans="1:40">
      <c r="A305" s="194">
        <v>44955</v>
      </c>
      <c r="B305" s="309">
        <f>IF(YEAR(Table9[[#This Row],[Date]]) = 2022, WEEKNUM(Table9[[#This Row],[Date]])-13, WEEKNUM(Table9[[#This Row],[Date]])+40)</f>
        <v>45</v>
      </c>
      <c r="C305" s="35" t="s">
        <v>47</v>
      </c>
      <c r="D305" s="255" t="s">
        <v>59</v>
      </c>
      <c r="E305" s="43">
        <v>0</v>
      </c>
      <c r="F305" s="43">
        <v>0</v>
      </c>
      <c r="G305" s="67">
        <v>0</v>
      </c>
      <c r="H305" s="67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92">
        <v>0</v>
      </c>
      <c r="O305" s="92">
        <v>0</v>
      </c>
      <c r="P305" s="92">
        <v>0</v>
      </c>
      <c r="Q305" s="92">
        <v>0</v>
      </c>
      <c r="R305" s="214">
        <v>0</v>
      </c>
      <c r="S305" s="214">
        <v>0</v>
      </c>
      <c r="T305" s="259">
        <v>0</v>
      </c>
      <c r="U305" s="258" t="str">
        <f t="shared" si="17"/>
        <v>Normal</v>
      </c>
      <c r="V305" s="258" t="str">
        <f t="shared" si="18"/>
        <v>Normal</v>
      </c>
      <c r="W305" s="264">
        <f t="shared" si="19"/>
        <v>0</v>
      </c>
      <c r="X305" s="264">
        <f t="shared" si="20"/>
        <v>0</v>
      </c>
      <c r="AK305">
        <f>MINUTE(Table2[[#This Row],[AHT]])</f>
        <v>0</v>
      </c>
      <c r="AL305">
        <f>SECOND(Table2[[#This Row],[AHT]])</f>
        <v>0</v>
      </c>
      <c r="AN305">
        <v>0</v>
      </c>
    </row>
    <row r="306" spans="1:40">
      <c r="A306" s="194">
        <v>44956</v>
      </c>
      <c r="B306" s="309">
        <f>IF(YEAR(Table9[[#This Row],[Date]]) = 2022, WEEKNUM(Table9[[#This Row],[Date]])-13, WEEKNUM(Table9[[#This Row],[Date]])+40)</f>
        <v>45</v>
      </c>
      <c r="C306" s="34" t="s">
        <v>48</v>
      </c>
      <c r="D306" s="255" t="s">
        <v>59</v>
      </c>
      <c r="E306" s="42">
        <v>560</v>
      </c>
      <c r="F306" s="42">
        <v>518</v>
      </c>
      <c r="G306" s="67">
        <f>IFERROR(((Table2[[#This Row],[Calls Off]]-E299)/E299),0)</f>
        <v>0.2556053811659193</v>
      </c>
      <c r="H306" s="67">
        <f>IFERROR(((Table2[[#This Row],[Calls Ans]]-F299)/F299),0)</f>
        <v>0.215962441314554</v>
      </c>
      <c r="I306" s="1">
        <f>I304+Table2[[#This Row],[Calls Off]]</f>
        <v>9720</v>
      </c>
      <c r="J306" s="1">
        <f>J304+Table2[[#This Row],[Calls Ans]]</f>
        <v>9319</v>
      </c>
      <c r="K306" s="1">
        <f>K304+Table2[[#This Row],[Calls Off]]</f>
        <v>127125</v>
      </c>
      <c r="L306" s="1">
        <f>L304+Table2[[#This Row],[Calls Ans]]</f>
        <v>117934</v>
      </c>
      <c r="M306" s="37">
        <v>0.8</v>
      </c>
      <c r="N306" s="93">
        <v>0.06</v>
      </c>
      <c r="O306" s="93">
        <v>0.94</v>
      </c>
      <c r="P306" s="93">
        <v>0.63</v>
      </c>
      <c r="Q306" s="93">
        <v>1</v>
      </c>
      <c r="R306" s="214">
        <v>200</v>
      </c>
      <c r="S306" s="214">
        <v>0</v>
      </c>
      <c r="T306" s="259">
        <v>5</v>
      </c>
      <c r="U306" s="258" t="str">
        <f t="shared" si="17"/>
        <v>Normal</v>
      </c>
      <c r="V306" s="258" t="str">
        <f t="shared" si="18"/>
        <v>Normal</v>
      </c>
      <c r="W306" s="264">
        <f t="shared" si="19"/>
        <v>0.2556053811659193</v>
      </c>
      <c r="X306" s="264">
        <f t="shared" si="20"/>
        <v>0.215962441314554</v>
      </c>
      <c r="AK306">
        <f>MINUTE(Table2[[#This Row],[AHT]])</f>
        <v>0</v>
      </c>
      <c r="AL306">
        <f>SECOND(Table2[[#This Row],[AHT]])</f>
        <v>0</v>
      </c>
      <c r="AN306">
        <v>200</v>
      </c>
    </row>
    <row r="307" spans="1:40" s="50" customFormat="1">
      <c r="A307" s="197">
        <v>44957</v>
      </c>
      <c r="B307" s="312">
        <f>IF(YEAR(Table9[[#This Row],[Date]]) = 2022, WEEKNUM(Table9[[#This Row],[Date]])-13, WEEKNUM(Table9[[#This Row],[Date]])+40)</f>
        <v>45</v>
      </c>
      <c r="C307" s="51" t="s">
        <v>49</v>
      </c>
      <c r="D307" s="255" t="s">
        <v>59</v>
      </c>
      <c r="E307" s="101">
        <v>466</v>
      </c>
      <c r="F307" s="101">
        <v>446</v>
      </c>
      <c r="G307" s="81">
        <f>IFERROR(((Table2[[#This Row],[Calls Off]]-E300)/E300),0)</f>
        <v>6.3926940639269403E-2</v>
      </c>
      <c r="H307" s="81">
        <f>IFERROR(((Table2[[#This Row],[Calls Ans]]-F300)/F300),0)</f>
        <v>7.2115384615384609E-2</v>
      </c>
      <c r="I307" s="52">
        <f>I306+Table2[[#This Row],[Calls Off]]</f>
        <v>10186</v>
      </c>
      <c r="J307" s="52">
        <f>J306+Table2[[#This Row],[Calls Ans]]</f>
        <v>9765</v>
      </c>
      <c r="K307" s="52">
        <f>K306+Table2[[#This Row],[Calls Off]]</f>
        <v>127591</v>
      </c>
      <c r="L307" s="52">
        <f>L306+Table2[[#This Row],[Calls Ans]]</f>
        <v>118380</v>
      </c>
      <c r="M307" s="53">
        <v>0.04</v>
      </c>
      <c r="N307" s="102">
        <v>0.2</v>
      </c>
      <c r="O307" s="102">
        <v>0.8</v>
      </c>
      <c r="P307" s="102">
        <v>0.88</v>
      </c>
      <c r="Q307" s="102">
        <v>0.61</v>
      </c>
      <c r="R307" s="231">
        <v>175</v>
      </c>
      <c r="S307" s="231">
        <v>0</v>
      </c>
      <c r="T307" s="259">
        <v>5</v>
      </c>
      <c r="U307" s="258" t="str">
        <f t="shared" si="17"/>
        <v>Normal</v>
      </c>
      <c r="V307" s="258" t="str">
        <f t="shared" si="18"/>
        <v>Normal</v>
      </c>
      <c r="W307" s="264">
        <f t="shared" si="19"/>
        <v>6.3926940639269403E-2</v>
      </c>
      <c r="X307" s="264">
        <f t="shared" si="20"/>
        <v>7.2115384615384609E-2</v>
      </c>
      <c r="Y307" s="252"/>
      <c r="Z307" s="252"/>
      <c r="AA307" s="252"/>
      <c r="AB307" s="252"/>
      <c r="AC307" s="252"/>
      <c r="AD307" s="252"/>
      <c r="AE307" s="252"/>
      <c r="AF307" s="252"/>
      <c r="AG307" s="252"/>
      <c r="AH307" s="252"/>
      <c r="AI307" s="252"/>
      <c r="AJ307"/>
      <c r="AK307">
        <f>MINUTE(Table2[[#This Row],[AHT]])</f>
        <v>0</v>
      </c>
      <c r="AL307">
        <f>SECOND(Table2[[#This Row],[AHT]])</f>
        <v>0</v>
      </c>
      <c r="AN307">
        <v>175</v>
      </c>
    </row>
    <row r="308" spans="1:40">
      <c r="A308" s="194">
        <v>44958</v>
      </c>
      <c r="B308" s="309">
        <f>IF(YEAR(Table9[[#This Row],[Date]]) = 2022, WEEKNUM(Table9[[#This Row],[Date]])-13, WEEKNUM(Table9[[#This Row],[Date]])+40)</f>
        <v>45</v>
      </c>
      <c r="C308" s="34" t="s">
        <v>50</v>
      </c>
      <c r="D308" s="255" t="s">
        <v>59</v>
      </c>
      <c r="E308" s="42">
        <v>526</v>
      </c>
      <c r="F308" s="42">
        <v>498</v>
      </c>
      <c r="G308" s="67">
        <f>IFERROR(((Table2[[#This Row],[Calls Off]]-E301)/E301),0)</f>
        <v>0.27669902912621358</v>
      </c>
      <c r="H308" s="67">
        <f>IFERROR(((Table2[[#This Row],[Calls Ans]]-F301)/F301),0)</f>
        <v>0.28350515463917525</v>
      </c>
      <c r="I308" s="1">
        <f>Table2[[#This Row],[Calls Off]]</f>
        <v>526</v>
      </c>
      <c r="J308" s="1">
        <f>Table2[[#This Row],[Calls Ans]]</f>
        <v>498</v>
      </c>
      <c r="K308" s="1">
        <f>K307+Table2[[#This Row],[Calls Off]]</f>
        <v>128117</v>
      </c>
      <c r="L308" s="1">
        <f>L307+Table2[[#This Row],[Calls Ans]]</f>
        <v>118878</v>
      </c>
      <c r="M308" s="37">
        <v>0.84</v>
      </c>
      <c r="N308" s="93">
        <v>0.05</v>
      </c>
      <c r="O308" s="93">
        <v>0.95</v>
      </c>
      <c r="P308" s="93">
        <v>0.59</v>
      </c>
      <c r="Q308" s="93">
        <v>1</v>
      </c>
      <c r="R308" s="214">
        <v>176</v>
      </c>
      <c r="S308" s="214">
        <v>0</v>
      </c>
      <c r="T308" s="259">
        <v>5</v>
      </c>
      <c r="U308" s="258" t="str">
        <f t="shared" si="17"/>
        <v>Normal</v>
      </c>
      <c r="V308" s="258" t="str">
        <f t="shared" si="18"/>
        <v>Normal</v>
      </c>
      <c r="W308" s="264">
        <f t="shared" si="19"/>
        <v>0.27669902912621358</v>
      </c>
      <c r="X308" s="264">
        <f t="shared" si="20"/>
        <v>0.28350515463917525</v>
      </c>
      <c r="AK308">
        <f>MINUTE(Table2[[#This Row],[AHT]])</f>
        <v>0</v>
      </c>
      <c r="AL308">
        <f>SECOND(Table2[[#This Row],[AHT]])</f>
        <v>0</v>
      </c>
      <c r="AN308">
        <v>176</v>
      </c>
    </row>
    <row r="309" spans="1:40">
      <c r="A309" s="194">
        <v>44959</v>
      </c>
      <c r="B309" s="309">
        <f>IF(YEAR(Table9[[#This Row],[Date]]) = 2022, WEEKNUM(Table9[[#This Row],[Date]])-13, WEEKNUM(Table9[[#This Row],[Date]])+40)</f>
        <v>45</v>
      </c>
      <c r="C309" s="35" t="s">
        <v>51</v>
      </c>
      <c r="D309" s="255" t="s">
        <v>59</v>
      </c>
      <c r="E309" s="43">
        <v>505</v>
      </c>
      <c r="F309" s="43">
        <v>475</v>
      </c>
      <c r="G309" s="67">
        <f>IFERROR(((Table2[[#This Row],[Calls Off]]-E302)/E302),0)</f>
        <v>0.19103773584905662</v>
      </c>
      <c r="H309" s="67">
        <f>IFERROR(((Table2[[#This Row],[Calls Ans]]-F302)/F302),0)</f>
        <v>0.14734299516908211</v>
      </c>
      <c r="I309" s="1">
        <f>I308+Table2[[#This Row],[Calls Off]]</f>
        <v>1031</v>
      </c>
      <c r="J309" s="1">
        <f>J308+Table2[[#This Row],[Calls Ans]]</f>
        <v>973</v>
      </c>
      <c r="K309" s="1">
        <f>K308+Table2[[#This Row],[Calls Off]]</f>
        <v>128622</v>
      </c>
      <c r="L309" s="1">
        <f>L308+Table2[[#This Row],[Calls Ans]]</f>
        <v>119353</v>
      </c>
      <c r="M309" s="18">
        <v>0.82</v>
      </c>
      <c r="N309" s="92">
        <v>0.06</v>
      </c>
      <c r="O309" s="92">
        <v>0.94</v>
      </c>
      <c r="P309" s="92">
        <v>0.69</v>
      </c>
      <c r="Q309" s="92">
        <v>1</v>
      </c>
      <c r="R309" s="214">
        <v>173</v>
      </c>
      <c r="S309" s="214">
        <v>0</v>
      </c>
      <c r="T309" s="259">
        <v>4</v>
      </c>
      <c r="U309" s="258" t="str">
        <f t="shared" si="17"/>
        <v>Normal</v>
      </c>
      <c r="V309" s="258" t="str">
        <f t="shared" si="18"/>
        <v>Normal</v>
      </c>
      <c r="W309" s="264">
        <f t="shared" si="19"/>
        <v>0.19103773584905662</v>
      </c>
      <c r="X309" s="264">
        <f t="shared" si="20"/>
        <v>0.14734299516908211</v>
      </c>
      <c r="AK309">
        <f>MINUTE(Table2[[#This Row],[AHT]])</f>
        <v>0</v>
      </c>
      <c r="AL309">
        <f>SECOND(Table2[[#This Row],[AHT]])</f>
        <v>0</v>
      </c>
      <c r="AN309">
        <v>173</v>
      </c>
    </row>
    <row r="310" spans="1:40">
      <c r="A310" s="194">
        <v>44960</v>
      </c>
      <c r="B310" s="309">
        <f>IF(YEAR(Table9[[#This Row],[Date]]) = 2022, WEEKNUM(Table9[[#This Row],[Date]])-13, WEEKNUM(Table9[[#This Row],[Date]])+40)</f>
        <v>45</v>
      </c>
      <c r="C310" s="34" t="s">
        <v>52</v>
      </c>
      <c r="D310" s="255" t="s">
        <v>59</v>
      </c>
      <c r="E310" s="42">
        <v>466</v>
      </c>
      <c r="F310" s="42">
        <v>446</v>
      </c>
      <c r="G310" s="67">
        <f>IFERROR(((Table2[[#This Row],[Calls Off]]-E303)/E303),0)</f>
        <v>0.20413436692506459</v>
      </c>
      <c r="H310" s="67">
        <f>IFERROR(((Table2[[#This Row],[Calls Ans]]-F303)/F303),0)</f>
        <v>0.18933333333333333</v>
      </c>
      <c r="I310" s="1">
        <f>I309+Table2[[#This Row],[Calls Off]]</f>
        <v>1497</v>
      </c>
      <c r="J310" s="1">
        <f>J309+Table2[[#This Row],[Calls Ans]]</f>
        <v>1419</v>
      </c>
      <c r="K310" s="1">
        <f>K309+Table2[[#This Row],[Calls Off]]</f>
        <v>129088</v>
      </c>
      <c r="L310" s="1">
        <f>L309+Table2[[#This Row],[Calls Ans]]</f>
        <v>119799</v>
      </c>
      <c r="M310" s="37">
        <v>0.89</v>
      </c>
      <c r="N310" s="93">
        <v>0.04</v>
      </c>
      <c r="O310" s="93">
        <v>0.96</v>
      </c>
      <c r="P310" s="93">
        <v>0.53</v>
      </c>
      <c r="Q310" s="93">
        <v>1</v>
      </c>
      <c r="R310" s="214">
        <v>177</v>
      </c>
      <c r="S310" s="214">
        <v>0</v>
      </c>
      <c r="T310" s="259">
        <v>5</v>
      </c>
      <c r="U310" s="258" t="str">
        <f t="shared" si="17"/>
        <v>Normal</v>
      </c>
      <c r="V310" s="258" t="str">
        <f t="shared" si="18"/>
        <v>Normal</v>
      </c>
      <c r="W310" s="264">
        <f t="shared" si="19"/>
        <v>0.20413436692506459</v>
      </c>
      <c r="X310" s="264">
        <f t="shared" si="20"/>
        <v>0.18933333333333333</v>
      </c>
      <c r="AK310">
        <f>MINUTE(Table2[[#This Row],[AHT]])</f>
        <v>0</v>
      </c>
      <c r="AL310">
        <f>SECOND(Table2[[#This Row],[AHT]])</f>
        <v>0</v>
      </c>
      <c r="AN310">
        <v>177</v>
      </c>
    </row>
    <row r="311" spans="1:40">
      <c r="A311" s="194">
        <v>44961</v>
      </c>
      <c r="B311" s="309">
        <f>IF(YEAR(Table9[[#This Row],[Date]]) = 2022, WEEKNUM(Table9[[#This Row],[Date]])-13, WEEKNUM(Table9[[#This Row],[Date]])+40)</f>
        <v>45</v>
      </c>
      <c r="C311" s="35" t="s">
        <v>53</v>
      </c>
      <c r="D311" s="255" t="s">
        <v>59</v>
      </c>
      <c r="E311" s="43">
        <v>175</v>
      </c>
      <c r="F311" s="43">
        <v>166</v>
      </c>
      <c r="G311" s="67">
        <f>IFERROR(((Table2[[#This Row],[Calls Off]]-E304)/E304),0)</f>
        <v>-4.8913043478260872E-2</v>
      </c>
      <c r="H311" s="67">
        <f>IFERROR(((Table2[[#This Row],[Calls Ans]]-F304)/F304),0)</f>
        <v>-7.2625698324022353E-2</v>
      </c>
      <c r="I311" s="1">
        <f>I310+Table2[[#This Row],[Calls Off]]</f>
        <v>1672</v>
      </c>
      <c r="J311" s="1">
        <f>J310+Table2[[#This Row],[Calls Ans]]</f>
        <v>1585</v>
      </c>
      <c r="K311" s="1">
        <f>K310+Table2[[#This Row],[Calls Off]]</f>
        <v>129263</v>
      </c>
      <c r="L311" s="1">
        <f>L310+Table2[[#This Row],[Calls Ans]]</f>
        <v>119965</v>
      </c>
      <c r="M311" s="18">
        <v>0.86</v>
      </c>
      <c r="N311" s="92">
        <v>0.05</v>
      </c>
      <c r="O311" s="92">
        <v>0.95</v>
      </c>
      <c r="P311" s="92">
        <v>0.53</v>
      </c>
      <c r="Q311" s="92">
        <v>1</v>
      </c>
      <c r="R311" s="214">
        <v>165</v>
      </c>
      <c r="S311" s="214">
        <v>0</v>
      </c>
      <c r="T311" s="259">
        <v>3</v>
      </c>
      <c r="U311" s="258" t="str">
        <f t="shared" si="17"/>
        <v>Normal</v>
      </c>
      <c r="V311" s="258" t="str">
        <f t="shared" si="18"/>
        <v>Normal</v>
      </c>
      <c r="W311" s="264">
        <f t="shared" si="19"/>
        <v>-4.8913043478260872E-2</v>
      </c>
      <c r="X311" s="264">
        <f t="shared" si="20"/>
        <v>-7.2625698324022353E-2</v>
      </c>
      <c r="AK311">
        <f>MINUTE(Table2[[#This Row],[AHT]])</f>
        <v>0</v>
      </c>
      <c r="AL311">
        <f>SECOND(Table2[[#This Row],[AHT]])</f>
        <v>0</v>
      </c>
      <c r="AN311">
        <v>165</v>
      </c>
    </row>
    <row r="312" spans="1:40">
      <c r="A312" s="194">
        <v>44962</v>
      </c>
      <c r="B312" s="309">
        <f>IF(YEAR(Table9[[#This Row],[Date]]) = 2022, WEEKNUM(Table9[[#This Row],[Date]])-13, WEEKNUM(Table9[[#This Row],[Date]])+40)</f>
        <v>46</v>
      </c>
      <c r="C312" s="36" t="s">
        <v>47</v>
      </c>
      <c r="D312" s="255" t="s">
        <v>59</v>
      </c>
      <c r="E312" s="32">
        <v>0</v>
      </c>
      <c r="F312" s="32">
        <v>0</v>
      </c>
      <c r="G312" s="66">
        <v>0</v>
      </c>
      <c r="H312" s="66">
        <v>0</v>
      </c>
      <c r="I312" s="32">
        <v>0</v>
      </c>
      <c r="J312" s="32">
        <v>0</v>
      </c>
      <c r="K312" s="32">
        <v>0</v>
      </c>
      <c r="L312" s="32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227">
        <v>0</v>
      </c>
      <c r="S312" s="227">
        <v>0</v>
      </c>
      <c r="T312" s="259">
        <v>0</v>
      </c>
      <c r="U312" s="258" t="str">
        <f t="shared" si="17"/>
        <v>Normal</v>
      </c>
      <c r="V312" s="258" t="str">
        <f t="shared" si="18"/>
        <v>Normal</v>
      </c>
      <c r="W312" s="264">
        <f t="shared" si="19"/>
        <v>0</v>
      </c>
      <c r="X312" s="264">
        <f t="shared" si="20"/>
        <v>0</v>
      </c>
      <c r="AK312">
        <f>MINUTE(Table2[[#This Row],[AHT]])</f>
        <v>0</v>
      </c>
      <c r="AL312">
        <f>SECOND(Table2[[#This Row],[AHT]])</f>
        <v>0</v>
      </c>
      <c r="AN312">
        <v>0</v>
      </c>
    </row>
    <row r="313" spans="1:40">
      <c r="A313" s="194">
        <v>44963</v>
      </c>
      <c r="B313" s="309">
        <f>IF(YEAR(Table9[[#This Row],[Date]]) = 2022, WEEKNUM(Table9[[#This Row],[Date]])-13, WEEKNUM(Table9[[#This Row],[Date]])+40)</f>
        <v>46</v>
      </c>
      <c r="C313" s="35" t="s">
        <v>48</v>
      </c>
      <c r="D313" s="255" t="s">
        <v>59</v>
      </c>
      <c r="E313" s="43">
        <v>528</v>
      </c>
      <c r="F313" s="43">
        <v>506</v>
      </c>
      <c r="G313" s="67">
        <f>IFERROR(((Table2[[#This Row],[Calls Off]]-E306)/E306),0)</f>
        <v>-5.7142857142857141E-2</v>
      </c>
      <c r="H313" s="67">
        <f>IFERROR(((Table2[[#This Row],[Calls Ans]]-F306)/F306),0)</f>
        <v>-2.3166023166023165E-2</v>
      </c>
      <c r="I313" s="1">
        <f>I311+Table2[[#This Row],[Calls Off]]</f>
        <v>2200</v>
      </c>
      <c r="J313" s="1">
        <f>J311+Table2[[#This Row],[Calls Ans]]</f>
        <v>2091</v>
      </c>
      <c r="K313" s="1">
        <f>K311+Table2[[#This Row],[Calls Off]]</f>
        <v>129791</v>
      </c>
      <c r="L313" s="1">
        <f>L311+Table2[[#This Row],[Calls Ans]]</f>
        <v>120471</v>
      </c>
      <c r="M313" s="18">
        <v>0.88</v>
      </c>
      <c r="N313" s="92">
        <v>0.04</v>
      </c>
      <c r="O313" s="92">
        <v>0.96</v>
      </c>
      <c r="P313" s="92">
        <v>0.59</v>
      </c>
      <c r="Q313" s="92">
        <v>1</v>
      </c>
      <c r="R313" s="214">
        <v>176</v>
      </c>
      <c r="S313" s="214">
        <v>0</v>
      </c>
      <c r="T313" s="259">
        <v>5</v>
      </c>
      <c r="U313" s="258" t="str">
        <f t="shared" si="17"/>
        <v>Normal</v>
      </c>
      <c r="V313" s="258" t="str">
        <f t="shared" si="18"/>
        <v>Normal</v>
      </c>
      <c r="W313" s="264">
        <f t="shared" si="19"/>
        <v>-5.7142857142857141E-2</v>
      </c>
      <c r="X313" s="264">
        <f t="shared" si="20"/>
        <v>-2.3166023166023165E-2</v>
      </c>
      <c r="AK313">
        <f>MINUTE(Table2[[#This Row],[AHT]])</f>
        <v>0</v>
      </c>
      <c r="AL313">
        <f>SECOND(Table2[[#This Row],[AHT]])</f>
        <v>0</v>
      </c>
      <c r="AN313">
        <v>176</v>
      </c>
    </row>
    <row r="314" spans="1:40">
      <c r="A314" s="194">
        <v>44964</v>
      </c>
      <c r="B314" s="309">
        <f>IF(YEAR(Table9[[#This Row],[Date]]) = 2022, WEEKNUM(Table9[[#This Row],[Date]])-13, WEEKNUM(Table9[[#This Row],[Date]])+40)</f>
        <v>46</v>
      </c>
      <c r="C314" s="34" t="s">
        <v>49</v>
      </c>
      <c r="D314" s="255" t="s">
        <v>59</v>
      </c>
      <c r="E314" s="43">
        <v>407</v>
      </c>
      <c r="F314" s="43">
        <v>380</v>
      </c>
      <c r="G314" s="67">
        <f>IFERROR(((Table2[[#This Row],[Calls Off]]-E307)/E307),0)</f>
        <v>-0.12660944206008584</v>
      </c>
      <c r="H314" s="67">
        <f>IFERROR(((Table2[[#This Row],[Calls Ans]]-F307)/F307),0)</f>
        <v>-0.14798206278026907</v>
      </c>
      <c r="I314" s="1">
        <f>I313+Table2[[#This Row],[Calls Off]]</f>
        <v>2607</v>
      </c>
      <c r="J314" s="1">
        <f>J313+Table2[[#This Row],[Calls Ans]]</f>
        <v>2471</v>
      </c>
      <c r="K314" s="1">
        <f>K313+Table2[[#This Row],[Calls Off]]</f>
        <v>130198</v>
      </c>
      <c r="L314" s="1">
        <f>L313+Table2[[#This Row],[Calls Ans]]</f>
        <v>120851</v>
      </c>
      <c r="M314" s="18">
        <v>0.86</v>
      </c>
      <c r="N314" s="92">
        <v>7.0000000000000007E-2</v>
      </c>
      <c r="O314" s="92">
        <v>0.93</v>
      </c>
      <c r="P314" s="92">
        <v>0.61</v>
      </c>
      <c r="Q314" s="92">
        <v>1</v>
      </c>
      <c r="R314" s="214">
        <v>215</v>
      </c>
      <c r="S314" s="214">
        <v>0</v>
      </c>
      <c r="T314" s="259">
        <v>5</v>
      </c>
      <c r="U314" s="258" t="str">
        <f t="shared" si="17"/>
        <v>Normal</v>
      </c>
      <c r="V314" s="258" t="str">
        <f t="shared" si="18"/>
        <v>Normal</v>
      </c>
      <c r="W314" s="264">
        <f t="shared" si="19"/>
        <v>-0.12660944206008584</v>
      </c>
      <c r="X314" s="264">
        <f t="shared" si="20"/>
        <v>-0.14798206278026907</v>
      </c>
      <c r="AK314">
        <f>MINUTE(Table2[[#This Row],[AHT]])</f>
        <v>0</v>
      </c>
      <c r="AL314">
        <f>SECOND(Table2[[#This Row],[AHT]])</f>
        <v>0</v>
      </c>
      <c r="AN314">
        <v>215</v>
      </c>
    </row>
    <row r="315" spans="1:40">
      <c r="A315" s="194">
        <v>44965</v>
      </c>
      <c r="B315" s="309">
        <f>IF(YEAR(Table9[[#This Row],[Date]]) = 2022, WEEKNUM(Table9[[#This Row],[Date]])-13, WEEKNUM(Table9[[#This Row],[Date]])+40)</f>
        <v>46</v>
      </c>
      <c r="C315" s="35" t="s">
        <v>50</v>
      </c>
      <c r="D315" s="255" t="s">
        <v>59</v>
      </c>
      <c r="E315" s="43">
        <v>377</v>
      </c>
      <c r="F315" s="43">
        <v>371</v>
      </c>
      <c r="G315" s="67">
        <f>IFERROR(((Table2[[#This Row],[Calls Off]]-E308)/E308),0)</f>
        <v>-0.28326996197718629</v>
      </c>
      <c r="H315" s="67">
        <f>IFERROR(((Table2[[#This Row],[Calls Ans]]-F308)/F308),0)</f>
        <v>-0.25502008032128515</v>
      </c>
      <c r="I315" s="1">
        <f>I314+Table2[[#This Row],[Calls Off]]</f>
        <v>2984</v>
      </c>
      <c r="J315" s="1">
        <f>J314+Table2[[#This Row],[Calls Ans]]</f>
        <v>2842</v>
      </c>
      <c r="K315" s="1">
        <f>K314+Table2[[#This Row],[Calls Off]]</f>
        <v>130575</v>
      </c>
      <c r="L315" s="1">
        <f>L314+Table2[[#This Row],[Calls Ans]]</f>
        <v>121222</v>
      </c>
      <c r="M315" s="18">
        <v>0.92</v>
      </c>
      <c r="N315" s="92">
        <v>0.02</v>
      </c>
      <c r="O315" s="92">
        <v>0.98</v>
      </c>
      <c r="P315" s="92">
        <v>0.54</v>
      </c>
      <c r="Q315" s="92">
        <v>1</v>
      </c>
      <c r="R315" s="214">
        <v>199</v>
      </c>
      <c r="S315" s="214">
        <v>0</v>
      </c>
      <c r="T315" s="259">
        <v>5</v>
      </c>
      <c r="U315" s="258" t="str">
        <f t="shared" si="17"/>
        <v>Normal</v>
      </c>
      <c r="V315" s="258" t="str">
        <f t="shared" si="18"/>
        <v>Normal</v>
      </c>
      <c r="W315" s="264">
        <f t="shared" si="19"/>
        <v>-0.28326996197718629</v>
      </c>
      <c r="X315" s="264">
        <f t="shared" si="20"/>
        <v>-0.25502008032128515</v>
      </c>
      <c r="AJ315" s="50"/>
      <c r="AK315">
        <f>MINUTE(Table2[[#This Row],[AHT]])</f>
        <v>0</v>
      </c>
      <c r="AL315">
        <f>SECOND(Table2[[#This Row],[AHT]])</f>
        <v>0</v>
      </c>
      <c r="AN315">
        <v>199</v>
      </c>
    </row>
    <row r="316" spans="1:40">
      <c r="A316" s="194">
        <v>44966</v>
      </c>
      <c r="B316" s="309">
        <f>IF(YEAR(Table9[[#This Row],[Date]]) = 2022, WEEKNUM(Table9[[#This Row],[Date]])-13, WEEKNUM(Table9[[#This Row],[Date]])+40)</f>
        <v>46</v>
      </c>
      <c r="C316" s="34" t="s">
        <v>51</v>
      </c>
      <c r="D316" s="255" t="s">
        <v>59</v>
      </c>
      <c r="E316" s="43">
        <v>389</v>
      </c>
      <c r="F316" s="43">
        <v>377</v>
      </c>
      <c r="G316" s="67">
        <f>IFERROR(((Table2[[#This Row],[Calls Off]]-E309)/E309),0)</f>
        <v>-0.22970297029702971</v>
      </c>
      <c r="H316" s="67">
        <f>IFERROR(((Table2[[#This Row],[Calls Ans]]-F309)/F309),0)</f>
        <v>-0.2063157894736842</v>
      </c>
      <c r="I316" s="1">
        <f>I315+Table2[[#This Row],[Calls Off]]</f>
        <v>3373</v>
      </c>
      <c r="J316" s="1">
        <f>J315+Table2[[#This Row],[Calls Ans]]</f>
        <v>3219</v>
      </c>
      <c r="K316" s="1">
        <f>K315+Table2[[#This Row],[Calls Off]]</f>
        <v>130964</v>
      </c>
      <c r="L316" s="1">
        <f>L315+Table2[[#This Row],[Calls Ans]]</f>
        <v>121599</v>
      </c>
      <c r="M316" s="18">
        <v>0.92</v>
      </c>
      <c r="N316" s="92">
        <v>0.03</v>
      </c>
      <c r="O316" s="92">
        <v>0.97</v>
      </c>
      <c r="P316" s="92">
        <v>0.55000000000000004</v>
      </c>
      <c r="Q316" s="92">
        <v>1</v>
      </c>
      <c r="R316" s="214">
        <v>200</v>
      </c>
      <c r="S316" s="214">
        <v>0</v>
      </c>
      <c r="T316" s="259">
        <v>5</v>
      </c>
      <c r="U316" s="258" t="str">
        <f t="shared" si="17"/>
        <v>Normal</v>
      </c>
      <c r="V316" s="258" t="str">
        <f t="shared" si="18"/>
        <v>Normal</v>
      </c>
      <c r="W316" s="264">
        <f t="shared" si="19"/>
        <v>-0.22970297029702971</v>
      </c>
      <c r="X316" s="264">
        <f t="shared" si="20"/>
        <v>-0.2063157894736842</v>
      </c>
      <c r="AK316">
        <f>MINUTE(Table2[[#This Row],[AHT]])</f>
        <v>0</v>
      </c>
      <c r="AL316">
        <f>SECOND(Table2[[#This Row],[AHT]])</f>
        <v>0</v>
      </c>
      <c r="AN316">
        <v>200</v>
      </c>
    </row>
    <row r="317" spans="1:40">
      <c r="A317" s="194">
        <v>44967</v>
      </c>
      <c r="B317" s="309">
        <f>IF(YEAR(Table9[[#This Row],[Date]]) = 2022, WEEKNUM(Table9[[#This Row],[Date]])-13, WEEKNUM(Table9[[#This Row],[Date]])+40)</f>
        <v>46</v>
      </c>
      <c r="C317" s="35" t="s">
        <v>52</v>
      </c>
      <c r="D317" s="255" t="s">
        <v>59</v>
      </c>
      <c r="E317" s="43">
        <v>384</v>
      </c>
      <c r="F317" s="43">
        <v>373</v>
      </c>
      <c r="G317" s="67">
        <f>IFERROR(((Table2[[#This Row],[Calls Off]]-E310)/E310),0)</f>
        <v>-0.17596566523605151</v>
      </c>
      <c r="H317" s="67">
        <f>IFERROR(((Table2[[#This Row],[Calls Ans]]-F310)/F310),0)</f>
        <v>-0.16367713004484305</v>
      </c>
      <c r="I317" s="1">
        <f>I316+Table2[[#This Row],[Calls Off]]</f>
        <v>3757</v>
      </c>
      <c r="J317" s="1">
        <f>J316+Table2[[#This Row],[Calls Ans]]</f>
        <v>3592</v>
      </c>
      <c r="K317" s="1">
        <f>K316+Table2[[#This Row],[Calls Off]]</f>
        <v>131348</v>
      </c>
      <c r="L317" s="1">
        <f>L316+Table2[[#This Row],[Calls Ans]]</f>
        <v>121972</v>
      </c>
      <c r="M317" s="18">
        <v>0.93</v>
      </c>
      <c r="N317" s="92">
        <v>0.03</v>
      </c>
      <c r="O317" s="92">
        <v>0.97</v>
      </c>
      <c r="P317" s="92">
        <v>0.54</v>
      </c>
      <c r="Q317" s="92">
        <v>1</v>
      </c>
      <c r="R317" s="214">
        <v>191</v>
      </c>
      <c r="S317" s="214">
        <v>0</v>
      </c>
      <c r="T317" s="259">
        <v>5</v>
      </c>
      <c r="U317" s="258" t="str">
        <f t="shared" si="17"/>
        <v>Normal</v>
      </c>
      <c r="V317" s="258" t="str">
        <f t="shared" si="18"/>
        <v>Normal</v>
      </c>
      <c r="W317" s="264">
        <f t="shared" si="19"/>
        <v>-0.17596566523605151</v>
      </c>
      <c r="X317" s="264">
        <f t="shared" si="20"/>
        <v>-0.16367713004484305</v>
      </c>
      <c r="AK317">
        <f>MINUTE(Table2[[#This Row],[AHT]])</f>
        <v>0</v>
      </c>
      <c r="AL317">
        <f>SECOND(Table2[[#This Row],[AHT]])</f>
        <v>0</v>
      </c>
      <c r="AN317">
        <v>191</v>
      </c>
    </row>
    <row r="318" spans="1:40">
      <c r="A318" s="194">
        <v>44968</v>
      </c>
      <c r="B318" s="309">
        <f>IF(YEAR(Table9[[#This Row],[Date]]) = 2022, WEEKNUM(Table9[[#This Row],[Date]])-13, WEEKNUM(Table9[[#This Row],[Date]])+40)</f>
        <v>46</v>
      </c>
      <c r="C318" s="34" t="s">
        <v>53</v>
      </c>
      <c r="D318" s="255" t="s">
        <v>59</v>
      </c>
      <c r="E318" s="43">
        <v>168</v>
      </c>
      <c r="F318" s="43">
        <v>160</v>
      </c>
      <c r="G318" s="67">
        <f>IFERROR(((Table2[[#This Row],[Calls Off]]-E311)/E311),0)</f>
        <v>-0.04</v>
      </c>
      <c r="H318" s="67">
        <f>IFERROR(((Table2[[#This Row],[Calls Ans]]-F311)/F311),0)</f>
        <v>-3.614457831325301E-2</v>
      </c>
      <c r="I318" s="1">
        <f>I317+Table2[[#This Row],[Calls Off]]</f>
        <v>3925</v>
      </c>
      <c r="J318" s="1">
        <f>J317+Table2[[#This Row],[Calls Ans]]</f>
        <v>3752</v>
      </c>
      <c r="K318" s="1">
        <f>K317+Table2[[#This Row],[Calls Off]]</f>
        <v>131516</v>
      </c>
      <c r="L318" s="1">
        <f>L317+Table2[[#This Row],[Calls Ans]]</f>
        <v>122132</v>
      </c>
      <c r="M318" s="18">
        <v>0.85</v>
      </c>
      <c r="N318" s="92">
        <v>0.05</v>
      </c>
      <c r="O318" s="92">
        <v>0.95</v>
      </c>
      <c r="P318" s="92">
        <v>0.65</v>
      </c>
      <c r="Q318" s="92">
        <v>1</v>
      </c>
      <c r="R318" s="214">
        <v>195</v>
      </c>
      <c r="S318" s="214">
        <v>0</v>
      </c>
      <c r="T318" s="259">
        <v>3</v>
      </c>
      <c r="U318" s="258" t="str">
        <f t="shared" si="17"/>
        <v>Normal</v>
      </c>
      <c r="V318" s="258" t="str">
        <f t="shared" si="18"/>
        <v>Normal</v>
      </c>
      <c r="W318" s="264">
        <f t="shared" si="19"/>
        <v>-0.04</v>
      </c>
      <c r="X318" s="264">
        <f t="shared" si="20"/>
        <v>-3.614457831325301E-2</v>
      </c>
      <c r="AK318">
        <f>MINUTE(Table2[[#This Row],[AHT]])</f>
        <v>0</v>
      </c>
      <c r="AL318">
        <f>SECOND(Table2[[#This Row],[AHT]])</f>
        <v>0</v>
      </c>
      <c r="AN318">
        <v>195</v>
      </c>
    </row>
    <row r="319" spans="1:40">
      <c r="A319" s="194">
        <v>44969</v>
      </c>
      <c r="B319" s="309">
        <f>IF(YEAR(Table9[[#This Row],[Date]]) = 2022, WEEKNUM(Table9[[#This Row],[Date]])-13, WEEKNUM(Table9[[#This Row],[Date]])+40)</f>
        <v>47</v>
      </c>
      <c r="C319" s="35" t="s">
        <v>47</v>
      </c>
      <c r="D319" s="255" t="s">
        <v>59</v>
      </c>
      <c r="E319" s="43">
        <v>0</v>
      </c>
      <c r="F319" s="43">
        <v>0</v>
      </c>
      <c r="G319" s="67">
        <v>0</v>
      </c>
      <c r="H319" s="67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92">
        <v>0</v>
      </c>
      <c r="O319" s="92">
        <v>0</v>
      </c>
      <c r="P319" s="92">
        <v>0</v>
      </c>
      <c r="Q319" s="92">
        <v>0</v>
      </c>
      <c r="R319" s="214">
        <v>0</v>
      </c>
      <c r="S319" s="214">
        <v>0</v>
      </c>
      <c r="T319" s="259">
        <v>0</v>
      </c>
      <c r="U319" s="258" t="str">
        <f t="shared" si="17"/>
        <v>Normal</v>
      </c>
      <c r="V319" s="258" t="str">
        <f t="shared" si="18"/>
        <v>Normal</v>
      </c>
      <c r="W319" s="264">
        <f t="shared" si="19"/>
        <v>0</v>
      </c>
      <c r="X319" s="264">
        <f t="shared" si="20"/>
        <v>0</v>
      </c>
      <c r="AK319">
        <f>MINUTE(Table2[[#This Row],[AHT]])</f>
        <v>0</v>
      </c>
      <c r="AL319">
        <f>SECOND(Table2[[#This Row],[AHT]])</f>
        <v>0</v>
      </c>
      <c r="AN319">
        <v>0</v>
      </c>
    </row>
    <row r="320" spans="1:40">
      <c r="A320" s="194">
        <v>44970</v>
      </c>
      <c r="B320" s="309">
        <f>IF(YEAR(Table9[[#This Row],[Date]]) = 2022, WEEKNUM(Table9[[#This Row],[Date]])-13, WEEKNUM(Table9[[#This Row],[Date]])+40)</f>
        <v>47</v>
      </c>
      <c r="C320" s="34" t="s">
        <v>48</v>
      </c>
      <c r="D320" s="255" t="s">
        <v>59</v>
      </c>
      <c r="E320" s="43">
        <v>405</v>
      </c>
      <c r="F320" s="43">
        <v>394</v>
      </c>
      <c r="G320" s="67">
        <f>IFERROR(((Table2[[#This Row],[Calls Off]]-E313)/E313),0)</f>
        <v>-0.23295454545454544</v>
      </c>
      <c r="H320" s="67">
        <f>IFERROR(((Table2[[#This Row],[Calls Ans]]-F313)/F313),0)</f>
        <v>-0.22134387351778656</v>
      </c>
      <c r="I320" s="1">
        <f>I318+Table2[[#This Row],[Calls Off]]</f>
        <v>4330</v>
      </c>
      <c r="J320" s="1">
        <f>J318+Table2[[#This Row],[Calls Ans]]</f>
        <v>4146</v>
      </c>
      <c r="K320" s="1">
        <f>K318+Table2[[#This Row],[Calls Off]]</f>
        <v>131921</v>
      </c>
      <c r="L320" s="1">
        <f>L318+Table2[[#This Row],[Calls Ans]]</f>
        <v>122526</v>
      </c>
      <c r="M320" s="18">
        <v>0.91</v>
      </c>
      <c r="N320" s="92">
        <v>0.03</v>
      </c>
      <c r="O320" s="92">
        <v>0.97</v>
      </c>
      <c r="P320" s="92">
        <v>0.57999999999999996</v>
      </c>
      <c r="Q320" s="92">
        <v>1</v>
      </c>
      <c r="R320" s="214">
        <v>200</v>
      </c>
      <c r="S320" s="214">
        <v>0</v>
      </c>
      <c r="T320" s="259">
        <v>5</v>
      </c>
      <c r="U320" s="258" t="str">
        <f t="shared" si="17"/>
        <v>Normal</v>
      </c>
      <c r="V320" s="258" t="str">
        <f t="shared" si="18"/>
        <v>Normal</v>
      </c>
      <c r="W320" s="264">
        <f t="shared" si="19"/>
        <v>-0.23295454545454544</v>
      </c>
      <c r="X320" s="264">
        <f t="shared" si="20"/>
        <v>-0.22134387351778656</v>
      </c>
      <c r="AK320">
        <f>MINUTE(Table2[[#This Row],[AHT]])</f>
        <v>0</v>
      </c>
      <c r="AL320">
        <f>SECOND(Table2[[#This Row],[AHT]])</f>
        <v>0</v>
      </c>
      <c r="AN320">
        <v>200</v>
      </c>
    </row>
    <row r="321" spans="1:40">
      <c r="A321" s="194">
        <v>44971</v>
      </c>
      <c r="B321" s="309">
        <f>IF(YEAR(Table9[[#This Row],[Date]]) = 2022, WEEKNUM(Table9[[#This Row],[Date]])-13, WEEKNUM(Table9[[#This Row],[Date]])+40)</f>
        <v>47</v>
      </c>
      <c r="C321" s="35" t="s">
        <v>49</v>
      </c>
      <c r="D321" s="255" t="s">
        <v>59</v>
      </c>
      <c r="E321" s="43">
        <v>332</v>
      </c>
      <c r="F321" s="43">
        <v>318</v>
      </c>
      <c r="G321" s="67">
        <f>IFERROR(((Table2[[#This Row],[Calls Off]]-E314)/E314),0)</f>
        <v>-0.18427518427518427</v>
      </c>
      <c r="H321" s="67">
        <f>IFERROR(((Table2[[#This Row],[Calls Ans]]-F314)/F314),0)</f>
        <v>-0.16315789473684211</v>
      </c>
      <c r="I321" s="1">
        <f>I320+Table2[[#This Row],[Calls Off]]</f>
        <v>4662</v>
      </c>
      <c r="J321" s="1">
        <f>J320+Table2[[#This Row],[Calls Ans]]</f>
        <v>4464</v>
      </c>
      <c r="K321" s="1">
        <f>K320+Table2[[#This Row],[Calls Off]]</f>
        <v>132253</v>
      </c>
      <c r="L321" s="1">
        <f>L320+Table2[[#This Row],[Calls Ans]]</f>
        <v>122844</v>
      </c>
      <c r="M321" s="18">
        <v>0.92</v>
      </c>
      <c r="N321" s="92">
        <v>0.04</v>
      </c>
      <c r="O321" s="92">
        <v>0.96</v>
      </c>
      <c r="P321" s="92">
        <v>0.47</v>
      </c>
      <c r="Q321" s="92">
        <v>1</v>
      </c>
      <c r="R321" s="214">
        <v>188</v>
      </c>
      <c r="S321" s="214">
        <v>0</v>
      </c>
      <c r="T321" s="259">
        <v>5</v>
      </c>
      <c r="U321" s="258" t="str">
        <f t="shared" si="17"/>
        <v>Normal</v>
      </c>
      <c r="V321" s="258" t="str">
        <f t="shared" si="18"/>
        <v>Normal</v>
      </c>
      <c r="W321" s="264">
        <f t="shared" si="19"/>
        <v>-0.18427518427518427</v>
      </c>
      <c r="X321" s="264">
        <f t="shared" si="20"/>
        <v>-0.16315789473684211</v>
      </c>
      <c r="AK321">
        <f>MINUTE(Table2[[#This Row],[AHT]])</f>
        <v>0</v>
      </c>
      <c r="AL321">
        <f>SECOND(Table2[[#This Row],[AHT]])</f>
        <v>0</v>
      </c>
      <c r="AN321">
        <v>188</v>
      </c>
    </row>
    <row r="322" spans="1:40">
      <c r="A322" s="194">
        <v>44972</v>
      </c>
      <c r="B322" s="309">
        <f>IF(YEAR(Table9[[#This Row],[Date]]) = 2022, WEEKNUM(Table9[[#This Row],[Date]])-13, WEEKNUM(Table9[[#This Row],[Date]])+40)</f>
        <v>47</v>
      </c>
      <c r="C322" s="34" t="s">
        <v>50</v>
      </c>
      <c r="D322" s="255" t="s">
        <v>59</v>
      </c>
      <c r="E322" s="43">
        <v>382</v>
      </c>
      <c r="F322" s="43">
        <v>368</v>
      </c>
      <c r="G322" s="67">
        <f>IFERROR(((Table2[[#This Row],[Calls Off]]-E315)/E315),0)</f>
        <v>1.3262599469496022E-2</v>
      </c>
      <c r="H322" s="67">
        <f>IFERROR(((Table2[[#This Row],[Calls Ans]]-F315)/F315),0)</f>
        <v>-8.0862533692722376E-3</v>
      </c>
      <c r="I322" s="1">
        <f>I321+Table2[[#This Row],[Calls Off]]</f>
        <v>5044</v>
      </c>
      <c r="J322" s="1">
        <f>J321+Table2[[#This Row],[Calls Ans]]</f>
        <v>4832</v>
      </c>
      <c r="K322" s="1">
        <f>K321+Table2[[#This Row],[Calls Off]]</f>
        <v>132635</v>
      </c>
      <c r="L322" s="1">
        <f>L321+Table2[[#This Row],[Calls Ans]]</f>
        <v>123212</v>
      </c>
      <c r="M322" s="18">
        <v>0.93</v>
      </c>
      <c r="N322" s="92">
        <v>0.04</v>
      </c>
      <c r="O322" s="92">
        <v>0.96</v>
      </c>
      <c r="P322" s="92">
        <v>0.47</v>
      </c>
      <c r="Q322" s="92">
        <v>1</v>
      </c>
      <c r="R322" s="214">
        <v>174</v>
      </c>
      <c r="S322" s="214">
        <v>0</v>
      </c>
      <c r="T322" s="259">
        <v>5</v>
      </c>
      <c r="U322" s="258" t="str">
        <f t="shared" si="17"/>
        <v>Normal</v>
      </c>
      <c r="V322" s="258" t="str">
        <f t="shared" si="18"/>
        <v>Normal</v>
      </c>
      <c r="W322" s="264">
        <f t="shared" si="19"/>
        <v>1.3262599469496022E-2</v>
      </c>
      <c r="X322" s="264">
        <f t="shared" si="20"/>
        <v>-8.0862533692722376E-3</v>
      </c>
      <c r="AK322">
        <f>MINUTE(Table2[[#This Row],[AHT]])</f>
        <v>0</v>
      </c>
      <c r="AL322">
        <f>SECOND(Table2[[#This Row],[AHT]])</f>
        <v>0</v>
      </c>
      <c r="AN322">
        <v>174</v>
      </c>
    </row>
    <row r="323" spans="1:40">
      <c r="A323" s="194">
        <v>44973</v>
      </c>
      <c r="B323" s="309">
        <f>IF(YEAR(Table9[[#This Row],[Date]]) = 2022, WEEKNUM(Table9[[#This Row],[Date]])-13, WEEKNUM(Table9[[#This Row],[Date]])+40)</f>
        <v>47</v>
      </c>
      <c r="C323" s="35" t="s">
        <v>51</v>
      </c>
      <c r="D323" s="255" t="s">
        <v>59</v>
      </c>
      <c r="E323" s="43">
        <v>370</v>
      </c>
      <c r="F323" s="43">
        <v>365</v>
      </c>
      <c r="G323" s="67">
        <f>IFERROR(((Table2[[#This Row],[Calls Off]]-E316)/E316),0)</f>
        <v>-4.8843187660668377E-2</v>
      </c>
      <c r="H323" s="67">
        <f>IFERROR(((Table2[[#This Row],[Calls Ans]]-F316)/F316),0)</f>
        <v>-3.1830238726790451E-2</v>
      </c>
      <c r="I323" s="1">
        <f>I322+Table2[[#This Row],[Calls Off]]</f>
        <v>5414</v>
      </c>
      <c r="J323" s="1">
        <f>J322+Table2[[#This Row],[Calls Ans]]</f>
        <v>5197</v>
      </c>
      <c r="K323" s="1">
        <f>K322+Table2[[#This Row],[Calls Off]]</f>
        <v>133005</v>
      </c>
      <c r="L323" s="1">
        <f>L322+Table2[[#This Row],[Calls Ans]]</f>
        <v>123577</v>
      </c>
      <c r="M323" s="18">
        <v>0.97</v>
      </c>
      <c r="N323" s="92">
        <v>0.01</v>
      </c>
      <c r="O323" s="92">
        <v>0.99</v>
      </c>
      <c r="P323" s="92">
        <v>0.43</v>
      </c>
      <c r="Q323" s="92">
        <v>1</v>
      </c>
      <c r="R323" s="214">
        <v>179</v>
      </c>
      <c r="S323" s="214">
        <v>0</v>
      </c>
      <c r="T323" s="259">
        <v>5</v>
      </c>
      <c r="U323" s="258" t="str">
        <f t="shared" ref="U323:U366" si="21">IF(OR(G323&lt;$AA$5,G323&gt;$AB$5), "Outlier", "Normal")</f>
        <v>Normal</v>
      </c>
      <c r="V323" s="258" t="str">
        <f t="shared" ref="V323:V366" si="22">IF(OR(H323&lt;$AA$6,H323&gt;$AB$6), "Outlier", "Normal")</f>
        <v>Normal</v>
      </c>
      <c r="W323" s="264">
        <f t="shared" ref="W323:W366" si="23">IF(U323="Normal",$G323,IF($G323&lt;150%, $G323, $AA$9))</f>
        <v>-4.8843187660668377E-2</v>
      </c>
      <c r="X323" s="264">
        <f t="shared" ref="X323:X366" si="24">IF(V323="Normal",$H323,IF($H323&lt;150%, $H323, $AE$9))</f>
        <v>-3.1830238726790451E-2</v>
      </c>
      <c r="AK323">
        <f>MINUTE(Table2[[#This Row],[AHT]])</f>
        <v>0</v>
      </c>
      <c r="AL323">
        <f>SECOND(Table2[[#This Row],[AHT]])</f>
        <v>0</v>
      </c>
      <c r="AN323">
        <v>179</v>
      </c>
    </row>
    <row r="324" spans="1:40">
      <c r="A324" s="194">
        <v>44974</v>
      </c>
      <c r="B324" s="309">
        <f>IF(YEAR(Table9[[#This Row],[Date]]) = 2022, WEEKNUM(Table9[[#This Row],[Date]])-13, WEEKNUM(Table9[[#This Row],[Date]])+40)</f>
        <v>47</v>
      </c>
      <c r="C324" s="34" t="s">
        <v>52</v>
      </c>
      <c r="D324" s="255" t="s">
        <v>59</v>
      </c>
      <c r="E324" s="43">
        <v>348</v>
      </c>
      <c r="F324" s="43">
        <v>323</v>
      </c>
      <c r="G324" s="67">
        <f>IFERROR(((Table2[[#This Row],[Calls Off]]-E317)/E317),0)</f>
        <v>-9.375E-2</v>
      </c>
      <c r="H324" s="67">
        <f>IFERROR(((Table2[[#This Row],[Calls Ans]]-F317)/F317),0)</f>
        <v>-0.13404825737265416</v>
      </c>
      <c r="I324" s="1">
        <f>I323+Table2[[#This Row],[Calls Off]]</f>
        <v>5762</v>
      </c>
      <c r="J324" s="1">
        <f>J323+Table2[[#This Row],[Calls Ans]]</f>
        <v>5520</v>
      </c>
      <c r="K324" s="1">
        <f>K323+Table2[[#This Row],[Calls Off]]</f>
        <v>133353</v>
      </c>
      <c r="L324" s="1">
        <f>L323+Table2[[#This Row],[Calls Ans]]</f>
        <v>123900</v>
      </c>
      <c r="M324" s="18">
        <v>0.87</v>
      </c>
      <c r="N324" s="92">
        <v>7.0000000000000007E-2</v>
      </c>
      <c r="O324" s="92">
        <v>0.93</v>
      </c>
      <c r="P324" s="92">
        <v>0.49</v>
      </c>
      <c r="Q324" s="92">
        <v>1</v>
      </c>
      <c r="R324" s="214">
        <v>199</v>
      </c>
      <c r="S324" s="214">
        <v>0</v>
      </c>
      <c r="T324" s="259">
        <v>5</v>
      </c>
      <c r="U324" s="258" t="str">
        <f t="shared" si="21"/>
        <v>Normal</v>
      </c>
      <c r="V324" s="258" t="str">
        <f t="shared" si="22"/>
        <v>Normal</v>
      </c>
      <c r="W324" s="264">
        <f t="shared" si="23"/>
        <v>-9.375E-2</v>
      </c>
      <c r="X324" s="264">
        <f t="shared" si="24"/>
        <v>-0.13404825737265416</v>
      </c>
      <c r="AK324">
        <f>MINUTE(Table2[[#This Row],[AHT]])</f>
        <v>0</v>
      </c>
      <c r="AL324">
        <f>SECOND(Table2[[#This Row],[AHT]])</f>
        <v>0</v>
      </c>
      <c r="AN324">
        <v>199</v>
      </c>
    </row>
    <row r="325" spans="1:40">
      <c r="A325" s="194">
        <v>44975</v>
      </c>
      <c r="B325" s="309">
        <f>IF(YEAR(Table9[[#This Row],[Date]]) = 2022, WEEKNUM(Table9[[#This Row],[Date]])-13, WEEKNUM(Table9[[#This Row],[Date]])+40)</f>
        <v>47</v>
      </c>
      <c r="C325" s="35" t="s">
        <v>53</v>
      </c>
      <c r="D325" s="255" t="s">
        <v>59</v>
      </c>
      <c r="E325" s="43">
        <v>138</v>
      </c>
      <c r="F325" s="43">
        <v>137</v>
      </c>
      <c r="G325" s="67">
        <f>IFERROR(((Table2[[#This Row],[Calls Off]]-E318)/E318),0)</f>
        <v>-0.17857142857142858</v>
      </c>
      <c r="H325" s="67">
        <f>IFERROR(((Table2[[#This Row],[Calls Ans]]-F318)/F318),0)</f>
        <v>-0.14374999999999999</v>
      </c>
      <c r="I325" s="1">
        <f>I324+Table2[[#This Row],[Calls Off]]</f>
        <v>5900</v>
      </c>
      <c r="J325" s="1">
        <f>J324+Table2[[#This Row],[Calls Ans]]</f>
        <v>5657</v>
      </c>
      <c r="K325" s="1">
        <f>K324+Table2[[#This Row],[Calls Off]]</f>
        <v>133491</v>
      </c>
      <c r="L325" s="1">
        <f>L324+Table2[[#This Row],[Calls Ans]]</f>
        <v>124037</v>
      </c>
      <c r="M325" s="18">
        <v>0.98</v>
      </c>
      <c r="N325" s="92">
        <v>0.01</v>
      </c>
      <c r="O325" s="92">
        <v>0.99</v>
      </c>
      <c r="P325" s="92">
        <v>0.56000000000000005</v>
      </c>
      <c r="Q325" s="92">
        <v>1</v>
      </c>
      <c r="R325" s="214">
        <v>192</v>
      </c>
      <c r="S325" s="214">
        <v>0</v>
      </c>
      <c r="T325" s="259">
        <v>3</v>
      </c>
      <c r="U325" s="258" t="str">
        <f t="shared" si="21"/>
        <v>Normal</v>
      </c>
      <c r="V325" s="258" t="str">
        <f t="shared" si="22"/>
        <v>Normal</v>
      </c>
      <c r="W325" s="264">
        <f t="shared" si="23"/>
        <v>-0.17857142857142858</v>
      </c>
      <c r="X325" s="264">
        <f t="shared" si="24"/>
        <v>-0.14374999999999999</v>
      </c>
      <c r="AK325">
        <f>MINUTE(Table2[[#This Row],[AHT]])</f>
        <v>0</v>
      </c>
      <c r="AL325">
        <f>SECOND(Table2[[#This Row],[AHT]])</f>
        <v>0</v>
      </c>
      <c r="AN325">
        <v>192</v>
      </c>
    </row>
    <row r="326" spans="1:40">
      <c r="A326" s="194">
        <v>44976</v>
      </c>
      <c r="B326" s="309">
        <f>IF(YEAR(Table9[[#This Row],[Date]]) = 2022, WEEKNUM(Table9[[#This Row],[Date]])-13, WEEKNUM(Table9[[#This Row],[Date]])+40)</f>
        <v>48</v>
      </c>
      <c r="C326" s="34" t="s">
        <v>47</v>
      </c>
      <c r="D326" s="255" t="s">
        <v>59</v>
      </c>
      <c r="E326" s="43">
        <v>0</v>
      </c>
      <c r="F326" s="43">
        <v>0</v>
      </c>
      <c r="G326" s="67">
        <v>0</v>
      </c>
      <c r="H326" s="67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92">
        <v>0</v>
      </c>
      <c r="O326" s="92">
        <v>0</v>
      </c>
      <c r="P326" s="92">
        <v>0</v>
      </c>
      <c r="Q326" s="92">
        <v>0</v>
      </c>
      <c r="R326" s="214">
        <v>0</v>
      </c>
      <c r="S326" s="214">
        <v>0</v>
      </c>
      <c r="T326" s="259">
        <v>0</v>
      </c>
      <c r="U326" s="258" t="str">
        <f t="shared" si="21"/>
        <v>Normal</v>
      </c>
      <c r="V326" s="258" t="str">
        <f t="shared" si="22"/>
        <v>Normal</v>
      </c>
      <c r="W326" s="264">
        <f t="shared" si="23"/>
        <v>0</v>
      </c>
      <c r="X326" s="264">
        <f t="shared" si="24"/>
        <v>0</v>
      </c>
      <c r="AK326">
        <f>MINUTE(Table2[[#This Row],[AHT]])</f>
        <v>0</v>
      </c>
      <c r="AL326">
        <f>SECOND(Table2[[#This Row],[AHT]])</f>
        <v>0</v>
      </c>
      <c r="AN326">
        <v>0</v>
      </c>
    </row>
    <row r="327" spans="1:40">
      <c r="A327" s="194">
        <v>44977</v>
      </c>
      <c r="B327" s="309">
        <f>IF(YEAR(Table9[[#This Row],[Date]]) = 2022, WEEKNUM(Table9[[#This Row],[Date]])-13, WEEKNUM(Table9[[#This Row],[Date]])+40)</f>
        <v>48</v>
      </c>
      <c r="C327" s="35" t="s">
        <v>48</v>
      </c>
      <c r="D327" s="255" t="s">
        <v>59</v>
      </c>
      <c r="E327" s="43">
        <v>420</v>
      </c>
      <c r="F327" s="43">
        <v>404</v>
      </c>
      <c r="G327" s="67">
        <f>IFERROR(((Table2[[#This Row],[Calls Off]]-E320)/E320),0)</f>
        <v>3.7037037037037035E-2</v>
      </c>
      <c r="H327" s="67">
        <f>IFERROR(((Table2[[#This Row],[Calls Ans]]-F320)/F320),0)</f>
        <v>2.5380710659898477E-2</v>
      </c>
      <c r="I327" s="1">
        <f>I325+Table2[[#This Row],[Calls Off]]</f>
        <v>6320</v>
      </c>
      <c r="J327" s="1">
        <f>J325+Table2[[#This Row],[Calls Ans]]</f>
        <v>6061</v>
      </c>
      <c r="K327" s="1">
        <f>K325+Table2[[#This Row],[Calls Off]]</f>
        <v>133911</v>
      </c>
      <c r="L327" s="1">
        <f>L325+Table2[[#This Row],[Calls Ans]]</f>
        <v>124441</v>
      </c>
      <c r="M327" s="18">
        <v>0.92</v>
      </c>
      <c r="N327" s="92">
        <v>0.04</v>
      </c>
      <c r="O327" s="92">
        <v>0.96</v>
      </c>
      <c r="P327" s="92">
        <v>0.56999999999999995</v>
      </c>
      <c r="Q327" s="92">
        <v>1</v>
      </c>
      <c r="R327" s="214">
        <v>187</v>
      </c>
      <c r="S327" s="214">
        <v>0</v>
      </c>
      <c r="T327" s="259">
        <v>5</v>
      </c>
      <c r="U327" s="258" t="str">
        <f t="shared" si="21"/>
        <v>Normal</v>
      </c>
      <c r="V327" s="258" t="str">
        <f t="shared" si="22"/>
        <v>Normal</v>
      </c>
      <c r="W327" s="264">
        <f t="shared" si="23"/>
        <v>3.7037037037037035E-2</v>
      </c>
      <c r="X327" s="264">
        <f t="shared" si="24"/>
        <v>2.5380710659898477E-2</v>
      </c>
      <c r="AK327">
        <f>MINUTE(Table2[[#This Row],[AHT]])</f>
        <v>0</v>
      </c>
      <c r="AL327">
        <f>SECOND(Table2[[#This Row],[AHT]])</f>
        <v>0</v>
      </c>
      <c r="AN327">
        <v>187</v>
      </c>
    </row>
    <row r="328" spans="1:40">
      <c r="A328" s="194">
        <v>44978</v>
      </c>
      <c r="B328" s="309">
        <f>IF(YEAR(Table9[[#This Row],[Date]]) = 2022, WEEKNUM(Table9[[#This Row],[Date]])-13, WEEKNUM(Table9[[#This Row],[Date]])+40)</f>
        <v>48</v>
      </c>
      <c r="C328" s="34" t="s">
        <v>49</v>
      </c>
      <c r="D328" s="255" t="s">
        <v>59</v>
      </c>
      <c r="E328" s="43">
        <v>347</v>
      </c>
      <c r="F328" s="43">
        <v>341</v>
      </c>
      <c r="G328" s="67">
        <f>IFERROR(((Table2[[#This Row],[Calls Off]]-E321)/E321),0)</f>
        <v>4.5180722891566265E-2</v>
      </c>
      <c r="H328" s="67">
        <f>IFERROR(((Table2[[#This Row],[Calls Ans]]-F321)/F321),0)</f>
        <v>7.2327044025157231E-2</v>
      </c>
      <c r="I328" s="1">
        <f>I327+Table2[[#This Row],[Calls Off]]</f>
        <v>6667</v>
      </c>
      <c r="J328" s="1">
        <f>J327+Table2[[#This Row],[Calls Ans]]</f>
        <v>6402</v>
      </c>
      <c r="K328" s="1">
        <f>K327+Table2[[#This Row],[Calls Off]]</f>
        <v>134258</v>
      </c>
      <c r="L328" s="1">
        <f>L327+Table2[[#This Row],[Calls Ans]]</f>
        <v>124782</v>
      </c>
      <c r="M328" s="18">
        <v>0.95</v>
      </c>
      <c r="N328" s="92">
        <v>0.02</v>
      </c>
      <c r="O328" s="92">
        <v>0.98</v>
      </c>
      <c r="P328" s="92">
        <v>0.49</v>
      </c>
      <c r="Q328" s="92">
        <v>1</v>
      </c>
      <c r="R328" s="214">
        <v>181</v>
      </c>
      <c r="S328" s="214">
        <v>0</v>
      </c>
      <c r="T328" s="259">
        <v>5</v>
      </c>
      <c r="U328" s="258" t="str">
        <f t="shared" si="21"/>
        <v>Normal</v>
      </c>
      <c r="V328" s="258" t="str">
        <f t="shared" si="22"/>
        <v>Normal</v>
      </c>
      <c r="W328" s="264">
        <f t="shared" si="23"/>
        <v>4.5180722891566265E-2</v>
      </c>
      <c r="X328" s="264">
        <f t="shared" si="24"/>
        <v>7.2327044025157231E-2</v>
      </c>
      <c r="AK328">
        <f>MINUTE(Table2[[#This Row],[AHT]])</f>
        <v>0</v>
      </c>
      <c r="AL328">
        <f>SECOND(Table2[[#This Row],[AHT]])</f>
        <v>0</v>
      </c>
      <c r="AN328">
        <v>181</v>
      </c>
    </row>
    <row r="329" spans="1:40">
      <c r="A329" s="194">
        <v>44979</v>
      </c>
      <c r="B329" s="309">
        <f>IF(YEAR(Table9[[#This Row],[Date]]) = 2022, WEEKNUM(Table9[[#This Row],[Date]])-13, WEEKNUM(Table9[[#This Row],[Date]])+40)</f>
        <v>48</v>
      </c>
      <c r="C329" s="35" t="s">
        <v>50</v>
      </c>
      <c r="D329" s="255" t="s">
        <v>59</v>
      </c>
      <c r="E329" s="43">
        <v>394</v>
      </c>
      <c r="F329" s="43">
        <v>382</v>
      </c>
      <c r="G329" s="67">
        <f>IFERROR(((Table2[[#This Row],[Calls Off]]-E322)/E322),0)</f>
        <v>3.1413612565445025E-2</v>
      </c>
      <c r="H329" s="67">
        <f>IFERROR(((Table2[[#This Row],[Calls Ans]]-F322)/F322),0)</f>
        <v>3.8043478260869568E-2</v>
      </c>
      <c r="I329" s="1">
        <f>I328+Table2[[#This Row],[Calls Off]]</f>
        <v>7061</v>
      </c>
      <c r="J329" s="1">
        <f>J328+Table2[[#This Row],[Calls Ans]]</f>
        <v>6784</v>
      </c>
      <c r="K329" s="1">
        <f>K328+Table2[[#This Row],[Calls Off]]</f>
        <v>134652</v>
      </c>
      <c r="L329" s="1">
        <f>L328+Table2[[#This Row],[Calls Ans]]</f>
        <v>125164</v>
      </c>
      <c r="M329" s="18">
        <v>0.93</v>
      </c>
      <c r="N329" s="92">
        <v>0.03</v>
      </c>
      <c r="O329" s="92">
        <v>0.97</v>
      </c>
      <c r="P329" s="92">
        <v>0.47</v>
      </c>
      <c r="Q329" s="92">
        <v>1</v>
      </c>
      <c r="R329" s="214">
        <v>135</v>
      </c>
      <c r="S329" s="214">
        <v>0</v>
      </c>
      <c r="T329" s="259">
        <v>4</v>
      </c>
      <c r="U329" s="258" t="str">
        <f t="shared" si="21"/>
        <v>Normal</v>
      </c>
      <c r="V329" s="258" t="str">
        <f t="shared" si="22"/>
        <v>Normal</v>
      </c>
      <c r="W329" s="264">
        <f t="shared" si="23"/>
        <v>3.1413612565445025E-2</v>
      </c>
      <c r="X329" s="264">
        <f t="shared" si="24"/>
        <v>3.8043478260869568E-2</v>
      </c>
      <c r="AK329">
        <f>MINUTE(Table2[[#This Row],[AHT]])</f>
        <v>0</v>
      </c>
      <c r="AL329">
        <f>SECOND(Table2[[#This Row],[AHT]])</f>
        <v>0</v>
      </c>
      <c r="AN329">
        <v>135</v>
      </c>
    </row>
    <row r="330" spans="1:40">
      <c r="A330" s="194">
        <v>44980</v>
      </c>
      <c r="B330" s="309">
        <f>IF(YEAR(Table9[[#This Row],[Date]]) = 2022, WEEKNUM(Table9[[#This Row],[Date]])-13, WEEKNUM(Table9[[#This Row],[Date]])+40)</f>
        <v>48</v>
      </c>
      <c r="C330" s="34" t="s">
        <v>51</v>
      </c>
      <c r="D330" s="255" t="s">
        <v>59</v>
      </c>
      <c r="E330" s="43">
        <v>435</v>
      </c>
      <c r="F330" s="43">
        <v>417</v>
      </c>
      <c r="G330" s="67">
        <f>IFERROR(((Table2[[#This Row],[Calls Off]]-E323)/E323),0)</f>
        <v>0.17567567567567569</v>
      </c>
      <c r="H330" s="67">
        <f>IFERROR(((Table2[[#This Row],[Calls Ans]]-F323)/F323),0)</f>
        <v>0.14246575342465753</v>
      </c>
      <c r="I330" s="1">
        <f>I329+Table2[[#This Row],[Calls Off]]</f>
        <v>7496</v>
      </c>
      <c r="J330" s="1">
        <f>J329+Table2[[#This Row],[Calls Ans]]</f>
        <v>7201</v>
      </c>
      <c r="K330" s="1">
        <f>K329+Table2[[#This Row],[Calls Off]]</f>
        <v>135087</v>
      </c>
      <c r="L330" s="1">
        <f>L329+Table2[[#This Row],[Calls Ans]]</f>
        <v>125581</v>
      </c>
      <c r="M330" s="18">
        <v>0.87</v>
      </c>
      <c r="N330" s="92">
        <v>0.04</v>
      </c>
      <c r="O330" s="92">
        <v>0.96</v>
      </c>
      <c r="P330" s="92">
        <v>0.6</v>
      </c>
      <c r="Q330" s="92">
        <v>1</v>
      </c>
      <c r="R330" s="214">
        <v>194</v>
      </c>
      <c r="S330" s="214">
        <v>0</v>
      </c>
      <c r="T330" s="259">
        <v>5</v>
      </c>
      <c r="U330" s="258" t="str">
        <f t="shared" si="21"/>
        <v>Normal</v>
      </c>
      <c r="V330" s="258" t="str">
        <f t="shared" si="22"/>
        <v>Normal</v>
      </c>
      <c r="W330" s="264">
        <f t="shared" si="23"/>
        <v>0.17567567567567569</v>
      </c>
      <c r="X330" s="264">
        <f t="shared" si="24"/>
        <v>0.14246575342465753</v>
      </c>
      <c r="AK330">
        <f>MINUTE(Table2[[#This Row],[AHT]])</f>
        <v>0</v>
      </c>
      <c r="AL330">
        <f>SECOND(Table2[[#This Row],[AHT]])</f>
        <v>0</v>
      </c>
      <c r="AN330">
        <v>194</v>
      </c>
    </row>
    <row r="331" spans="1:40">
      <c r="A331" s="194">
        <v>44981</v>
      </c>
      <c r="B331" s="309">
        <f>IF(YEAR(Table9[[#This Row],[Date]]) = 2022, WEEKNUM(Table9[[#This Row],[Date]])-13, WEEKNUM(Table9[[#This Row],[Date]])+40)</f>
        <v>48</v>
      </c>
      <c r="C331" s="35" t="s">
        <v>52</v>
      </c>
      <c r="D331" s="255" t="s">
        <v>59</v>
      </c>
      <c r="E331" s="43">
        <v>387</v>
      </c>
      <c r="F331" s="43">
        <v>368</v>
      </c>
      <c r="G331" s="67">
        <f>IFERROR(((Table2[[#This Row],[Calls Off]]-E324)/E324),0)</f>
        <v>0.11206896551724138</v>
      </c>
      <c r="H331" s="67">
        <f>IFERROR(((Table2[[#This Row],[Calls Ans]]-F324)/F324),0)</f>
        <v>0.13931888544891641</v>
      </c>
      <c r="I331" s="1">
        <f>I330+Table2[[#This Row],[Calls Off]]</f>
        <v>7883</v>
      </c>
      <c r="J331" s="1">
        <f>J330+Table2[[#This Row],[Calls Ans]]</f>
        <v>7569</v>
      </c>
      <c r="K331" s="1">
        <f>K330+Table2[[#This Row],[Calls Off]]</f>
        <v>135474</v>
      </c>
      <c r="L331" s="1">
        <f>L330+Table2[[#This Row],[Calls Ans]]</f>
        <v>125949</v>
      </c>
      <c r="M331" s="18">
        <v>0.9</v>
      </c>
      <c r="N331" s="92">
        <v>0.05</v>
      </c>
      <c r="O331" s="92">
        <v>0.95</v>
      </c>
      <c r="P331" s="92">
        <v>0.52</v>
      </c>
      <c r="Q331" s="92">
        <v>1</v>
      </c>
      <c r="R331" s="214">
        <v>184</v>
      </c>
      <c r="S331" s="214">
        <v>0</v>
      </c>
      <c r="T331" s="259">
        <v>5</v>
      </c>
      <c r="U331" s="258" t="str">
        <f t="shared" si="21"/>
        <v>Normal</v>
      </c>
      <c r="V331" s="258" t="str">
        <f t="shared" si="22"/>
        <v>Normal</v>
      </c>
      <c r="W331" s="264">
        <f t="shared" si="23"/>
        <v>0.11206896551724138</v>
      </c>
      <c r="X331" s="264">
        <f t="shared" si="24"/>
        <v>0.13931888544891641</v>
      </c>
      <c r="AK331">
        <f>MINUTE(Table2[[#This Row],[AHT]])</f>
        <v>0</v>
      </c>
      <c r="AL331">
        <f>SECOND(Table2[[#This Row],[AHT]])</f>
        <v>0</v>
      </c>
      <c r="AN331">
        <v>184</v>
      </c>
    </row>
    <row r="332" spans="1:40">
      <c r="A332" s="194">
        <v>44982</v>
      </c>
      <c r="B332" s="309">
        <f>IF(YEAR(Table9[[#This Row],[Date]]) = 2022, WEEKNUM(Table9[[#This Row],[Date]])-13, WEEKNUM(Table9[[#This Row],[Date]])+40)</f>
        <v>48</v>
      </c>
      <c r="C332" s="34" t="s">
        <v>53</v>
      </c>
      <c r="D332" s="255" t="s">
        <v>59</v>
      </c>
      <c r="E332" s="43">
        <v>142</v>
      </c>
      <c r="F332" s="43">
        <v>140</v>
      </c>
      <c r="G332" s="67">
        <f>IFERROR(((Table2[[#This Row],[Calls Off]]-E325)/E325),0)</f>
        <v>2.8985507246376812E-2</v>
      </c>
      <c r="H332" s="67">
        <f>IFERROR(((Table2[[#This Row],[Calls Ans]]-F325)/F325),0)</f>
        <v>2.1897810218978103E-2</v>
      </c>
      <c r="I332" s="1">
        <f>I331+Table2[[#This Row],[Calls Off]]</f>
        <v>8025</v>
      </c>
      <c r="J332" s="1">
        <f>J331+Table2[[#This Row],[Calls Ans]]</f>
        <v>7709</v>
      </c>
      <c r="K332" s="1">
        <f>K331+Table2[[#This Row],[Calls Off]]</f>
        <v>135616</v>
      </c>
      <c r="L332" s="1">
        <f>L331+Table2[[#This Row],[Calls Ans]]</f>
        <v>126089</v>
      </c>
      <c r="M332" s="18">
        <v>0.94</v>
      </c>
      <c r="N332" s="92">
        <v>0.01</v>
      </c>
      <c r="O332" s="92">
        <v>0.99</v>
      </c>
      <c r="P332" s="92">
        <v>0.64</v>
      </c>
      <c r="Q332" s="92">
        <v>1</v>
      </c>
      <c r="R332" s="214">
        <v>215</v>
      </c>
      <c r="S332" s="214">
        <v>0</v>
      </c>
      <c r="T332" s="259">
        <v>4</v>
      </c>
      <c r="U332" s="258" t="str">
        <f t="shared" si="21"/>
        <v>Normal</v>
      </c>
      <c r="V332" s="258" t="str">
        <f t="shared" si="22"/>
        <v>Normal</v>
      </c>
      <c r="W332" s="264">
        <f t="shared" si="23"/>
        <v>2.8985507246376812E-2</v>
      </c>
      <c r="X332" s="264">
        <f t="shared" si="24"/>
        <v>2.1897810218978103E-2</v>
      </c>
      <c r="AK332">
        <f>MINUTE(Table2[[#This Row],[AHT]])</f>
        <v>0</v>
      </c>
      <c r="AL332">
        <f>SECOND(Table2[[#This Row],[AHT]])</f>
        <v>0</v>
      </c>
      <c r="AN332">
        <v>215</v>
      </c>
    </row>
    <row r="333" spans="1:40">
      <c r="A333" s="194">
        <v>44983</v>
      </c>
      <c r="B333" s="309">
        <f>IF(YEAR(Table9[[#This Row],[Date]]) = 2022, WEEKNUM(Table9[[#This Row],[Date]])-13, WEEKNUM(Table9[[#This Row],[Date]])+40)</f>
        <v>49</v>
      </c>
      <c r="C333" s="35" t="s">
        <v>47</v>
      </c>
      <c r="D333" s="255" t="s">
        <v>59</v>
      </c>
      <c r="E333" s="43">
        <v>0</v>
      </c>
      <c r="F333" s="43">
        <v>0</v>
      </c>
      <c r="G333" s="67">
        <v>0</v>
      </c>
      <c r="H333" s="67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92">
        <v>0</v>
      </c>
      <c r="O333" s="92">
        <v>0</v>
      </c>
      <c r="P333" s="92">
        <v>0</v>
      </c>
      <c r="Q333" s="92">
        <v>0</v>
      </c>
      <c r="R333" s="214">
        <v>0</v>
      </c>
      <c r="S333" s="214">
        <v>0</v>
      </c>
      <c r="T333" s="259">
        <v>0</v>
      </c>
      <c r="U333" s="258" t="str">
        <f t="shared" si="21"/>
        <v>Normal</v>
      </c>
      <c r="V333" s="258" t="str">
        <f t="shared" si="22"/>
        <v>Normal</v>
      </c>
      <c r="W333" s="264">
        <f t="shared" si="23"/>
        <v>0</v>
      </c>
      <c r="X333" s="264">
        <f t="shared" si="24"/>
        <v>0</v>
      </c>
      <c r="AK333">
        <f>MINUTE(Table2[[#This Row],[AHT]])</f>
        <v>0</v>
      </c>
      <c r="AL333">
        <f>SECOND(Table2[[#This Row],[AHT]])</f>
        <v>0</v>
      </c>
      <c r="AN333">
        <v>0</v>
      </c>
    </row>
    <row r="334" spans="1:40">
      <c r="A334" s="194">
        <v>44984</v>
      </c>
      <c r="B334" s="309">
        <f>IF(YEAR(Table9[[#This Row],[Date]]) = 2022, WEEKNUM(Table9[[#This Row],[Date]])-13, WEEKNUM(Table9[[#This Row],[Date]])+40)</f>
        <v>49</v>
      </c>
      <c r="C334" s="34" t="s">
        <v>48</v>
      </c>
      <c r="D334" s="255" t="s">
        <v>59</v>
      </c>
      <c r="E334" s="43">
        <v>456</v>
      </c>
      <c r="F334" s="43">
        <v>433</v>
      </c>
      <c r="G334" s="67">
        <f>IFERROR(((Table2[[#This Row],[Calls Off]]-E327)/E327),0)</f>
        <v>8.5714285714285715E-2</v>
      </c>
      <c r="H334" s="67">
        <f>IFERROR(((Table2[[#This Row],[Calls Ans]]-F327)/F327),0)</f>
        <v>7.1782178217821777E-2</v>
      </c>
      <c r="I334" s="1">
        <f>I332+Table2[[#This Row],[Calls Off]]</f>
        <v>8481</v>
      </c>
      <c r="J334" s="1">
        <f>J332+Table2[[#This Row],[Calls Ans]]</f>
        <v>8142</v>
      </c>
      <c r="K334" s="1">
        <f>K332+Table2[[#This Row],[Calls Off]]</f>
        <v>136072</v>
      </c>
      <c r="L334" s="1">
        <f>L332+Table2[[#This Row],[Calls Ans]]</f>
        <v>126522</v>
      </c>
      <c r="M334" s="18">
        <v>0.87</v>
      </c>
      <c r="N334" s="92">
        <v>0.05</v>
      </c>
      <c r="O334" s="92">
        <v>0.95</v>
      </c>
      <c r="P334" s="92">
        <v>0.51</v>
      </c>
      <c r="Q334" s="92">
        <v>1</v>
      </c>
      <c r="R334" s="214">
        <v>185</v>
      </c>
      <c r="S334" s="214">
        <v>0</v>
      </c>
      <c r="T334" s="259">
        <v>5</v>
      </c>
      <c r="U334" s="258" t="str">
        <f t="shared" si="21"/>
        <v>Normal</v>
      </c>
      <c r="V334" s="258" t="str">
        <f t="shared" si="22"/>
        <v>Normal</v>
      </c>
      <c r="W334" s="264">
        <f t="shared" si="23"/>
        <v>8.5714285714285715E-2</v>
      </c>
      <c r="X334" s="264">
        <f t="shared" si="24"/>
        <v>7.1782178217821777E-2</v>
      </c>
      <c r="AK334">
        <f>MINUTE(Table2[[#This Row],[AHT]])</f>
        <v>0</v>
      </c>
      <c r="AL334">
        <f>SECOND(Table2[[#This Row],[AHT]])</f>
        <v>0</v>
      </c>
      <c r="AN334">
        <v>185</v>
      </c>
    </row>
    <row r="335" spans="1:40">
      <c r="A335" s="194">
        <v>44985</v>
      </c>
      <c r="B335" s="309">
        <f>IF(YEAR(Table9[[#This Row],[Date]]) = 2022, WEEKNUM(Table9[[#This Row],[Date]])-13, WEEKNUM(Table9[[#This Row],[Date]])+40)</f>
        <v>49</v>
      </c>
      <c r="C335" s="35" t="s">
        <v>49</v>
      </c>
      <c r="D335" s="255" t="s">
        <v>59</v>
      </c>
      <c r="E335" s="43">
        <v>464</v>
      </c>
      <c r="F335" s="43">
        <v>433</v>
      </c>
      <c r="G335" s="67">
        <f>IFERROR(((Table2[[#This Row],[Calls Off]]-E328)/E328),0)</f>
        <v>0.33717579250720459</v>
      </c>
      <c r="H335" s="67">
        <f>IFERROR(((Table2[[#This Row],[Calls Ans]]-F328)/F328),0)</f>
        <v>0.26979472140762462</v>
      </c>
      <c r="I335" s="1">
        <f>I334+Table2[[#This Row],[Calls Off]]</f>
        <v>8945</v>
      </c>
      <c r="J335" s="1">
        <f>J334+Table2[[#This Row],[Calls Ans]]</f>
        <v>8575</v>
      </c>
      <c r="K335" s="1">
        <f>K334+Table2[[#This Row],[Calls Off]]</f>
        <v>136536</v>
      </c>
      <c r="L335" s="1">
        <f>L334+Table2[[#This Row],[Calls Ans]]</f>
        <v>126955</v>
      </c>
      <c r="M335" s="18">
        <v>0.85</v>
      </c>
      <c r="N335" s="92">
        <v>7.0000000000000007E-2</v>
      </c>
      <c r="O335" s="92">
        <v>0.93</v>
      </c>
      <c r="P335" s="92">
        <v>0.65</v>
      </c>
      <c r="Q335" s="92">
        <v>1</v>
      </c>
      <c r="R335" s="214">
        <v>198</v>
      </c>
      <c r="S335" s="214">
        <v>0</v>
      </c>
      <c r="T335" s="259">
        <v>5</v>
      </c>
      <c r="U335" s="258" t="str">
        <f t="shared" si="21"/>
        <v>Normal</v>
      </c>
      <c r="V335" s="258" t="str">
        <f t="shared" si="22"/>
        <v>Normal</v>
      </c>
      <c r="W335" s="264">
        <f t="shared" si="23"/>
        <v>0.33717579250720459</v>
      </c>
      <c r="X335" s="264">
        <f t="shared" si="24"/>
        <v>0.26979472140762462</v>
      </c>
      <c r="AK335">
        <f>MINUTE(Table2[[#This Row],[AHT]])</f>
        <v>0</v>
      </c>
      <c r="AL335">
        <f>SECOND(Table2[[#This Row],[AHT]])</f>
        <v>0</v>
      </c>
      <c r="AN335">
        <v>198</v>
      </c>
    </row>
    <row r="336" spans="1:40">
      <c r="A336" s="194">
        <v>44986</v>
      </c>
      <c r="B336" s="309">
        <f>IF(YEAR(Table9[[#This Row],[Date]]) = 2022, WEEKNUM(Table9[[#This Row],[Date]])-13, WEEKNUM(Table9[[#This Row],[Date]])+40)</f>
        <v>49</v>
      </c>
      <c r="C336" s="36" t="s">
        <v>50</v>
      </c>
      <c r="D336" s="255" t="s">
        <v>59</v>
      </c>
      <c r="E336" s="32">
        <v>448</v>
      </c>
      <c r="F336" s="32">
        <v>436</v>
      </c>
      <c r="G336" s="67">
        <f>IFERROR(((Table2[[#This Row],[Calls Off]]-E329)/E329),0)</f>
        <v>0.13705583756345177</v>
      </c>
      <c r="H336" s="67">
        <f>IFERROR(((Table2[[#This Row],[Calls Ans]]-F329)/F329),0)</f>
        <v>0.14136125654450263</v>
      </c>
      <c r="I336" s="1">
        <f>Table2[[#This Row],[Calls Off]]</f>
        <v>448</v>
      </c>
      <c r="J336" s="1">
        <f>Table2[[#This Row],[Calls Ans]]</f>
        <v>436</v>
      </c>
      <c r="K336" s="1">
        <f>K335+Table2[[#This Row],[Calls Off]]</f>
        <v>136984</v>
      </c>
      <c r="L336" s="1">
        <f>L335+Table2[[#This Row],[Calls Ans]]</f>
        <v>127391</v>
      </c>
      <c r="M336" s="37">
        <v>0.94</v>
      </c>
      <c r="N336" s="37">
        <v>0.03</v>
      </c>
      <c r="O336" s="37">
        <v>0.97</v>
      </c>
      <c r="P336" s="37">
        <v>0.49</v>
      </c>
      <c r="Q336" s="37">
        <v>1</v>
      </c>
      <c r="R336" s="214">
        <v>167</v>
      </c>
      <c r="S336" s="214">
        <v>0</v>
      </c>
      <c r="T336" s="259">
        <v>5</v>
      </c>
      <c r="U336" s="258" t="str">
        <f t="shared" si="21"/>
        <v>Normal</v>
      </c>
      <c r="V336" s="258" t="str">
        <f t="shared" si="22"/>
        <v>Normal</v>
      </c>
      <c r="W336" s="264">
        <f t="shared" si="23"/>
        <v>0.13705583756345177</v>
      </c>
      <c r="X336" s="264">
        <f t="shared" si="24"/>
        <v>0.14136125654450263</v>
      </c>
      <c r="AK336">
        <f>MINUTE(Table2[[#This Row],[AHT]])</f>
        <v>0</v>
      </c>
      <c r="AL336">
        <f>SECOND(Table2[[#This Row],[AHT]])</f>
        <v>0</v>
      </c>
      <c r="AN336">
        <v>167</v>
      </c>
    </row>
    <row r="337" spans="1:40">
      <c r="A337" s="194">
        <v>44987</v>
      </c>
      <c r="B337" s="309">
        <f>IF(YEAR(Table9[[#This Row],[Date]]) = 2022, WEEKNUM(Table9[[#This Row],[Date]])-13, WEEKNUM(Table9[[#This Row],[Date]])+40)</f>
        <v>49</v>
      </c>
      <c r="C337" s="35" t="s">
        <v>51</v>
      </c>
      <c r="D337" s="255" t="s">
        <v>59</v>
      </c>
      <c r="E337" s="43">
        <v>428</v>
      </c>
      <c r="F337" s="43">
        <v>407</v>
      </c>
      <c r="G337" s="67">
        <f>IFERROR(((Table2[[#This Row],[Calls Off]]-E330)/E330),0)</f>
        <v>-1.6091954022988506E-2</v>
      </c>
      <c r="H337" s="67">
        <f>IFERROR(((Table2[[#This Row],[Calls Ans]]-F330)/F330),0)</f>
        <v>-2.3980815347721823E-2</v>
      </c>
      <c r="I337" s="1">
        <f>I336+Table2[[#This Row],[Calls Off]]</f>
        <v>876</v>
      </c>
      <c r="J337" s="1">
        <f>J336+Table2[[#This Row],[Calls Ans]]</f>
        <v>843</v>
      </c>
      <c r="K337" s="1">
        <f>K336+Table2[[#This Row],[Calls Off]]</f>
        <v>137412</v>
      </c>
      <c r="L337" s="1">
        <f>L336+Table2[[#This Row],[Calls Ans]]</f>
        <v>127798</v>
      </c>
      <c r="M337" s="18">
        <v>0.92</v>
      </c>
      <c r="N337" s="92">
        <v>0.05</v>
      </c>
      <c r="O337" s="92">
        <v>0.95</v>
      </c>
      <c r="P337" s="92">
        <v>0.56000000000000005</v>
      </c>
      <c r="Q337" s="92">
        <v>1</v>
      </c>
      <c r="R337" s="214">
        <v>181</v>
      </c>
      <c r="S337" s="214">
        <v>0</v>
      </c>
      <c r="T337" s="259">
        <v>5</v>
      </c>
      <c r="U337" s="258" t="str">
        <f t="shared" si="21"/>
        <v>Normal</v>
      </c>
      <c r="V337" s="258" t="str">
        <f t="shared" si="22"/>
        <v>Normal</v>
      </c>
      <c r="W337" s="264">
        <f t="shared" si="23"/>
        <v>-1.6091954022988506E-2</v>
      </c>
      <c r="X337" s="264">
        <f t="shared" si="24"/>
        <v>-2.3980815347721823E-2</v>
      </c>
      <c r="AK337">
        <f>MINUTE(Table2[[#This Row],[AHT]])</f>
        <v>0</v>
      </c>
      <c r="AL337">
        <f>SECOND(Table2[[#This Row],[AHT]])</f>
        <v>0</v>
      </c>
      <c r="AN337">
        <v>181</v>
      </c>
    </row>
    <row r="338" spans="1:40">
      <c r="A338" s="194">
        <v>44988</v>
      </c>
      <c r="B338" s="309">
        <f>IF(YEAR(Table9[[#This Row],[Date]]) = 2022, WEEKNUM(Table9[[#This Row],[Date]])-13, WEEKNUM(Table9[[#This Row],[Date]])+40)</f>
        <v>49</v>
      </c>
      <c r="C338" s="34" t="s">
        <v>52</v>
      </c>
      <c r="D338" s="255" t="s">
        <v>59</v>
      </c>
      <c r="E338" s="43">
        <v>510</v>
      </c>
      <c r="F338" s="43">
        <v>486</v>
      </c>
      <c r="G338" s="67">
        <f>IFERROR(((Table2[[#This Row],[Calls Off]]-E331)/E331),0)</f>
        <v>0.31782945736434109</v>
      </c>
      <c r="H338" s="67">
        <f>IFERROR(((Table2[[#This Row],[Calls Ans]]-F331)/F331),0)</f>
        <v>0.32065217391304346</v>
      </c>
      <c r="I338" s="1">
        <f>I337+Table2[[#This Row],[Calls Off]]</f>
        <v>1386</v>
      </c>
      <c r="J338" s="1">
        <f>J337+Table2[[#This Row],[Calls Ans]]</f>
        <v>1329</v>
      </c>
      <c r="K338" s="1">
        <f>K337+Table2[[#This Row],[Calls Off]]</f>
        <v>137922</v>
      </c>
      <c r="L338" s="1">
        <f>L337+Table2[[#This Row],[Calls Ans]]</f>
        <v>128284</v>
      </c>
      <c r="M338" s="18">
        <v>0.88</v>
      </c>
      <c r="N338" s="92">
        <v>0.05</v>
      </c>
      <c r="O338" s="92">
        <v>0.95</v>
      </c>
      <c r="P338" s="92">
        <v>0.56999999999999995</v>
      </c>
      <c r="Q338" s="92">
        <v>1</v>
      </c>
      <c r="R338" s="214">
        <v>176</v>
      </c>
      <c r="S338" s="214">
        <v>0</v>
      </c>
      <c r="T338" s="259">
        <v>5</v>
      </c>
      <c r="U338" s="258" t="str">
        <f t="shared" si="21"/>
        <v>Normal</v>
      </c>
      <c r="V338" s="258" t="str">
        <f t="shared" si="22"/>
        <v>Normal</v>
      </c>
      <c r="W338" s="264">
        <f t="shared" si="23"/>
        <v>0.31782945736434109</v>
      </c>
      <c r="X338" s="264">
        <f t="shared" si="24"/>
        <v>0.32065217391304346</v>
      </c>
      <c r="AK338">
        <f>MINUTE(Table2[[#This Row],[AHT]])</f>
        <v>0</v>
      </c>
      <c r="AL338">
        <f>SECOND(Table2[[#This Row],[AHT]])</f>
        <v>0</v>
      </c>
      <c r="AN338">
        <v>176</v>
      </c>
    </row>
    <row r="339" spans="1:40">
      <c r="A339" s="194">
        <v>44989</v>
      </c>
      <c r="B339" s="309">
        <f>IF(YEAR(Table9[[#This Row],[Date]]) = 2022, WEEKNUM(Table9[[#This Row],[Date]])-13, WEEKNUM(Table9[[#This Row],[Date]])+40)</f>
        <v>49</v>
      </c>
      <c r="C339" s="35" t="s">
        <v>53</v>
      </c>
      <c r="D339" s="255" t="s">
        <v>59</v>
      </c>
      <c r="E339" s="43">
        <v>183</v>
      </c>
      <c r="F339" s="43">
        <v>173</v>
      </c>
      <c r="G339" s="67">
        <f>IFERROR(((Table2[[#This Row],[Calls Off]]-E332)/E332),0)</f>
        <v>0.28873239436619719</v>
      </c>
      <c r="H339" s="67">
        <f>IFERROR(((Table2[[#This Row],[Calls Ans]]-F332)/F332),0)</f>
        <v>0.23571428571428571</v>
      </c>
      <c r="I339" s="1">
        <f>I338+Table2[[#This Row],[Calls Off]]</f>
        <v>1569</v>
      </c>
      <c r="J339" s="1">
        <f>J338+Table2[[#This Row],[Calls Ans]]</f>
        <v>1502</v>
      </c>
      <c r="K339" s="1">
        <f>K338+Table2[[#This Row],[Calls Off]]</f>
        <v>138105</v>
      </c>
      <c r="L339" s="1">
        <f>L338+Table2[[#This Row],[Calls Ans]]</f>
        <v>128457</v>
      </c>
      <c r="M339" s="18">
        <v>0.9</v>
      </c>
      <c r="N339" s="92">
        <v>0.05</v>
      </c>
      <c r="O339" s="92">
        <v>0.95</v>
      </c>
      <c r="P339" s="92">
        <v>0.54</v>
      </c>
      <c r="Q339" s="92">
        <v>1</v>
      </c>
      <c r="R339" s="214">
        <v>170</v>
      </c>
      <c r="S339" s="214">
        <v>0</v>
      </c>
      <c r="T339" s="259">
        <v>3</v>
      </c>
      <c r="U339" s="258" t="str">
        <f t="shared" si="21"/>
        <v>Normal</v>
      </c>
      <c r="V339" s="258" t="str">
        <f t="shared" si="22"/>
        <v>Normal</v>
      </c>
      <c r="W339" s="264">
        <f t="shared" si="23"/>
        <v>0.28873239436619719</v>
      </c>
      <c r="X339" s="264">
        <f t="shared" si="24"/>
        <v>0.23571428571428571</v>
      </c>
      <c r="AK339">
        <f>MINUTE(Table2[[#This Row],[AHT]])</f>
        <v>0</v>
      </c>
      <c r="AL339">
        <f>SECOND(Table2[[#This Row],[AHT]])</f>
        <v>0</v>
      </c>
      <c r="AN339">
        <v>170</v>
      </c>
    </row>
    <row r="340" spans="1:40">
      <c r="A340" s="194">
        <v>44990</v>
      </c>
      <c r="B340" s="309">
        <f>IF(YEAR(Table9[[#This Row],[Date]]) = 2022, WEEKNUM(Table9[[#This Row],[Date]])-13, WEEKNUM(Table9[[#This Row],[Date]])+40)</f>
        <v>50</v>
      </c>
      <c r="C340" s="34" t="s">
        <v>47</v>
      </c>
      <c r="D340" s="255" t="s">
        <v>59</v>
      </c>
      <c r="E340" s="43">
        <v>0</v>
      </c>
      <c r="F340" s="43">
        <v>0</v>
      </c>
      <c r="G340" s="67">
        <v>0</v>
      </c>
      <c r="H340" s="67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92">
        <v>0</v>
      </c>
      <c r="O340" s="92">
        <v>0</v>
      </c>
      <c r="P340" s="92">
        <v>0</v>
      </c>
      <c r="Q340" s="92">
        <v>0</v>
      </c>
      <c r="R340" s="214">
        <v>0</v>
      </c>
      <c r="S340" s="214">
        <v>0</v>
      </c>
      <c r="T340" s="259">
        <v>0</v>
      </c>
      <c r="U340" s="258" t="str">
        <f t="shared" si="21"/>
        <v>Normal</v>
      </c>
      <c r="V340" s="258" t="str">
        <f t="shared" si="22"/>
        <v>Normal</v>
      </c>
      <c r="W340" s="264">
        <f t="shared" si="23"/>
        <v>0</v>
      </c>
      <c r="X340" s="264">
        <f t="shared" si="24"/>
        <v>0</v>
      </c>
      <c r="AK340">
        <f>MINUTE(Table2[[#This Row],[AHT]])</f>
        <v>0</v>
      </c>
      <c r="AL340">
        <f>SECOND(Table2[[#This Row],[AHT]])</f>
        <v>0</v>
      </c>
      <c r="AN340">
        <v>0</v>
      </c>
    </row>
    <row r="341" spans="1:40">
      <c r="A341" s="194">
        <v>44991</v>
      </c>
      <c r="B341" s="309">
        <f>IF(YEAR(Table9[[#This Row],[Date]]) = 2022, WEEKNUM(Table9[[#This Row],[Date]])-13, WEEKNUM(Table9[[#This Row],[Date]])+40)</f>
        <v>50</v>
      </c>
      <c r="C341" s="35" t="s">
        <v>48</v>
      </c>
      <c r="D341" s="255" t="s">
        <v>59</v>
      </c>
      <c r="E341" s="43">
        <v>508</v>
      </c>
      <c r="F341" s="43">
        <v>484</v>
      </c>
      <c r="G341" s="67">
        <f>IFERROR(((Table2[[#This Row],[Calls Off]]-E334)/E334),0)</f>
        <v>0.11403508771929824</v>
      </c>
      <c r="H341" s="67">
        <f>IFERROR(((Table2[[#This Row],[Calls Ans]]-F334)/F334),0)</f>
        <v>0.11778290993071594</v>
      </c>
      <c r="I341" s="1">
        <f>I339+Table2[[#This Row],[Calls Off]]</f>
        <v>2077</v>
      </c>
      <c r="J341" s="1">
        <f>J339+Table2[[#This Row],[Calls Ans]]</f>
        <v>1986</v>
      </c>
      <c r="K341" s="1">
        <f>K339+Table2[[#This Row],[Calls Off]]</f>
        <v>138613</v>
      </c>
      <c r="L341" s="1">
        <f>L339+Table2[[#This Row],[Calls Ans]]</f>
        <v>128941</v>
      </c>
      <c r="M341" s="18">
        <v>0.87</v>
      </c>
      <c r="N341" s="92">
        <v>0.05</v>
      </c>
      <c r="O341" s="92">
        <v>0.95</v>
      </c>
      <c r="P341" s="92">
        <v>0.67</v>
      </c>
      <c r="Q341" s="92">
        <v>1</v>
      </c>
      <c r="R341" s="214">
        <v>182</v>
      </c>
      <c r="S341" s="214">
        <v>0</v>
      </c>
      <c r="T341" s="259">
        <v>5</v>
      </c>
      <c r="U341" s="258" t="str">
        <f t="shared" si="21"/>
        <v>Normal</v>
      </c>
      <c r="V341" s="258" t="str">
        <f t="shared" si="22"/>
        <v>Normal</v>
      </c>
      <c r="W341" s="264">
        <f t="shared" si="23"/>
        <v>0.11403508771929824</v>
      </c>
      <c r="X341" s="264">
        <f t="shared" si="24"/>
        <v>0.11778290993071594</v>
      </c>
      <c r="AK341">
        <f>MINUTE(Table2[[#This Row],[AHT]])</f>
        <v>0</v>
      </c>
      <c r="AL341">
        <f>SECOND(Table2[[#This Row],[AHT]])</f>
        <v>0</v>
      </c>
      <c r="AN341">
        <v>182</v>
      </c>
    </row>
    <row r="342" spans="1:40">
      <c r="A342" s="194">
        <v>44992</v>
      </c>
      <c r="B342" s="309">
        <f>IF(YEAR(Table9[[#This Row],[Date]]) = 2022, WEEKNUM(Table9[[#This Row],[Date]])-13, WEEKNUM(Table9[[#This Row],[Date]])+40)</f>
        <v>50</v>
      </c>
      <c r="C342" s="36" t="s">
        <v>49</v>
      </c>
      <c r="D342" s="255" t="s">
        <v>59</v>
      </c>
      <c r="E342" s="32">
        <v>462</v>
      </c>
      <c r="F342" s="32">
        <v>439</v>
      </c>
      <c r="G342" s="67">
        <f>IFERROR(((Table2[[#This Row],[Calls Off]]-E335)/E335),0)</f>
        <v>-4.3103448275862068E-3</v>
      </c>
      <c r="H342" s="67">
        <f>IFERROR(((Table2[[#This Row],[Calls Ans]]-F335)/F335),0)</f>
        <v>1.3856812933025405E-2</v>
      </c>
      <c r="I342" s="1">
        <f>I341+Table2[[#This Row],[Calls Off]]</f>
        <v>2539</v>
      </c>
      <c r="J342" s="1">
        <f>J341+Table2[[#This Row],[Calls Ans]]</f>
        <v>2425</v>
      </c>
      <c r="K342" s="1">
        <f>K341+Table2[[#This Row],[Calls Off]]</f>
        <v>139075</v>
      </c>
      <c r="L342" s="1">
        <f>L341+Table2[[#This Row],[Calls Ans]]</f>
        <v>129380</v>
      </c>
      <c r="M342" s="37">
        <v>0.89</v>
      </c>
      <c r="N342" s="37">
        <v>0.05</v>
      </c>
      <c r="O342" s="37">
        <v>0.95</v>
      </c>
      <c r="P342" s="37">
        <v>0.61</v>
      </c>
      <c r="Q342" s="37">
        <v>1</v>
      </c>
      <c r="R342" s="214">
        <v>182</v>
      </c>
      <c r="S342" s="214">
        <v>0</v>
      </c>
      <c r="T342" s="259">
        <v>5</v>
      </c>
      <c r="U342" s="258" t="str">
        <f t="shared" si="21"/>
        <v>Normal</v>
      </c>
      <c r="V342" s="258" t="str">
        <f t="shared" si="22"/>
        <v>Normal</v>
      </c>
      <c r="W342" s="264">
        <f t="shared" si="23"/>
        <v>-4.3103448275862068E-3</v>
      </c>
      <c r="X342" s="264">
        <f t="shared" si="24"/>
        <v>1.3856812933025405E-2</v>
      </c>
      <c r="AK342">
        <f>MINUTE(Table2[[#This Row],[AHT]])</f>
        <v>0</v>
      </c>
      <c r="AL342">
        <f>SECOND(Table2[[#This Row],[AHT]])</f>
        <v>0</v>
      </c>
      <c r="AN342">
        <v>182</v>
      </c>
    </row>
    <row r="343" spans="1:40">
      <c r="A343" s="194">
        <v>44993</v>
      </c>
      <c r="B343" s="309">
        <f>IF(YEAR(Table9[[#This Row],[Date]]) = 2022, WEEKNUM(Table9[[#This Row],[Date]])-13, WEEKNUM(Table9[[#This Row],[Date]])+40)</f>
        <v>50</v>
      </c>
      <c r="C343" s="35" t="s">
        <v>50</v>
      </c>
      <c r="D343" s="255" t="s">
        <v>59</v>
      </c>
      <c r="E343" s="43">
        <v>445</v>
      </c>
      <c r="F343" s="43">
        <v>434</v>
      </c>
      <c r="G343" s="67">
        <f>IFERROR(((Table2[[#This Row],[Calls Off]]-E336)/E336),0)</f>
        <v>-6.6964285714285711E-3</v>
      </c>
      <c r="H343" s="67">
        <f>IFERROR(((Table2[[#This Row],[Calls Ans]]-F336)/F336),0)</f>
        <v>-4.5871559633027525E-3</v>
      </c>
      <c r="I343" s="1">
        <f>Table2[[#This Row],[Calls Off]]+I342</f>
        <v>2984</v>
      </c>
      <c r="J343" s="1">
        <f>Table2[[#This Row],[Calls Ans]]+J342</f>
        <v>2859</v>
      </c>
      <c r="K343" s="1">
        <f>K342+Table2[[#This Row],[Calls Off]]</f>
        <v>139520</v>
      </c>
      <c r="L343" s="1">
        <f>L342+Table2[[#This Row],[Calls Ans]]</f>
        <v>129814</v>
      </c>
      <c r="M343" s="18">
        <v>0.94</v>
      </c>
      <c r="N343" s="92">
        <v>0.02</v>
      </c>
      <c r="O343" s="92">
        <v>0.98</v>
      </c>
      <c r="P343" s="92">
        <v>0.49</v>
      </c>
      <c r="Q343" s="92">
        <v>1</v>
      </c>
      <c r="R343" s="214">
        <v>167</v>
      </c>
      <c r="S343" s="214">
        <v>0</v>
      </c>
      <c r="T343" s="259">
        <v>5</v>
      </c>
      <c r="U343" s="258" t="str">
        <f t="shared" si="21"/>
        <v>Normal</v>
      </c>
      <c r="V343" s="258" t="str">
        <f t="shared" si="22"/>
        <v>Normal</v>
      </c>
      <c r="W343" s="264">
        <f t="shared" si="23"/>
        <v>-6.6964285714285711E-3</v>
      </c>
      <c r="X343" s="264">
        <f t="shared" si="24"/>
        <v>-4.5871559633027525E-3</v>
      </c>
      <c r="AK343">
        <f>MINUTE(Table2[[#This Row],[AHT]])</f>
        <v>0</v>
      </c>
      <c r="AL343">
        <f>SECOND(Table2[[#This Row],[AHT]])</f>
        <v>0</v>
      </c>
      <c r="AN343">
        <v>167</v>
      </c>
    </row>
    <row r="344" spans="1:40">
      <c r="A344" s="194">
        <v>44994</v>
      </c>
      <c r="B344" s="309">
        <f>IF(YEAR(Table9[[#This Row],[Date]]) = 2022, WEEKNUM(Table9[[#This Row],[Date]])-13, WEEKNUM(Table9[[#This Row],[Date]])+40)</f>
        <v>50</v>
      </c>
      <c r="C344" s="34" t="s">
        <v>51</v>
      </c>
      <c r="D344" s="255" t="s">
        <v>59</v>
      </c>
      <c r="E344" s="43">
        <v>375</v>
      </c>
      <c r="F344" s="43">
        <v>362</v>
      </c>
      <c r="G344" s="67">
        <f>IFERROR(((Table2[[#This Row],[Calls Off]]-E337)/E337),0)</f>
        <v>-0.12383177570093458</v>
      </c>
      <c r="H344" s="67">
        <f>IFERROR(((Table2[[#This Row],[Calls Ans]]-F337)/F337),0)</f>
        <v>-0.11056511056511056</v>
      </c>
      <c r="I344" s="1">
        <f>I343+Table2[[#This Row],[Calls Off]]</f>
        <v>3359</v>
      </c>
      <c r="J344" s="1">
        <f>Table2[[#This Row],[Calls Ans]]+J343</f>
        <v>3221</v>
      </c>
      <c r="K344" s="1">
        <f>K343+Table2[[#This Row],[Calls Off]]</f>
        <v>139895</v>
      </c>
      <c r="L344" s="1">
        <f>L343+Table2[[#This Row],[Calls Ans]]</f>
        <v>130176</v>
      </c>
      <c r="M344" s="18">
        <v>0.89</v>
      </c>
      <c r="N344" s="92">
        <v>0.03</v>
      </c>
      <c r="O344" s="92">
        <v>0.97</v>
      </c>
      <c r="P344" s="92">
        <v>0.64</v>
      </c>
      <c r="Q344" s="92">
        <v>1</v>
      </c>
      <c r="R344" s="214">
        <v>188</v>
      </c>
      <c r="S344" s="214">
        <v>0</v>
      </c>
      <c r="T344" s="259">
        <v>5</v>
      </c>
      <c r="U344" s="258" t="str">
        <f t="shared" si="21"/>
        <v>Normal</v>
      </c>
      <c r="V344" s="258" t="str">
        <f t="shared" si="22"/>
        <v>Normal</v>
      </c>
      <c r="W344" s="264">
        <f t="shared" si="23"/>
        <v>-0.12383177570093458</v>
      </c>
      <c r="X344" s="264">
        <f t="shared" si="24"/>
        <v>-0.11056511056511056</v>
      </c>
      <c r="AK344">
        <f>MINUTE(Table2[[#This Row],[AHT]])</f>
        <v>0</v>
      </c>
      <c r="AL344">
        <f>SECOND(Table2[[#This Row],[AHT]])</f>
        <v>0</v>
      </c>
      <c r="AN344">
        <v>188</v>
      </c>
    </row>
    <row r="345" spans="1:40">
      <c r="A345" s="194">
        <v>44995</v>
      </c>
      <c r="B345" s="309">
        <f>IF(YEAR(Table9[[#This Row],[Date]]) = 2022, WEEKNUM(Table9[[#This Row],[Date]])-13, WEEKNUM(Table9[[#This Row],[Date]])+40)</f>
        <v>50</v>
      </c>
      <c r="C345" s="35" t="s">
        <v>52</v>
      </c>
      <c r="D345" s="255" t="s">
        <v>59</v>
      </c>
      <c r="E345" s="43">
        <v>414</v>
      </c>
      <c r="F345" s="43">
        <v>389</v>
      </c>
      <c r="G345" s="67">
        <f>IFERROR(((Table2[[#This Row],[Calls Off]]-E338)/E338),0)</f>
        <v>-0.18823529411764706</v>
      </c>
      <c r="H345" s="67">
        <f>IFERROR(((Table2[[#This Row],[Calls Ans]]-F338)/F338),0)</f>
        <v>-0.19958847736625515</v>
      </c>
      <c r="I345" s="1">
        <f>I344+Table2[[#This Row],[Calls Off]]</f>
        <v>3773</v>
      </c>
      <c r="J345" s="1">
        <f>Table2[[#This Row],[Calls Ans]]+J344</f>
        <v>3610</v>
      </c>
      <c r="K345" s="1">
        <f>K344+Table2[[#This Row],[Calls Off]]</f>
        <v>140309</v>
      </c>
      <c r="L345" s="1">
        <f>L344+Table2[[#This Row],[Calls Ans]]</f>
        <v>130565</v>
      </c>
      <c r="M345" s="18">
        <v>0.87</v>
      </c>
      <c r="N345" s="92">
        <v>0.04</v>
      </c>
      <c r="O345" s="92">
        <v>0.96</v>
      </c>
      <c r="P345" s="92">
        <v>0.57999999999999996</v>
      </c>
      <c r="Q345" s="92">
        <v>1</v>
      </c>
      <c r="R345" s="214">
        <v>174</v>
      </c>
      <c r="S345" s="214">
        <v>0</v>
      </c>
      <c r="T345" s="259">
        <v>4</v>
      </c>
      <c r="U345" s="258" t="str">
        <f t="shared" si="21"/>
        <v>Normal</v>
      </c>
      <c r="V345" s="258" t="str">
        <f t="shared" si="22"/>
        <v>Normal</v>
      </c>
      <c r="W345" s="264">
        <f t="shared" si="23"/>
        <v>-0.18823529411764706</v>
      </c>
      <c r="X345" s="264">
        <f t="shared" si="24"/>
        <v>-0.19958847736625515</v>
      </c>
      <c r="AK345">
        <f>MINUTE(Table2[[#This Row],[AHT]])</f>
        <v>0</v>
      </c>
      <c r="AL345">
        <f>SECOND(Table2[[#This Row],[AHT]])</f>
        <v>0</v>
      </c>
      <c r="AN345">
        <v>174</v>
      </c>
    </row>
    <row r="346" spans="1:40">
      <c r="A346" s="194">
        <v>44996</v>
      </c>
      <c r="B346" s="309">
        <f>IF(YEAR(Table9[[#This Row],[Date]]) = 2022, WEEKNUM(Table9[[#This Row],[Date]])-13, WEEKNUM(Table9[[#This Row],[Date]])+40)</f>
        <v>50</v>
      </c>
      <c r="C346" s="34" t="s">
        <v>53</v>
      </c>
      <c r="D346" s="255" t="s">
        <v>59</v>
      </c>
      <c r="E346" s="43">
        <v>136</v>
      </c>
      <c r="F346" s="43">
        <v>132</v>
      </c>
      <c r="G346" s="67">
        <f>IFERROR(((Table2[[#This Row],[Calls Off]]-E339)/E339),0)</f>
        <v>-0.25683060109289618</v>
      </c>
      <c r="H346" s="67">
        <f>IFERROR(((Table2[[#This Row],[Calls Ans]]-F339)/F339),0)</f>
        <v>-0.23699421965317918</v>
      </c>
      <c r="I346" s="1">
        <f>I345+Table2[[#This Row],[Calls Off]]</f>
        <v>3909</v>
      </c>
      <c r="J346" s="1">
        <f>Table2[[#This Row],[Calls Ans]]+J345</f>
        <v>3742</v>
      </c>
      <c r="K346" s="1">
        <f>K345+Table2[[#This Row],[Calls Off]]</f>
        <v>140445</v>
      </c>
      <c r="L346" s="1">
        <f>L345+Table2[[#This Row],[Calls Ans]]</f>
        <v>130697</v>
      </c>
      <c r="M346" s="18">
        <v>0.92</v>
      </c>
      <c r="N346" s="92">
        <v>0.03</v>
      </c>
      <c r="O346" s="92">
        <v>0.97</v>
      </c>
      <c r="P346" s="92">
        <v>0.39</v>
      </c>
      <c r="Q346" s="92">
        <v>1</v>
      </c>
      <c r="R346" s="214">
        <v>170</v>
      </c>
      <c r="S346" s="214">
        <v>0</v>
      </c>
      <c r="T346" s="259">
        <v>3</v>
      </c>
      <c r="U346" s="258" t="str">
        <f t="shared" si="21"/>
        <v>Normal</v>
      </c>
      <c r="V346" s="258" t="str">
        <f t="shared" si="22"/>
        <v>Normal</v>
      </c>
      <c r="W346" s="264">
        <f t="shared" si="23"/>
        <v>-0.25683060109289618</v>
      </c>
      <c r="X346" s="264">
        <f t="shared" si="24"/>
        <v>-0.23699421965317918</v>
      </c>
      <c r="AK346">
        <f>MINUTE(Table2[[#This Row],[AHT]])</f>
        <v>0</v>
      </c>
      <c r="AL346">
        <f>SECOND(Table2[[#This Row],[AHT]])</f>
        <v>0</v>
      </c>
      <c r="AN346">
        <v>170</v>
      </c>
    </row>
    <row r="347" spans="1:40">
      <c r="A347" s="194">
        <v>44997</v>
      </c>
      <c r="B347" s="309">
        <f>IF(YEAR(Table9[[#This Row],[Date]]) = 2022, WEEKNUM(Table9[[#This Row],[Date]])-13, WEEKNUM(Table9[[#This Row],[Date]])+40)</f>
        <v>51</v>
      </c>
      <c r="C347" s="35" t="s">
        <v>47</v>
      </c>
      <c r="D347" s="255" t="s">
        <v>59</v>
      </c>
      <c r="E347" s="43">
        <v>0</v>
      </c>
      <c r="F347" s="43">
        <v>0</v>
      </c>
      <c r="G347" s="67">
        <v>0</v>
      </c>
      <c r="H347" s="67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92">
        <v>0</v>
      </c>
      <c r="O347" s="92">
        <v>0</v>
      </c>
      <c r="P347" s="92">
        <v>0</v>
      </c>
      <c r="Q347" s="92">
        <v>0</v>
      </c>
      <c r="R347" s="214">
        <v>0</v>
      </c>
      <c r="S347" s="214">
        <v>0</v>
      </c>
      <c r="T347" s="259">
        <v>0</v>
      </c>
      <c r="U347" s="258" t="str">
        <f t="shared" si="21"/>
        <v>Normal</v>
      </c>
      <c r="V347" s="258" t="str">
        <f t="shared" si="22"/>
        <v>Normal</v>
      </c>
      <c r="W347" s="264">
        <f t="shared" si="23"/>
        <v>0</v>
      </c>
      <c r="X347" s="264">
        <f t="shared" si="24"/>
        <v>0</v>
      </c>
      <c r="AK347">
        <f>MINUTE(Table2[[#This Row],[AHT]])</f>
        <v>0</v>
      </c>
      <c r="AL347">
        <f>SECOND(Table2[[#This Row],[AHT]])</f>
        <v>0</v>
      </c>
      <c r="AN347">
        <v>0</v>
      </c>
    </row>
    <row r="348" spans="1:40">
      <c r="A348" s="194">
        <v>44998</v>
      </c>
      <c r="B348" s="309">
        <f>IF(YEAR(Table9[[#This Row],[Date]]) = 2022, WEEKNUM(Table9[[#This Row],[Date]])-13, WEEKNUM(Table9[[#This Row],[Date]])+40)</f>
        <v>51</v>
      </c>
      <c r="C348" s="34" t="s">
        <v>48</v>
      </c>
      <c r="D348" s="255" t="s">
        <v>59</v>
      </c>
      <c r="E348" s="43">
        <v>426</v>
      </c>
      <c r="F348" s="43">
        <v>403</v>
      </c>
      <c r="G348" s="67">
        <f>IFERROR(((Table2[[#This Row],[Calls Off]]-E341)/E341),0)</f>
        <v>-0.16141732283464566</v>
      </c>
      <c r="H348" s="67">
        <f>IFERROR(((Table2[[#This Row],[Calls Ans]]-F341)/F341),0)</f>
        <v>-0.16735537190082644</v>
      </c>
      <c r="I348" s="1">
        <f>I346+Table2[[#This Row],[Calls Off]]</f>
        <v>4335</v>
      </c>
      <c r="J348" s="1">
        <f>J346+Table2[[#This Row],[Calls Ans]]</f>
        <v>4145</v>
      </c>
      <c r="K348" s="1">
        <f>K346+Table2[[#This Row],[Calls Off]]</f>
        <v>140871</v>
      </c>
      <c r="L348" s="1">
        <f>L346+Table2[[#This Row],[Calls Ans]]</f>
        <v>131100</v>
      </c>
      <c r="M348" s="18">
        <v>0.89</v>
      </c>
      <c r="N348" s="92">
        <v>0.05</v>
      </c>
      <c r="O348" s="92">
        <v>0.95</v>
      </c>
      <c r="P348" s="92">
        <v>0.59</v>
      </c>
      <c r="Q348" s="92">
        <v>1</v>
      </c>
      <c r="R348" s="214">
        <v>172</v>
      </c>
      <c r="S348" s="214">
        <v>0</v>
      </c>
      <c r="T348" s="259">
        <v>4</v>
      </c>
      <c r="U348" s="258" t="str">
        <f t="shared" si="21"/>
        <v>Normal</v>
      </c>
      <c r="V348" s="258" t="str">
        <f t="shared" si="22"/>
        <v>Normal</v>
      </c>
      <c r="W348" s="264">
        <f t="shared" si="23"/>
        <v>-0.16141732283464566</v>
      </c>
      <c r="X348" s="264">
        <f t="shared" si="24"/>
        <v>-0.16735537190082644</v>
      </c>
      <c r="AK348">
        <f>MINUTE(Table2[[#This Row],[AHT]])</f>
        <v>0</v>
      </c>
      <c r="AL348">
        <f>SECOND(Table2[[#This Row],[AHT]])</f>
        <v>0</v>
      </c>
      <c r="AN348">
        <v>172</v>
      </c>
    </row>
    <row r="349" spans="1:40">
      <c r="A349" s="194">
        <v>44999</v>
      </c>
      <c r="B349" s="309">
        <f>IF(YEAR(Table9[[#This Row],[Date]]) = 2022, WEEKNUM(Table9[[#This Row],[Date]])-13, WEEKNUM(Table9[[#This Row],[Date]])+40)</f>
        <v>51</v>
      </c>
      <c r="C349" s="35" t="s">
        <v>49</v>
      </c>
      <c r="D349" s="255" t="s">
        <v>59</v>
      </c>
      <c r="E349" s="43">
        <v>320</v>
      </c>
      <c r="F349" s="43">
        <v>307</v>
      </c>
      <c r="G349" s="67">
        <f>IFERROR(((Table2[[#This Row],[Calls Off]]-E342)/E342),0)</f>
        <v>-0.30735930735930733</v>
      </c>
      <c r="H349" s="67">
        <f>IFERROR(((Table2[[#This Row],[Calls Ans]]-F342)/F342),0)</f>
        <v>-0.30068337129840544</v>
      </c>
      <c r="I349" s="1">
        <f>I348+Table2[[#This Row],[Calls Off]]</f>
        <v>4655</v>
      </c>
      <c r="J349" s="1">
        <f>J348+Table2[[#This Row],[Calls Ans]]</f>
        <v>4452</v>
      </c>
      <c r="K349" s="1">
        <f>K348+Table2[[#This Row],[Calls Off]]</f>
        <v>141191</v>
      </c>
      <c r="L349" s="1">
        <f>L348+Table2[[#This Row],[Calls Ans]]</f>
        <v>131407</v>
      </c>
      <c r="M349" s="18">
        <v>0.88</v>
      </c>
      <c r="N349" s="92">
        <v>0.04</v>
      </c>
      <c r="O349" s="92">
        <v>0.96</v>
      </c>
      <c r="P349" s="92">
        <v>0.56999999999999995</v>
      </c>
      <c r="Q349" s="92">
        <v>1</v>
      </c>
      <c r="R349" s="214">
        <v>191</v>
      </c>
      <c r="S349" s="214">
        <v>0</v>
      </c>
      <c r="T349" s="259">
        <v>4</v>
      </c>
      <c r="U349" s="258" t="str">
        <f t="shared" si="21"/>
        <v>Normal</v>
      </c>
      <c r="V349" s="258" t="str">
        <f t="shared" si="22"/>
        <v>Normal</v>
      </c>
      <c r="W349" s="264">
        <f t="shared" si="23"/>
        <v>-0.30735930735930733</v>
      </c>
      <c r="X349" s="264">
        <f t="shared" si="24"/>
        <v>-0.30068337129840544</v>
      </c>
      <c r="AK349">
        <f>MINUTE(Table2[[#This Row],[AHT]])</f>
        <v>0</v>
      </c>
      <c r="AL349">
        <f>SECOND(Table2[[#This Row],[AHT]])</f>
        <v>0</v>
      </c>
      <c r="AN349">
        <v>191</v>
      </c>
    </row>
    <row r="350" spans="1:40">
      <c r="A350" s="194">
        <v>45000</v>
      </c>
      <c r="B350" s="309">
        <f>IF(YEAR(Table9[[#This Row],[Date]]) = 2022, WEEKNUM(Table9[[#This Row],[Date]])-13, WEEKNUM(Table9[[#This Row],[Date]])+40)</f>
        <v>51</v>
      </c>
      <c r="C350" s="36" t="s">
        <v>50</v>
      </c>
      <c r="D350" s="255" t="s">
        <v>59</v>
      </c>
      <c r="E350" s="32">
        <v>436</v>
      </c>
      <c r="F350" s="32">
        <v>404</v>
      </c>
      <c r="G350" s="67">
        <f>IFERROR(((Table2[[#This Row],[Calls Off]]-E343)/E343),0)</f>
        <v>-2.0224719101123594E-2</v>
      </c>
      <c r="H350" s="67">
        <f>IFERROR(((Table2[[#This Row],[Calls Ans]]-F343)/F343),0)</f>
        <v>-6.9124423963133647E-2</v>
      </c>
      <c r="I350" s="1">
        <f>Table2[[#This Row],[Calls Off]]+I349</f>
        <v>5091</v>
      </c>
      <c r="J350" s="1">
        <f>Table2[[#This Row],[Calls Ans]]+J349</f>
        <v>4856</v>
      </c>
      <c r="K350" s="1">
        <f>K349+Table2[[#This Row],[Calls Off]]</f>
        <v>141627</v>
      </c>
      <c r="L350" s="1">
        <f>L349+Table2[[#This Row],[Calls Ans]]</f>
        <v>131811</v>
      </c>
      <c r="M350" s="37">
        <v>0.82</v>
      </c>
      <c r="N350" s="37">
        <v>7.0000000000000007E-2</v>
      </c>
      <c r="O350" s="37">
        <v>0.93</v>
      </c>
      <c r="P350" s="37">
        <v>0.71</v>
      </c>
      <c r="Q350" s="37">
        <v>1</v>
      </c>
      <c r="R350" s="214">
        <v>186</v>
      </c>
      <c r="S350" s="214">
        <v>0</v>
      </c>
      <c r="T350" s="259">
        <v>4</v>
      </c>
      <c r="U350" s="258" t="str">
        <f t="shared" si="21"/>
        <v>Normal</v>
      </c>
      <c r="V350" s="258" t="str">
        <f t="shared" si="22"/>
        <v>Normal</v>
      </c>
      <c r="W350" s="264">
        <f t="shared" si="23"/>
        <v>-2.0224719101123594E-2</v>
      </c>
      <c r="X350" s="264">
        <f t="shared" si="24"/>
        <v>-6.9124423963133647E-2</v>
      </c>
      <c r="AK350">
        <f>MINUTE(Table2[[#This Row],[AHT]])</f>
        <v>0</v>
      </c>
      <c r="AL350">
        <f>SECOND(Table2[[#This Row],[AHT]])</f>
        <v>0</v>
      </c>
      <c r="AN350">
        <v>186</v>
      </c>
    </row>
    <row r="351" spans="1:40">
      <c r="A351" s="194">
        <v>45001</v>
      </c>
      <c r="B351" s="309">
        <f>IF(YEAR(Table9[[#This Row],[Date]]) = 2022, WEEKNUM(Table9[[#This Row],[Date]])-13, WEEKNUM(Table9[[#This Row],[Date]])+40)</f>
        <v>51</v>
      </c>
      <c r="C351" s="35" t="s">
        <v>51</v>
      </c>
      <c r="D351" s="255" t="s">
        <v>59</v>
      </c>
      <c r="E351" s="43">
        <v>380</v>
      </c>
      <c r="F351" s="43">
        <v>366</v>
      </c>
      <c r="G351" s="67">
        <f>IFERROR(((Table2[[#This Row],[Calls Off]]-E344)/E344),0)</f>
        <v>1.3333333333333334E-2</v>
      </c>
      <c r="H351" s="67">
        <f>IFERROR(((Table2[[#This Row],[Calls Ans]]-F344)/F344),0)</f>
        <v>1.1049723756906077E-2</v>
      </c>
      <c r="I351" s="1">
        <f>I350+Table2[[#This Row],[Calls Off]]</f>
        <v>5471</v>
      </c>
      <c r="J351" s="1">
        <f>J350+Table2[[#This Row],[Calls Ans]]</f>
        <v>5222</v>
      </c>
      <c r="K351" s="1">
        <f>K350+Table2[[#This Row],[Calls Off]]</f>
        <v>142007</v>
      </c>
      <c r="L351" s="1">
        <f>L350+Table2[[#This Row],[Calls Ans]]</f>
        <v>132177</v>
      </c>
      <c r="M351" s="18">
        <v>0.88</v>
      </c>
      <c r="N351" s="92">
        <v>0.04</v>
      </c>
      <c r="O351" s="92">
        <v>0.96</v>
      </c>
      <c r="P351" s="92">
        <v>0.66</v>
      </c>
      <c r="Q351" s="92">
        <v>1</v>
      </c>
      <c r="R351" s="214">
        <v>191</v>
      </c>
      <c r="S351" s="214">
        <v>0</v>
      </c>
      <c r="T351" s="259">
        <v>4</v>
      </c>
      <c r="U351" s="258" t="str">
        <f t="shared" si="21"/>
        <v>Normal</v>
      </c>
      <c r="V351" s="258" t="str">
        <f t="shared" si="22"/>
        <v>Normal</v>
      </c>
      <c r="W351" s="264">
        <f t="shared" si="23"/>
        <v>1.3333333333333334E-2</v>
      </c>
      <c r="X351" s="264">
        <f t="shared" si="24"/>
        <v>1.1049723756906077E-2</v>
      </c>
      <c r="AK351">
        <f>MINUTE(Table2[[#This Row],[AHT]])</f>
        <v>0</v>
      </c>
      <c r="AL351">
        <f>SECOND(Table2[[#This Row],[AHT]])</f>
        <v>0</v>
      </c>
      <c r="AN351">
        <v>191</v>
      </c>
    </row>
    <row r="352" spans="1:40">
      <c r="A352" s="194">
        <v>45002</v>
      </c>
      <c r="B352" s="309">
        <f>IF(YEAR(Table9[[#This Row],[Date]]) = 2022, WEEKNUM(Table9[[#This Row],[Date]])-13, WEEKNUM(Table9[[#This Row],[Date]])+40)</f>
        <v>51</v>
      </c>
      <c r="C352" s="36" t="s">
        <v>52</v>
      </c>
      <c r="D352" s="255" t="s">
        <v>59</v>
      </c>
      <c r="E352" s="43">
        <v>281</v>
      </c>
      <c r="F352" s="43">
        <v>276</v>
      </c>
      <c r="G352" s="67">
        <f>IFERROR(((Table2[[#This Row],[Calls Off]]-E345)/E345),0)</f>
        <v>-0.32125603864734298</v>
      </c>
      <c r="H352" s="67">
        <f>IFERROR(((Table2[[#This Row],[Calls Ans]]-F345)/F345),0)</f>
        <v>-0.29048843187660667</v>
      </c>
      <c r="I352" s="1">
        <f>I351+Table2[[#This Row],[Calls Off]]</f>
        <v>5752</v>
      </c>
      <c r="J352" s="1">
        <f>J351+Table2[[#This Row],[Calls Ans]]</f>
        <v>5498</v>
      </c>
      <c r="K352" s="1">
        <f>K351+Table2[[#This Row],[Calls Off]]</f>
        <v>142288</v>
      </c>
      <c r="L352" s="1">
        <f>L351+Table2[[#This Row],[Calls Ans]]</f>
        <v>132453</v>
      </c>
      <c r="M352" s="18">
        <v>0.38</v>
      </c>
      <c r="N352" s="92">
        <v>0.02</v>
      </c>
      <c r="O352" s="92">
        <v>0.98</v>
      </c>
      <c r="P352" s="92">
        <v>0.94</v>
      </c>
      <c r="Q352" s="92">
        <v>1</v>
      </c>
      <c r="R352" s="214">
        <v>159</v>
      </c>
      <c r="S352" s="214">
        <v>0</v>
      </c>
      <c r="T352" s="259">
        <v>3</v>
      </c>
      <c r="U352" s="258" t="str">
        <f t="shared" si="21"/>
        <v>Normal</v>
      </c>
      <c r="V352" s="258" t="str">
        <f t="shared" si="22"/>
        <v>Normal</v>
      </c>
      <c r="W352" s="264">
        <f t="shared" si="23"/>
        <v>-0.32125603864734298</v>
      </c>
      <c r="X352" s="264">
        <f t="shared" si="24"/>
        <v>-0.29048843187660667</v>
      </c>
      <c r="AK352">
        <f>MINUTE(Table2[[#This Row],[AHT]])</f>
        <v>0</v>
      </c>
      <c r="AL352">
        <f>SECOND(Table2[[#This Row],[AHT]])</f>
        <v>0</v>
      </c>
      <c r="AN352">
        <v>159</v>
      </c>
    </row>
    <row r="353" spans="1:40">
      <c r="A353" s="194">
        <v>45003</v>
      </c>
      <c r="B353" s="309">
        <f>IF(YEAR(Table9[[#This Row],[Date]]) = 2022, WEEKNUM(Table9[[#This Row],[Date]])-13, WEEKNUM(Table9[[#This Row],[Date]])+40)</f>
        <v>51</v>
      </c>
      <c r="C353" s="35" t="s">
        <v>53</v>
      </c>
      <c r="D353" s="255" t="s">
        <v>59</v>
      </c>
      <c r="E353" s="43">
        <v>72</v>
      </c>
      <c r="F353" s="43">
        <v>70</v>
      </c>
      <c r="G353" s="67">
        <f>IFERROR(((Table2[[#This Row],[Calls Off]]-E346)/E346),0)</f>
        <v>-0.47058823529411764</v>
      </c>
      <c r="H353" s="67">
        <f>IFERROR(((Table2[[#This Row],[Calls Ans]]-F346)/F346),0)</f>
        <v>-0.46969696969696972</v>
      </c>
      <c r="I353" s="1">
        <f>I352+Table2[[#This Row],[Calls Off]]</f>
        <v>5824</v>
      </c>
      <c r="J353" s="1">
        <f>J352+Table2[[#This Row],[Calls Ans]]</f>
        <v>5568</v>
      </c>
      <c r="K353" s="1">
        <f>K352+Table2[[#This Row],[Calls Off]]</f>
        <v>142360</v>
      </c>
      <c r="L353" s="1">
        <f>L352+Table2[[#This Row],[Calls Ans]]</f>
        <v>132523</v>
      </c>
      <c r="M353" s="18">
        <v>0.33</v>
      </c>
      <c r="N353" s="92">
        <v>0.03</v>
      </c>
      <c r="O353" s="92">
        <v>0.97</v>
      </c>
      <c r="P353" s="92">
        <v>0.97</v>
      </c>
      <c r="Q353" s="92">
        <v>1</v>
      </c>
      <c r="R353" s="214">
        <v>160</v>
      </c>
      <c r="S353" s="214">
        <v>0</v>
      </c>
      <c r="T353" s="259">
        <v>2</v>
      </c>
      <c r="U353" s="258" t="str">
        <f t="shared" si="21"/>
        <v>Outlier</v>
      </c>
      <c r="V353" s="258" t="str">
        <f t="shared" si="22"/>
        <v>Outlier</v>
      </c>
      <c r="W353" s="264">
        <f t="shared" si="23"/>
        <v>-0.47058823529411764</v>
      </c>
      <c r="X353" s="264">
        <f t="shared" si="24"/>
        <v>-0.46969696969696972</v>
      </c>
      <c r="AK353">
        <f>MINUTE(Table2[[#This Row],[AHT]])</f>
        <v>0</v>
      </c>
      <c r="AL353">
        <f>SECOND(Table2[[#This Row],[AHT]])</f>
        <v>0</v>
      </c>
      <c r="AN353">
        <v>160</v>
      </c>
    </row>
    <row r="354" spans="1:40">
      <c r="A354" s="194">
        <v>45004</v>
      </c>
      <c r="B354" s="309">
        <f>IF(YEAR(Table9[[#This Row],[Date]]) = 2022, WEEKNUM(Table9[[#This Row],[Date]])-13, WEEKNUM(Table9[[#This Row],[Date]])+40)</f>
        <v>52</v>
      </c>
      <c r="C354" s="36" t="s">
        <v>47</v>
      </c>
      <c r="D354" s="255" t="s">
        <v>59</v>
      </c>
      <c r="E354" s="43">
        <v>0</v>
      </c>
      <c r="F354" s="43">
        <v>0</v>
      </c>
      <c r="G354" s="67">
        <v>0</v>
      </c>
      <c r="H354" s="67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92">
        <v>0</v>
      </c>
      <c r="O354" s="92">
        <v>0</v>
      </c>
      <c r="P354" s="92">
        <v>0</v>
      </c>
      <c r="Q354" s="92">
        <v>0</v>
      </c>
      <c r="R354" s="214">
        <v>0</v>
      </c>
      <c r="S354" s="214">
        <v>0</v>
      </c>
      <c r="T354" s="259">
        <v>0</v>
      </c>
      <c r="U354" s="258" t="str">
        <f t="shared" si="21"/>
        <v>Normal</v>
      </c>
      <c r="V354" s="258" t="str">
        <f t="shared" si="22"/>
        <v>Normal</v>
      </c>
      <c r="W354" s="264">
        <f t="shared" si="23"/>
        <v>0</v>
      </c>
      <c r="X354" s="264">
        <f t="shared" si="24"/>
        <v>0</v>
      </c>
      <c r="AK354">
        <f>MINUTE(Table2[[#This Row],[AHT]])</f>
        <v>0</v>
      </c>
      <c r="AL354">
        <f>SECOND(Table2[[#This Row],[AHT]])</f>
        <v>0</v>
      </c>
      <c r="AN354">
        <v>0</v>
      </c>
    </row>
    <row r="355" spans="1:40">
      <c r="A355" s="194">
        <v>45005</v>
      </c>
      <c r="B355" s="309">
        <f>IF(YEAR(Table9[[#This Row],[Date]]) = 2022, WEEKNUM(Table9[[#This Row],[Date]])-13, WEEKNUM(Table9[[#This Row],[Date]])+40)</f>
        <v>52</v>
      </c>
      <c r="C355" s="35" t="s">
        <v>48</v>
      </c>
      <c r="D355" s="255" t="s">
        <v>59</v>
      </c>
      <c r="E355" s="43">
        <v>506</v>
      </c>
      <c r="F355" s="43">
        <v>483</v>
      </c>
      <c r="G355" s="67">
        <f>IFERROR(((Table2[[#This Row],[Calls Off]]-E348)/E348),0)</f>
        <v>0.18779342723004694</v>
      </c>
      <c r="H355" s="67">
        <f>IFERROR(((Table2[[#This Row],[Calls Ans]]-F348)/F348),0)</f>
        <v>0.19851116625310175</v>
      </c>
      <c r="I355" s="1">
        <f>I353+Table2[[#This Row],[Calls Off]]</f>
        <v>6330</v>
      </c>
      <c r="J355" s="1">
        <f>J353+Table2[[#This Row],[Calls Ans]]</f>
        <v>6051</v>
      </c>
      <c r="K355" s="1">
        <f>K353+Table2[[#This Row],[Calls Off]]</f>
        <v>142866</v>
      </c>
      <c r="L355" s="1">
        <f>L353+Table2[[#This Row],[Calls Ans]]</f>
        <v>133006</v>
      </c>
      <c r="M355" s="18">
        <v>0.56999999999999995</v>
      </c>
      <c r="N355" s="92">
        <v>0.05</v>
      </c>
      <c r="O355" s="92">
        <v>0.95</v>
      </c>
      <c r="P355" s="92">
        <v>0.92</v>
      </c>
      <c r="Q355" s="92">
        <v>1</v>
      </c>
      <c r="R355" s="214">
        <v>176</v>
      </c>
      <c r="S355" s="214">
        <v>0</v>
      </c>
      <c r="T355" s="259">
        <v>5</v>
      </c>
      <c r="U355" s="258" t="str">
        <f t="shared" si="21"/>
        <v>Normal</v>
      </c>
      <c r="V355" s="258" t="str">
        <f t="shared" si="22"/>
        <v>Normal</v>
      </c>
      <c r="W355" s="264">
        <f t="shared" si="23"/>
        <v>0.18779342723004694</v>
      </c>
      <c r="X355" s="264">
        <f t="shared" si="24"/>
        <v>0.19851116625310175</v>
      </c>
      <c r="AK355">
        <f>MINUTE(Table2[[#This Row],[AHT]])</f>
        <v>0</v>
      </c>
      <c r="AL355">
        <f>SECOND(Table2[[#This Row],[AHT]])</f>
        <v>0</v>
      </c>
      <c r="AN355">
        <v>176</v>
      </c>
    </row>
    <row r="356" spans="1:40">
      <c r="A356" s="194">
        <v>45006</v>
      </c>
      <c r="B356" s="309">
        <f>IF(YEAR(Table9[[#This Row],[Date]]) = 2022, WEEKNUM(Table9[[#This Row],[Date]])-13, WEEKNUM(Table9[[#This Row],[Date]])+40)</f>
        <v>52</v>
      </c>
      <c r="C356" s="35" t="s">
        <v>49</v>
      </c>
      <c r="D356" s="255" t="s">
        <v>59</v>
      </c>
      <c r="E356" s="43">
        <v>422</v>
      </c>
      <c r="F356" s="43">
        <v>398</v>
      </c>
      <c r="G356" s="67">
        <f>IFERROR(((Table2[[#This Row],[Calls Off]]-E349)/E349),0)</f>
        <v>0.31874999999999998</v>
      </c>
      <c r="H356" s="67">
        <f>IFERROR(((Table2[[#This Row],[Calls Ans]]-F349)/F349),0)</f>
        <v>0.29641693811074921</v>
      </c>
      <c r="I356" s="1">
        <f>I355+Table2[[#This Row],[Calls Off]]</f>
        <v>6752</v>
      </c>
      <c r="J356" s="1">
        <f>J355+Table2[[#This Row],[Calls Ans]]</f>
        <v>6449</v>
      </c>
      <c r="K356" s="1">
        <f>K355+Table2[[#This Row],[Calls Off]]</f>
        <v>143288</v>
      </c>
      <c r="L356" s="1">
        <f>L355+Table2[[#This Row],[Calls Ans]]</f>
        <v>133404</v>
      </c>
      <c r="M356" s="18">
        <v>0.55000000000000004</v>
      </c>
      <c r="N356" s="92">
        <v>0.06</v>
      </c>
      <c r="O356" s="92">
        <v>0.94</v>
      </c>
      <c r="P356" s="92">
        <v>0.9</v>
      </c>
      <c r="Q356" s="92">
        <v>1</v>
      </c>
      <c r="R356" s="214">
        <v>180</v>
      </c>
      <c r="S356" s="214">
        <v>0</v>
      </c>
      <c r="T356" s="259">
        <v>5</v>
      </c>
      <c r="U356" s="258" t="str">
        <f t="shared" si="21"/>
        <v>Normal</v>
      </c>
      <c r="V356" s="258" t="str">
        <f t="shared" si="22"/>
        <v>Normal</v>
      </c>
      <c r="W356" s="264">
        <f t="shared" si="23"/>
        <v>0.31874999999999998</v>
      </c>
      <c r="X356" s="264">
        <f t="shared" si="24"/>
        <v>0.29641693811074921</v>
      </c>
      <c r="AK356">
        <f>MINUTE(Table2[[#This Row],[AHT]])</f>
        <v>0</v>
      </c>
      <c r="AL356">
        <f>SECOND(Table2[[#This Row],[AHT]])</f>
        <v>0</v>
      </c>
      <c r="AN356">
        <v>180</v>
      </c>
    </row>
    <row r="357" spans="1:40">
      <c r="A357" s="194">
        <v>45007</v>
      </c>
      <c r="B357" s="309">
        <f>IF(YEAR(Table9[[#This Row],[Date]]) = 2022, WEEKNUM(Table9[[#This Row],[Date]])-13, WEEKNUM(Table9[[#This Row],[Date]])+40)</f>
        <v>52</v>
      </c>
      <c r="C357" s="35" t="s">
        <v>50</v>
      </c>
      <c r="D357" s="255" t="s">
        <v>59</v>
      </c>
      <c r="E357" s="43">
        <v>521</v>
      </c>
      <c r="F357" s="43">
        <v>487</v>
      </c>
      <c r="G357" s="67">
        <f>IFERROR(((Table2[[#This Row],[Calls Off]]-E350)/E350),0)</f>
        <v>0.19495412844036697</v>
      </c>
      <c r="H357" s="67">
        <f>IFERROR(((Table2[[#This Row],[Calls Ans]]-F350)/F350),0)</f>
        <v>0.20544554455445543</v>
      </c>
      <c r="I357" s="1">
        <f>Table2[[#This Row],[Calls Off]]+I356</f>
        <v>7273</v>
      </c>
      <c r="J357" s="1">
        <f>Table2[[#This Row],[Calls Ans]]+J356</f>
        <v>6936</v>
      </c>
      <c r="K357" s="1">
        <f>K356+Table2[[#This Row],[Calls Off]]</f>
        <v>143809</v>
      </c>
      <c r="L357" s="1">
        <f>L356+Table2[[#This Row],[Calls Ans]]</f>
        <v>133891</v>
      </c>
      <c r="M357" s="18">
        <v>0.89</v>
      </c>
      <c r="N357" s="92">
        <v>7.0000000000000007E-2</v>
      </c>
      <c r="O357" s="92">
        <v>0.93</v>
      </c>
      <c r="P357" s="92">
        <v>0.69</v>
      </c>
      <c r="Q357" s="92">
        <v>1</v>
      </c>
      <c r="R357" s="214">
        <v>189</v>
      </c>
      <c r="S357" s="214">
        <v>0</v>
      </c>
      <c r="T357" s="259">
        <v>5</v>
      </c>
      <c r="U357" s="258" t="str">
        <f t="shared" si="21"/>
        <v>Normal</v>
      </c>
      <c r="V357" s="258" t="str">
        <f t="shared" si="22"/>
        <v>Normal</v>
      </c>
      <c r="W357" s="264">
        <f t="shared" si="23"/>
        <v>0.19495412844036697</v>
      </c>
      <c r="X357" s="264">
        <f t="shared" si="24"/>
        <v>0.20544554455445543</v>
      </c>
      <c r="AK357">
        <f>MINUTE(Table2[[#This Row],[AHT]])</f>
        <v>0</v>
      </c>
      <c r="AL357">
        <f>SECOND(Table2[[#This Row],[AHT]])</f>
        <v>0</v>
      </c>
      <c r="AN357">
        <v>189</v>
      </c>
    </row>
    <row r="358" spans="1:40">
      <c r="A358" s="194">
        <v>45008</v>
      </c>
      <c r="B358" s="309">
        <f>IF(YEAR(Table9[[#This Row],[Date]]) = 2022, WEEKNUM(Table9[[#This Row],[Date]])-13, WEEKNUM(Table9[[#This Row],[Date]])+40)</f>
        <v>52</v>
      </c>
      <c r="C358" s="36" t="s">
        <v>51</v>
      </c>
      <c r="D358" s="255" t="s">
        <v>59</v>
      </c>
      <c r="E358" s="32">
        <v>390</v>
      </c>
      <c r="F358" s="32">
        <v>375</v>
      </c>
      <c r="G358" s="67">
        <f>IFERROR(((Table2[[#This Row],[Calls Off]]-E351)/E351),0)</f>
        <v>2.6315789473684209E-2</v>
      </c>
      <c r="H358" s="67">
        <f>IFERROR(((Table2[[#This Row],[Calls Ans]]-F351)/F351),0)</f>
        <v>2.4590163934426229E-2</v>
      </c>
      <c r="I358" s="1">
        <f>I357+Table2[[#This Row],[Calls Off]]</f>
        <v>7663</v>
      </c>
      <c r="J358" s="1">
        <f>J357+Table2[[#This Row],[Calls Ans]]</f>
        <v>7311</v>
      </c>
      <c r="K358" s="1">
        <f>K357+Table2[[#This Row],[Calls Off]]</f>
        <v>144199</v>
      </c>
      <c r="L358" s="1">
        <f>L357+Table2[[#This Row],[Calls Ans]]</f>
        <v>134266</v>
      </c>
      <c r="M358" s="37">
        <v>0.94</v>
      </c>
      <c r="N358" s="37">
        <v>0.04</v>
      </c>
      <c r="O358" s="37">
        <v>0.96</v>
      </c>
      <c r="P358" s="37">
        <v>0.66</v>
      </c>
      <c r="Q358" s="37">
        <v>1</v>
      </c>
      <c r="R358" s="214">
        <v>184</v>
      </c>
      <c r="S358" s="214">
        <v>0</v>
      </c>
      <c r="T358" s="259">
        <v>4</v>
      </c>
      <c r="U358" s="258" t="str">
        <f t="shared" si="21"/>
        <v>Normal</v>
      </c>
      <c r="V358" s="258" t="str">
        <f t="shared" si="22"/>
        <v>Normal</v>
      </c>
      <c r="W358" s="264">
        <f t="shared" si="23"/>
        <v>2.6315789473684209E-2</v>
      </c>
      <c r="X358" s="264">
        <f t="shared" si="24"/>
        <v>2.4590163934426229E-2</v>
      </c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K358">
        <f>MINUTE(Table2[[#This Row],[AHT]])</f>
        <v>0</v>
      </c>
      <c r="AL358">
        <f>SECOND(Table2[[#This Row],[AHT]])</f>
        <v>0</v>
      </c>
      <c r="AN358">
        <v>184</v>
      </c>
    </row>
    <row r="359" spans="1:40">
      <c r="A359" s="194">
        <v>45009</v>
      </c>
      <c r="B359" s="309">
        <f>IF(YEAR(Table9[[#This Row],[Date]]) = 2022, WEEKNUM(Table9[[#This Row],[Date]])-13, WEEKNUM(Table9[[#This Row],[Date]])+40)</f>
        <v>52</v>
      </c>
      <c r="C359" s="35" t="s">
        <v>52</v>
      </c>
      <c r="D359" s="255" t="s">
        <v>59</v>
      </c>
      <c r="E359" s="43">
        <v>396</v>
      </c>
      <c r="F359" s="43">
        <v>383</v>
      </c>
      <c r="G359" s="67">
        <f>IFERROR(((Table2[[#This Row],[Calls Off]]-E352)/E352),0)</f>
        <v>0.40925266903914592</v>
      </c>
      <c r="H359" s="67">
        <f>IFERROR(((Table2[[#This Row],[Calls Ans]]-F352)/F352),0)</f>
        <v>0.38768115942028986</v>
      </c>
      <c r="I359" s="1">
        <f>I358+Table2[[#This Row],[Calls Off]]</f>
        <v>8059</v>
      </c>
      <c r="J359" s="1">
        <f>J358+Table2[[#This Row],[Calls Ans]]</f>
        <v>7694</v>
      </c>
      <c r="K359" s="1">
        <f>K358+Table2[[#This Row],[Calls Off]]</f>
        <v>144595</v>
      </c>
      <c r="L359" s="1">
        <f>L358+Table2[[#This Row],[Calls Ans]]</f>
        <v>134649</v>
      </c>
      <c r="M359" s="18">
        <v>0.9</v>
      </c>
      <c r="N359" s="92">
        <v>0.03</v>
      </c>
      <c r="O359" s="92">
        <v>0.97</v>
      </c>
      <c r="P359" s="92">
        <v>0.67</v>
      </c>
      <c r="Q359" s="92">
        <v>1</v>
      </c>
      <c r="R359" s="214">
        <v>185</v>
      </c>
      <c r="S359" s="214">
        <v>0</v>
      </c>
      <c r="T359" s="259">
        <v>4</v>
      </c>
      <c r="U359" s="258" t="str">
        <f t="shared" si="21"/>
        <v>Outlier</v>
      </c>
      <c r="V359" s="258" t="str">
        <f t="shared" si="22"/>
        <v>Outlier</v>
      </c>
      <c r="W359" s="264">
        <f t="shared" si="23"/>
        <v>0.40925266903914592</v>
      </c>
      <c r="X359" s="264">
        <f t="shared" si="24"/>
        <v>0.38768115942028986</v>
      </c>
      <c r="AK359">
        <f>MINUTE(Table2[[#This Row],[AHT]])</f>
        <v>0</v>
      </c>
      <c r="AL359">
        <f>SECOND(Table2[[#This Row],[AHT]])</f>
        <v>0</v>
      </c>
      <c r="AN359">
        <v>185</v>
      </c>
    </row>
    <row r="360" spans="1:40">
      <c r="A360" s="194">
        <v>45010</v>
      </c>
      <c r="B360" s="309">
        <f>IF(YEAR(Table9[[#This Row],[Date]]) = 2022, WEEKNUM(Table9[[#This Row],[Date]])-13, WEEKNUM(Table9[[#This Row],[Date]])+40)</f>
        <v>52</v>
      </c>
      <c r="C360" s="35" t="s">
        <v>53</v>
      </c>
      <c r="D360" s="255" t="s">
        <v>59</v>
      </c>
      <c r="E360" s="43">
        <v>152</v>
      </c>
      <c r="F360" s="43">
        <v>147</v>
      </c>
      <c r="G360" s="67">
        <f>IFERROR(((Table2[[#This Row],[Calls Off]]-E353)/E353),0)</f>
        <v>1.1111111111111112</v>
      </c>
      <c r="H360" s="67">
        <f>IFERROR(((Table2[[#This Row],[Calls Ans]]-F353)/F353),0)</f>
        <v>1.1000000000000001</v>
      </c>
      <c r="I360" s="1">
        <f>I359+Table2[[#This Row],[Calls Off]]</f>
        <v>8211</v>
      </c>
      <c r="J360" s="1">
        <f>J359+Table2[[#This Row],[Calls Ans]]</f>
        <v>7841</v>
      </c>
      <c r="K360" s="1">
        <f>K359+Table2[[#This Row],[Calls Off]]</f>
        <v>144747</v>
      </c>
      <c r="L360" s="1">
        <f>L359+Table2[[#This Row],[Calls Ans]]</f>
        <v>134796</v>
      </c>
      <c r="M360" s="18">
        <v>0.95</v>
      </c>
      <c r="N360" s="92">
        <v>0.03</v>
      </c>
      <c r="O360" s="92">
        <v>0.97</v>
      </c>
      <c r="P360" s="92">
        <v>0.45</v>
      </c>
      <c r="Q360" s="92">
        <v>1</v>
      </c>
      <c r="R360" s="214">
        <v>190</v>
      </c>
      <c r="S360" s="214">
        <v>0</v>
      </c>
      <c r="T360" s="259">
        <v>4</v>
      </c>
      <c r="U360" s="258" t="str">
        <f t="shared" si="21"/>
        <v>Outlier</v>
      </c>
      <c r="V360" s="258" t="str">
        <f t="shared" si="22"/>
        <v>Outlier</v>
      </c>
      <c r="W360" s="264">
        <f t="shared" si="23"/>
        <v>1.1111111111111112</v>
      </c>
      <c r="X360" s="264">
        <f t="shared" si="24"/>
        <v>1.1000000000000001</v>
      </c>
      <c r="AK360">
        <f>MINUTE(Table2[[#This Row],[AHT]])</f>
        <v>0</v>
      </c>
      <c r="AL360">
        <f>SECOND(Table2[[#This Row],[AHT]])</f>
        <v>0</v>
      </c>
      <c r="AN360">
        <v>190</v>
      </c>
    </row>
    <row r="361" spans="1:40">
      <c r="A361" s="194">
        <v>45011</v>
      </c>
      <c r="B361" s="309">
        <f>IF(YEAR(Table9[[#This Row],[Date]]) = 2022, WEEKNUM(Table9[[#This Row],[Date]])-13, WEEKNUM(Table9[[#This Row],[Date]])+40)</f>
        <v>53</v>
      </c>
      <c r="C361" s="35" t="s">
        <v>47</v>
      </c>
      <c r="D361" s="255" t="s">
        <v>59</v>
      </c>
      <c r="E361" s="43">
        <v>0</v>
      </c>
      <c r="F361" s="43">
        <v>0</v>
      </c>
      <c r="G361" s="67">
        <v>0</v>
      </c>
      <c r="H361" s="67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92">
        <v>0</v>
      </c>
      <c r="O361" s="92">
        <v>0</v>
      </c>
      <c r="P361" s="92">
        <v>0</v>
      </c>
      <c r="Q361" s="92">
        <v>0</v>
      </c>
      <c r="R361" s="214">
        <v>0</v>
      </c>
      <c r="S361" s="214">
        <v>0</v>
      </c>
      <c r="T361" s="259">
        <v>0</v>
      </c>
      <c r="U361" s="258" t="str">
        <f t="shared" si="21"/>
        <v>Normal</v>
      </c>
      <c r="V361" s="258" t="str">
        <f t="shared" si="22"/>
        <v>Normal</v>
      </c>
      <c r="W361" s="264">
        <f t="shared" si="23"/>
        <v>0</v>
      </c>
      <c r="X361" s="264">
        <f t="shared" si="24"/>
        <v>0</v>
      </c>
      <c r="AK361">
        <f>MINUTE(Table2[[#This Row],[AHT]])</f>
        <v>0</v>
      </c>
      <c r="AL361">
        <f>SECOND(Table2[[#This Row],[AHT]])</f>
        <v>0</v>
      </c>
      <c r="AN361">
        <v>0</v>
      </c>
    </row>
    <row r="362" spans="1:40">
      <c r="A362" s="194">
        <v>45012</v>
      </c>
      <c r="B362" s="309">
        <f>IF(YEAR(Table9[[#This Row],[Date]]) = 2022, WEEKNUM(Table9[[#This Row],[Date]])-13, WEEKNUM(Table9[[#This Row],[Date]])+40)</f>
        <v>53</v>
      </c>
      <c r="C362" s="35" t="s">
        <v>48</v>
      </c>
      <c r="D362" s="255" t="s">
        <v>59</v>
      </c>
      <c r="E362" s="43">
        <v>520</v>
      </c>
      <c r="F362" s="43">
        <v>487</v>
      </c>
      <c r="G362" s="67">
        <f>IFERROR(((Table2[[#This Row],[Calls Off]]-E355)/E355),0)</f>
        <v>2.766798418972332E-2</v>
      </c>
      <c r="H362" s="67">
        <f>IFERROR(((Table2[[#This Row],[Calls Ans]]-F355)/F355),0)</f>
        <v>8.2815734989648039E-3</v>
      </c>
      <c r="I362" s="1">
        <f>I360+Table2[[#This Row],[Calls Off]]</f>
        <v>8731</v>
      </c>
      <c r="J362" s="1">
        <f>J360+Table2[[#This Row],[Calls Ans]]</f>
        <v>8328</v>
      </c>
      <c r="K362" s="1">
        <f>K360+Table2[[#This Row],[Calls Off]]</f>
        <v>145267</v>
      </c>
      <c r="L362" s="1">
        <f>L360+Table2[[#This Row],[Calls Ans]]</f>
        <v>135283</v>
      </c>
      <c r="M362" s="18">
        <v>0.86</v>
      </c>
      <c r="N362" s="92">
        <v>0.06</v>
      </c>
      <c r="O362" s="92">
        <v>0.94</v>
      </c>
      <c r="P362" s="92">
        <v>0.67</v>
      </c>
      <c r="Q362" s="92">
        <v>1</v>
      </c>
      <c r="R362" s="214">
        <v>180</v>
      </c>
      <c r="S362" s="214">
        <v>0</v>
      </c>
      <c r="T362" s="259">
        <v>5</v>
      </c>
      <c r="U362" s="258" t="str">
        <f t="shared" si="21"/>
        <v>Normal</v>
      </c>
      <c r="V362" s="258" t="str">
        <f t="shared" si="22"/>
        <v>Normal</v>
      </c>
      <c r="W362" s="264">
        <f t="shared" si="23"/>
        <v>2.766798418972332E-2</v>
      </c>
      <c r="X362" s="264">
        <f t="shared" si="24"/>
        <v>8.2815734989648039E-3</v>
      </c>
      <c r="AK362">
        <f>MINUTE(Table2[[#This Row],[AHT]])</f>
        <v>0</v>
      </c>
      <c r="AL362">
        <f>SECOND(Table2[[#This Row],[AHT]])</f>
        <v>0</v>
      </c>
      <c r="AN362">
        <v>180</v>
      </c>
    </row>
    <row r="363" spans="1:40">
      <c r="A363" s="194">
        <v>45013</v>
      </c>
      <c r="B363" s="309">
        <f>IF(YEAR(Table9[[#This Row],[Date]]) = 2022, WEEKNUM(Table9[[#This Row],[Date]])-13, WEEKNUM(Table9[[#This Row],[Date]])+40)</f>
        <v>53</v>
      </c>
      <c r="C363" s="35" t="s">
        <v>49</v>
      </c>
      <c r="D363" s="255" t="s">
        <v>59</v>
      </c>
      <c r="E363" s="43">
        <v>447</v>
      </c>
      <c r="F363" s="43">
        <v>420</v>
      </c>
      <c r="G363" s="67">
        <f>IFERROR(((Table2[[#This Row],[Calls Off]]-E356)/E356),0)</f>
        <v>5.9241706161137442E-2</v>
      </c>
      <c r="H363" s="67">
        <f>IFERROR(((Table2[[#This Row],[Calls Ans]]-F356)/F356),0)</f>
        <v>5.5276381909547742E-2</v>
      </c>
      <c r="I363" s="1">
        <f>I362+Table2[[#This Row],[Calls Off]]</f>
        <v>9178</v>
      </c>
      <c r="J363" s="1">
        <f>J362+Table2[[#This Row],[Calls Ans]]</f>
        <v>8748</v>
      </c>
      <c r="K363" s="1">
        <f>K362+Table2[[#This Row],[Calls Off]]</f>
        <v>145714</v>
      </c>
      <c r="L363" s="1">
        <f>L362+Table2[[#This Row],[Calls Ans]]</f>
        <v>135703</v>
      </c>
      <c r="M363" s="18">
        <v>0.88</v>
      </c>
      <c r="N363" s="92">
        <v>0.06</v>
      </c>
      <c r="O363" s="92">
        <v>0.94</v>
      </c>
      <c r="P363" s="92">
        <v>0.61</v>
      </c>
      <c r="Q363" s="92">
        <v>1</v>
      </c>
      <c r="R363" s="214">
        <v>183</v>
      </c>
      <c r="S363" s="214">
        <v>0</v>
      </c>
      <c r="T363" s="259">
        <v>5</v>
      </c>
      <c r="U363" s="258" t="str">
        <f t="shared" si="21"/>
        <v>Normal</v>
      </c>
      <c r="V363" s="258" t="str">
        <f t="shared" si="22"/>
        <v>Normal</v>
      </c>
      <c r="W363" s="264">
        <f t="shared" si="23"/>
        <v>5.9241706161137442E-2</v>
      </c>
      <c r="X363" s="264">
        <f t="shared" si="24"/>
        <v>5.5276381909547742E-2</v>
      </c>
      <c r="AK363">
        <f>MINUTE(Table2[[#This Row],[AHT]])</f>
        <v>0</v>
      </c>
      <c r="AL363">
        <f>SECOND(Table2[[#This Row],[AHT]])</f>
        <v>0</v>
      </c>
      <c r="AN363">
        <v>183</v>
      </c>
    </row>
    <row r="364" spans="1:40">
      <c r="A364" s="194">
        <v>45014</v>
      </c>
      <c r="B364" s="309">
        <f>IF(YEAR(Table9[[#This Row],[Date]]) = 2022, WEEKNUM(Table9[[#This Row],[Date]])-13, WEEKNUM(Table9[[#This Row],[Date]])+40)</f>
        <v>53</v>
      </c>
      <c r="C364" s="35" t="s">
        <v>50</v>
      </c>
      <c r="D364" s="255" t="s">
        <v>59</v>
      </c>
      <c r="E364" s="43">
        <v>470</v>
      </c>
      <c r="F364" s="43">
        <v>448</v>
      </c>
      <c r="G364" s="67">
        <f>IFERROR(((Table2[[#This Row],[Calls Off]]-E357)/E357),0)</f>
        <v>-9.7888675623800381E-2</v>
      </c>
      <c r="H364" s="67">
        <f>IFERROR(((Table2[[#This Row],[Calls Ans]]-F357)/F357),0)</f>
        <v>-8.0082135523613956E-2</v>
      </c>
      <c r="I364" s="1">
        <f>Table2[[#This Row],[Calls Off]]+I363</f>
        <v>9648</v>
      </c>
      <c r="J364" s="1">
        <f>Table2[[#This Row],[Calls Ans]]+J363</f>
        <v>9196</v>
      </c>
      <c r="K364" s="1">
        <f>K363+Table2[[#This Row],[Calls Off]]</f>
        <v>146184</v>
      </c>
      <c r="L364" s="1">
        <f>L363+Table2[[#This Row],[Calls Ans]]</f>
        <v>136151</v>
      </c>
      <c r="M364" s="18">
        <v>0.9</v>
      </c>
      <c r="N364" s="92">
        <v>0.05</v>
      </c>
      <c r="O364" s="92">
        <v>0.95</v>
      </c>
      <c r="P364" s="92">
        <v>0.53</v>
      </c>
      <c r="Q364" s="92">
        <v>1</v>
      </c>
      <c r="R364" s="214">
        <v>176</v>
      </c>
      <c r="S364" s="214">
        <v>0</v>
      </c>
      <c r="T364" s="259">
        <v>5</v>
      </c>
      <c r="U364" s="258" t="str">
        <f t="shared" si="21"/>
        <v>Normal</v>
      </c>
      <c r="V364" s="258" t="str">
        <f t="shared" si="22"/>
        <v>Normal</v>
      </c>
      <c r="W364" s="264">
        <f t="shared" si="23"/>
        <v>-9.7888675623800381E-2</v>
      </c>
      <c r="X364" s="264">
        <f t="shared" si="24"/>
        <v>-8.0082135523613956E-2</v>
      </c>
      <c r="AK364">
        <f>MINUTE(Table2[[#This Row],[AHT]])</f>
        <v>0</v>
      </c>
      <c r="AL364">
        <f>SECOND(Table2[[#This Row],[AHT]])</f>
        <v>0</v>
      </c>
      <c r="AN364">
        <v>176</v>
      </c>
    </row>
    <row r="365" spans="1:40">
      <c r="A365" s="194">
        <v>45015</v>
      </c>
      <c r="B365" s="309">
        <f>IF(YEAR(Table9[[#This Row],[Date]]) = 2022, WEEKNUM(Table9[[#This Row],[Date]])-13, WEEKNUM(Table9[[#This Row],[Date]])+40)</f>
        <v>53</v>
      </c>
      <c r="C365" s="35" t="s">
        <v>51</v>
      </c>
      <c r="D365" s="255" t="s">
        <v>59</v>
      </c>
      <c r="E365" s="43">
        <v>449</v>
      </c>
      <c r="F365" s="43">
        <v>437</v>
      </c>
      <c r="G365" s="67">
        <f>IFERROR(((Table2[[#This Row],[Calls Off]]-E358)/E358),0)</f>
        <v>0.15128205128205127</v>
      </c>
      <c r="H365" s="67">
        <f>IFERROR(((Table2[[#This Row],[Calls Ans]]-F358)/F358),0)</f>
        <v>0.16533333333333333</v>
      </c>
      <c r="I365" s="1">
        <f>Table2[[#This Row],[Calls Off]]+I364</f>
        <v>10097</v>
      </c>
      <c r="J365" s="1">
        <f>Table2[[#This Row],[Calls Ans]]+J364</f>
        <v>9633</v>
      </c>
      <c r="K365" s="1">
        <f>K364+Table2[[#This Row],[Calls Off]]</f>
        <v>146633</v>
      </c>
      <c r="L365" s="1">
        <f>L364+Table2[[#This Row],[Calls Ans]]</f>
        <v>136588</v>
      </c>
      <c r="M365" s="18">
        <v>0.9</v>
      </c>
      <c r="N365" s="92">
        <v>0.03</v>
      </c>
      <c r="O365" s="92">
        <v>0.97</v>
      </c>
      <c r="P365" s="92">
        <v>0.62</v>
      </c>
      <c r="Q365" s="92">
        <v>1</v>
      </c>
      <c r="R365" s="214">
        <v>168</v>
      </c>
      <c r="S365" s="214">
        <v>0</v>
      </c>
      <c r="T365" s="259">
        <v>4</v>
      </c>
      <c r="U365" s="258" t="str">
        <f t="shared" si="21"/>
        <v>Normal</v>
      </c>
      <c r="V365" s="258" t="str">
        <f t="shared" si="22"/>
        <v>Normal</v>
      </c>
      <c r="W365" s="264">
        <f t="shared" si="23"/>
        <v>0.15128205128205127</v>
      </c>
      <c r="X365" s="264">
        <f t="shared" si="24"/>
        <v>0.16533333333333333</v>
      </c>
      <c r="AK365">
        <f>MINUTE(Table2[[#This Row],[AHT]])</f>
        <v>0</v>
      </c>
      <c r="AL365">
        <f>SECOND(Table2[[#This Row],[AHT]])</f>
        <v>0</v>
      </c>
      <c r="AN365">
        <v>168</v>
      </c>
    </row>
    <row r="366" spans="1:40">
      <c r="A366" s="194">
        <v>45016</v>
      </c>
      <c r="B366" s="309">
        <f>IF(YEAR(Table9[[#This Row],[Date]]) = 2022, WEEKNUM(Table9[[#This Row],[Date]])-13, WEEKNUM(Table9[[#This Row],[Date]])+40)</f>
        <v>53</v>
      </c>
      <c r="C366" s="35" t="s">
        <v>52</v>
      </c>
      <c r="D366" s="255" t="s">
        <v>59</v>
      </c>
      <c r="E366" s="43">
        <v>438</v>
      </c>
      <c r="F366" s="43">
        <v>414</v>
      </c>
      <c r="G366" s="67">
        <f>IFERROR(((Table2[[#This Row],[Calls Off]]-E359)/E359),0)</f>
        <v>0.10606060606060606</v>
      </c>
      <c r="H366" s="67">
        <f>IFERROR(((Table2[[#This Row],[Calls Ans]]-F359)/F359),0)</f>
        <v>8.0939947780678853E-2</v>
      </c>
      <c r="I366" s="1">
        <f>I365+Table2[[#This Row],[Calls Off]]</f>
        <v>10535</v>
      </c>
      <c r="J366" s="1">
        <f>J365+Table2[[#This Row],[Calls Ans]]</f>
        <v>10047</v>
      </c>
      <c r="K366" s="1">
        <f>K365+Table2[[#This Row],[Calls Off]]</f>
        <v>147071</v>
      </c>
      <c r="L366" s="1">
        <f>L365+Table2[[#This Row],[Calls Ans]]</f>
        <v>137002</v>
      </c>
      <c r="M366" s="18">
        <v>0.88</v>
      </c>
      <c r="N366" s="92">
        <v>0.05</v>
      </c>
      <c r="O366" s="92">
        <v>0.95</v>
      </c>
      <c r="P366" s="92">
        <v>0.62</v>
      </c>
      <c r="Q366" s="92">
        <v>1</v>
      </c>
      <c r="R366" s="214">
        <v>178</v>
      </c>
      <c r="S366" s="316">
        <v>0</v>
      </c>
      <c r="T366" s="260">
        <v>4</v>
      </c>
      <c r="U366" s="258" t="str">
        <f t="shared" si="21"/>
        <v>Normal</v>
      </c>
      <c r="V366" s="258" t="str">
        <f t="shared" si="22"/>
        <v>Normal</v>
      </c>
      <c r="W366" s="264">
        <f t="shared" si="23"/>
        <v>0.10606060606060606</v>
      </c>
      <c r="X366" s="264">
        <f t="shared" si="24"/>
        <v>8.0939947780678853E-2</v>
      </c>
      <c r="AK366">
        <f>MINUTE(Table2[[#This Row],[AHT]])</f>
        <v>0</v>
      </c>
      <c r="AL366">
        <f>SECOND(Table2[[#This Row],[AHT]])</f>
        <v>0</v>
      </c>
      <c r="AN366">
        <v>178</v>
      </c>
    </row>
  </sheetData>
  <mergeCells count="6">
    <mergeCell ref="BC134:BD134"/>
    <mergeCell ref="Z3:AB3"/>
    <mergeCell ref="AD3:AE3"/>
    <mergeCell ref="AG3:AH3"/>
    <mergeCell ref="Z8:AA8"/>
    <mergeCell ref="AD8:AE8"/>
  </mergeCells>
  <phoneticPr fontId="8" type="noConversion"/>
  <dataValidations disablePrompts="1" count="3">
    <dataValidation type="list" showInputMessage="1" showErrorMessage="1" sqref="AL128" xr:uid="{580175D9-E308-4204-A0F3-FA6EDD86E3C3}">
      <formula1>period_OECS</formula1>
    </dataValidation>
    <dataValidation type="list" allowBlank="1" showInputMessage="1" showErrorMessage="1" sqref="AL129" xr:uid="{79599377-70F8-49FB-9DAC-DE588EADEA64}">
      <formula1>period_OECS</formula1>
    </dataValidation>
    <dataValidation type="list" allowBlank="1" showInputMessage="1" showErrorMessage="1" sqref="AP7:AP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V366"/>
  <sheetViews>
    <sheetView zoomScale="69" zoomScaleNormal="80" workbookViewId="0">
      <pane xSplit="1" ySplit="1" topLeftCell="L2" activePane="bottomRight" state="frozen"/>
      <selection pane="topRight" activeCell="B1" sqref="B1"/>
      <selection pane="bottomLeft" activeCell="A3" sqref="A3"/>
      <selection pane="bottomRight" activeCell="Q1" sqref="Q1"/>
    </sheetView>
  </sheetViews>
  <sheetFormatPr defaultRowHeight="14.5"/>
  <cols>
    <col min="2" max="2" width="20" bestFit="1" customWidth="1"/>
    <col min="3" max="3" width="19" bestFit="1" customWidth="1"/>
    <col min="4" max="4" width="6.90625" customWidth="1"/>
    <col min="5" max="5" width="10.54296875" customWidth="1"/>
    <col min="6" max="6" width="14.1796875" bestFit="1" customWidth="1"/>
    <col min="7" max="8" width="21.81640625" customWidth="1"/>
    <col min="9" max="9" width="19.36328125" customWidth="1"/>
    <col min="10" max="10" width="21" bestFit="1" customWidth="1"/>
    <col min="11" max="11" width="18.7265625" customWidth="1"/>
    <col min="12" max="12" width="17.6328125" bestFit="1" customWidth="1"/>
    <col min="16" max="16" width="8.90625" customWidth="1"/>
    <col min="20" max="20" width="14.1796875" bestFit="1" customWidth="1"/>
    <col min="21" max="21" width="53" bestFit="1" customWidth="1"/>
    <col min="22" max="22" width="48.81640625" bestFit="1" customWidth="1"/>
    <col min="23" max="23" width="33.08984375" bestFit="1" customWidth="1"/>
    <col min="24" max="24" width="28.7265625" bestFit="1" customWidth="1"/>
    <col min="26" max="26" width="12.90625" bestFit="1" customWidth="1"/>
    <col min="27" max="27" width="15" bestFit="1" customWidth="1"/>
    <col min="28" max="28" width="14.26953125" bestFit="1" customWidth="1"/>
    <col min="30" max="30" width="8" bestFit="1" customWidth="1"/>
    <col min="31" max="31" width="13.90625" bestFit="1" customWidth="1"/>
    <col min="34" max="34" width="13.6328125" bestFit="1" customWidth="1"/>
    <col min="40" max="40" width="9.90625" customWidth="1"/>
    <col min="41" max="41" width="21.26953125" customWidth="1"/>
    <col min="42" max="42" width="23.1796875" customWidth="1"/>
    <col min="45" max="45" width="10.7265625" bestFit="1" customWidth="1"/>
  </cols>
  <sheetData>
    <row r="1" spans="1:46" ht="17" customHeight="1">
      <c r="A1" s="24" t="s">
        <v>35</v>
      </c>
      <c r="B1" s="302" t="s">
        <v>176</v>
      </c>
      <c r="C1" s="25" t="s">
        <v>54</v>
      </c>
      <c r="D1" s="25" t="s">
        <v>58</v>
      </c>
      <c r="E1" s="25" t="s">
        <v>57</v>
      </c>
      <c r="F1" s="25" t="s">
        <v>33</v>
      </c>
      <c r="G1" s="25" t="s">
        <v>155</v>
      </c>
      <c r="H1" s="25" t="s">
        <v>156</v>
      </c>
      <c r="I1" s="25" t="s">
        <v>55</v>
      </c>
      <c r="J1" s="25" t="s">
        <v>56</v>
      </c>
      <c r="K1" s="25" t="s">
        <v>152</v>
      </c>
      <c r="L1" s="25" t="s">
        <v>151</v>
      </c>
      <c r="M1" s="25" t="s">
        <v>32</v>
      </c>
      <c r="N1" s="25" t="s">
        <v>5</v>
      </c>
      <c r="O1" s="25" t="s">
        <v>4</v>
      </c>
      <c r="P1" s="25" t="s">
        <v>178</v>
      </c>
      <c r="Q1" s="26" t="s">
        <v>7</v>
      </c>
      <c r="R1" s="25" t="s">
        <v>81</v>
      </c>
      <c r="S1" s="25" t="s">
        <v>82</v>
      </c>
      <c r="T1" s="25" t="s">
        <v>79</v>
      </c>
      <c r="U1" s="25" t="s">
        <v>157</v>
      </c>
      <c r="V1" s="25" t="s">
        <v>158</v>
      </c>
      <c r="W1" s="25" t="s">
        <v>159</v>
      </c>
      <c r="X1" s="25" t="s">
        <v>160</v>
      </c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1"/>
    </row>
    <row r="2" spans="1:46" ht="17" customHeight="1">
      <c r="A2" s="31">
        <v>44652</v>
      </c>
      <c r="B2" s="108">
        <f>IF(YEAR(Table9[[#This Row],[Date]]) = 2022, WEEKNUM(Table9[[#This Row],[Date]])-13, WEEKNUM(Table9[[#This Row],[Date]])+40)</f>
        <v>1</v>
      </c>
      <c r="C2" s="1" t="s">
        <v>52</v>
      </c>
      <c r="D2" s="32" t="s">
        <v>59</v>
      </c>
      <c r="E2" s="1">
        <v>794</v>
      </c>
      <c r="F2" s="1">
        <v>658</v>
      </c>
      <c r="G2" s="87">
        <v>-0.21850393700787402</v>
      </c>
      <c r="H2" s="87">
        <v>0.19636363636363635</v>
      </c>
      <c r="I2" s="32">
        <v>794</v>
      </c>
      <c r="J2" s="32">
        <v>658</v>
      </c>
      <c r="K2" s="32">
        <v>794</v>
      </c>
      <c r="L2" s="32">
        <v>658</v>
      </c>
      <c r="M2" s="18">
        <v>0.53</v>
      </c>
      <c r="N2" s="18">
        <v>0.2</v>
      </c>
      <c r="O2" s="18">
        <v>0.8</v>
      </c>
      <c r="P2" s="37">
        <v>0.87</v>
      </c>
      <c r="Q2" s="193"/>
      <c r="R2" s="217">
        <v>0</v>
      </c>
      <c r="S2" s="217">
        <v>0</v>
      </c>
      <c r="T2" s="218">
        <v>0</v>
      </c>
      <c r="U2" s="268" t="str">
        <f>IF(OR(G2&lt;$AA$5,G2&gt;$AB$5), "Outlier", "Normal")</f>
        <v>Normal</v>
      </c>
      <c r="V2" s="268" t="str">
        <f>IF(OR(H2&lt;$AA$6,H2&gt;$AB$6), "Outlier", "Normal")</f>
        <v>Normal</v>
      </c>
      <c r="W2" s="270">
        <f>IF(U2="Normal",$G2,IF($G2&lt;150%, $G2, $AA$9))</f>
        <v>-0.21850393700787402</v>
      </c>
      <c r="X2" s="270">
        <f>IF(V2="Normal",$H2,IF($H2&lt;150%, $H2, $AE$9))</f>
        <v>0.19636363636363635</v>
      </c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5"/>
    </row>
    <row r="3" spans="1:46" ht="17" customHeight="1">
      <c r="A3" s="21">
        <v>44653</v>
      </c>
      <c r="B3" s="17">
        <f>IF(YEAR(Table9[[#This Row],[Date]]) = 2022, WEEKNUM(Table9[[#This Row],[Date]])-13, WEEKNUM(Table9[[#This Row],[Date]])+40)</f>
        <v>1</v>
      </c>
      <c r="C3" s="1" t="s">
        <v>53</v>
      </c>
      <c r="D3" s="1" t="s">
        <v>59</v>
      </c>
      <c r="E3" s="1">
        <v>608</v>
      </c>
      <c r="F3" s="1">
        <v>520</v>
      </c>
      <c r="G3" s="19">
        <v>-0.35112059765208109</v>
      </c>
      <c r="H3" s="19">
        <v>0.229314420803783</v>
      </c>
      <c r="I3" s="1">
        <v>1402</v>
      </c>
      <c r="J3" s="1">
        <v>1178</v>
      </c>
      <c r="K3" s="1">
        <v>1402</v>
      </c>
      <c r="L3" s="1">
        <v>1178</v>
      </c>
      <c r="M3" s="18">
        <v>0.61</v>
      </c>
      <c r="N3" s="18">
        <v>0.15</v>
      </c>
      <c r="O3" s="18">
        <v>0.85</v>
      </c>
      <c r="P3" s="18">
        <v>0.8</v>
      </c>
      <c r="Q3" s="193"/>
      <c r="R3" s="43">
        <v>0</v>
      </c>
      <c r="S3" s="43">
        <v>0</v>
      </c>
      <c r="T3" s="43">
        <v>0</v>
      </c>
      <c r="U3" s="268" t="str">
        <f t="shared" ref="U3:U66" si="0">IF(OR(G3&lt;$AA$5,G3&gt;$AB$5), "Outlier", "Normal")</f>
        <v>Outlier</v>
      </c>
      <c r="V3" s="268" t="str">
        <f t="shared" ref="V3:V66" si="1">IF(OR(H3&lt;$AA$6,H3&gt;$AB$6), "Outlier", "Normal")</f>
        <v>Normal</v>
      </c>
      <c r="W3" s="270">
        <f t="shared" ref="W3:W66" si="2">IF(U3="Normal",$G3,IF($G3&lt;150%, $G3, $AA$9))</f>
        <v>-0.35112059765208109</v>
      </c>
      <c r="X3" s="270">
        <f t="shared" ref="X3:X66" si="3">IF(V3="Normal",$H3,IF($H3&lt;150%, $H3, $AE$9))</f>
        <v>0.229314420803783</v>
      </c>
      <c r="Y3" s="265"/>
      <c r="Z3" s="329" t="s">
        <v>161</v>
      </c>
      <c r="AA3" s="329"/>
      <c r="AB3" s="329"/>
      <c r="AD3" s="329" t="s">
        <v>162</v>
      </c>
      <c r="AE3" s="329"/>
      <c r="AF3" s="247"/>
      <c r="AG3" s="329" t="s">
        <v>163</v>
      </c>
      <c r="AH3" s="329"/>
      <c r="AI3" s="265"/>
      <c r="AJ3" s="265"/>
      <c r="AK3" s="265"/>
      <c r="AL3" s="265"/>
    </row>
    <row r="4" spans="1:46" ht="17" customHeight="1">
      <c r="A4" s="21">
        <v>44654</v>
      </c>
      <c r="B4" s="17">
        <f>IF(YEAR(Table9[[#This Row],[Date]]) = 2022, WEEKNUM(Table9[[#This Row],[Date]])-13, WEEKNUM(Table9[[#This Row],[Date]])+40)</f>
        <v>2</v>
      </c>
      <c r="C4" s="1" t="s">
        <v>47</v>
      </c>
      <c r="D4" s="32" t="s">
        <v>59</v>
      </c>
      <c r="E4" s="1">
        <v>0</v>
      </c>
      <c r="F4" s="1">
        <v>0</v>
      </c>
      <c r="G4" s="19">
        <v>0</v>
      </c>
      <c r="H4" s="19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193"/>
      <c r="R4" s="173">
        <v>0</v>
      </c>
      <c r="S4" s="173">
        <v>0</v>
      </c>
      <c r="T4" s="43">
        <v>0</v>
      </c>
      <c r="U4" s="268" t="str">
        <f t="shared" si="0"/>
        <v>Normal</v>
      </c>
      <c r="V4" s="268" t="str">
        <f t="shared" si="1"/>
        <v>Normal</v>
      </c>
      <c r="W4" s="270">
        <f t="shared" si="2"/>
        <v>0</v>
      </c>
      <c r="X4" s="270">
        <f t="shared" si="3"/>
        <v>0</v>
      </c>
      <c r="Y4" s="265"/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-9.0447154471544722E-2</v>
      </c>
      <c r="AF4" s="247"/>
      <c r="AG4" s="1" t="s">
        <v>167</v>
      </c>
      <c r="AH4" s="248">
        <f>_xlfn.QUARTILE.INC(H:H, 1)</f>
        <v>-7.5517661388550553E-2</v>
      </c>
      <c r="AI4" s="265"/>
      <c r="AJ4" s="265"/>
      <c r="AK4" s="265"/>
      <c r="AL4" s="265"/>
    </row>
    <row r="5" spans="1:46" ht="17" customHeight="1">
      <c r="A5" s="21">
        <v>44655</v>
      </c>
      <c r="B5" s="17">
        <f>IF(YEAR(Table9[[#This Row],[Date]]) = 2022, WEEKNUM(Table9[[#This Row],[Date]])-13, WEEKNUM(Table9[[#This Row],[Date]])+40)</f>
        <v>2</v>
      </c>
      <c r="C5" s="1" t="s">
        <v>48</v>
      </c>
      <c r="D5" s="1" t="s">
        <v>59</v>
      </c>
      <c r="E5" s="1">
        <v>994</v>
      </c>
      <c r="F5" s="1">
        <v>727</v>
      </c>
      <c r="G5" s="19">
        <v>-0.11170688114387846</v>
      </c>
      <c r="H5" s="19">
        <v>8.3457526080476907E-2</v>
      </c>
      <c r="I5" s="1">
        <v>2396</v>
      </c>
      <c r="J5" s="1">
        <v>1905</v>
      </c>
      <c r="K5" s="1">
        <v>2396</v>
      </c>
      <c r="L5" s="1">
        <v>1905</v>
      </c>
      <c r="M5" s="18">
        <v>0.28000000000000003</v>
      </c>
      <c r="N5" s="18">
        <v>0.26</v>
      </c>
      <c r="O5" s="18">
        <v>0.74</v>
      </c>
      <c r="P5" s="18">
        <v>0.96</v>
      </c>
      <c r="Q5" s="193"/>
      <c r="R5" s="43">
        <v>0</v>
      </c>
      <c r="S5" s="43">
        <v>0</v>
      </c>
      <c r="T5" s="43">
        <v>0</v>
      </c>
      <c r="U5" s="268" t="str">
        <f t="shared" si="0"/>
        <v>Normal</v>
      </c>
      <c r="V5" s="268" t="str">
        <f t="shared" si="1"/>
        <v>Normal</v>
      </c>
      <c r="W5" s="270">
        <f t="shared" si="2"/>
        <v>-0.11170688114387846</v>
      </c>
      <c r="X5" s="270">
        <f t="shared" si="3"/>
        <v>8.3457526080476907E-2</v>
      </c>
      <c r="Y5" s="265"/>
      <c r="Z5" s="203" t="s">
        <v>168</v>
      </c>
      <c r="AA5" s="19">
        <f>AE4-1.5*AE6</f>
        <v>-0.31844616450178775</v>
      </c>
      <c r="AB5" s="19">
        <f>AE5+1.5*AE6</f>
        <v>0.28955119557886033</v>
      </c>
      <c r="AD5" s="1" t="s">
        <v>169</v>
      </c>
      <c r="AE5" s="248">
        <f>_xlfn.QUARTILE.INC(G:G, 3)</f>
        <v>6.1552185548617307E-2</v>
      </c>
      <c r="AF5" s="247"/>
      <c r="AG5" s="1" t="s">
        <v>169</v>
      </c>
      <c r="AH5" s="248">
        <f>_xlfn.QUARTILE.INC(H:H, 3)</f>
        <v>9.5906432748538009E-2</v>
      </c>
      <c r="AI5" s="265"/>
      <c r="AJ5" s="265"/>
      <c r="AK5" s="265"/>
      <c r="AL5" s="265"/>
      <c r="AN5" t="s">
        <v>64</v>
      </c>
      <c r="AO5" t="s">
        <v>65</v>
      </c>
      <c r="AP5" t="s">
        <v>66</v>
      </c>
      <c r="AS5" t="s">
        <v>67</v>
      </c>
      <c r="AT5" s="16">
        <v>44655</v>
      </c>
    </row>
    <row r="6" spans="1:46" ht="17" customHeight="1">
      <c r="A6" s="31">
        <v>44656</v>
      </c>
      <c r="B6" s="108">
        <f>IF(YEAR(Table9[[#This Row],[Date]]) = 2022, WEEKNUM(Table9[[#This Row],[Date]])-13, WEEKNUM(Table9[[#This Row],[Date]])+40)</f>
        <v>2</v>
      </c>
      <c r="C6" s="1" t="s">
        <v>49</v>
      </c>
      <c r="D6" s="32" t="s">
        <v>59</v>
      </c>
      <c r="E6" s="1">
        <v>878</v>
      </c>
      <c r="F6" s="1">
        <v>593</v>
      </c>
      <c r="G6" s="19">
        <v>-0.25844594594594594</v>
      </c>
      <c r="H6" s="19">
        <v>-0.1122754491017964</v>
      </c>
      <c r="I6" s="1">
        <v>3274</v>
      </c>
      <c r="J6" s="1">
        <v>2498</v>
      </c>
      <c r="K6" s="1">
        <v>3274</v>
      </c>
      <c r="L6" s="1">
        <v>2498</v>
      </c>
      <c r="M6" s="18">
        <v>0.3</v>
      </c>
      <c r="N6" s="18">
        <v>0.33</v>
      </c>
      <c r="O6" s="18">
        <v>0.66999999999999993</v>
      </c>
      <c r="P6" s="18">
        <v>0.69</v>
      </c>
      <c r="Q6" s="193"/>
      <c r="R6" s="43">
        <v>0</v>
      </c>
      <c r="S6" s="43">
        <v>0</v>
      </c>
      <c r="T6" s="43">
        <v>0</v>
      </c>
      <c r="U6" s="268" t="str">
        <f t="shared" si="0"/>
        <v>Normal</v>
      </c>
      <c r="V6" s="268" t="str">
        <f t="shared" si="1"/>
        <v>Normal</v>
      </c>
      <c r="W6" s="270">
        <f t="shared" si="2"/>
        <v>-0.25844594594594594</v>
      </c>
      <c r="X6" s="270">
        <f t="shared" si="3"/>
        <v>-0.1122754491017964</v>
      </c>
      <c r="Y6" s="265"/>
      <c r="Z6" s="203" t="s">
        <v>33</v>
      </c>
      <c r="AA6" s="19">
        <f>AH4-1.5*AH6</f>
        <v>-0.33265380259418337</v>
      </c>
      <c r="AB6" s="19">
        <f>AH5+1.5*AH6</f>
        <v>0.35304257395417082</v>
      </c>
      <c r="AD6" s="68" t="s">
        <v>170</v>
      </c>
      <c r="AE6" s="148">
        <f>AE5-AE4</f>
        <v>0.15199934002016202</v>
      </c>
      <c r="AF6" s="247"/>
      <c r="AG6" s="68" t="s">
        <v>170</v>
      </c>
      <c r="AH6" s="148">
        <f>AH5-AH4</f>
        <v>0.17142409413708856</v>
      </c>
      <c r="AI6" s="265"/>
      <c r="AJ6" s="265"/>
      <c r="AK6" s="265"/>
      <c r="AL6" s="265"/>
      <c r="AN6" s="21">
        <v>44655</v>
      </c>
      <c r="AO6" s="1" cm="1">
        <f t="array" ref="AO6">SUMIFS(calls_off_JAM,period_JAM,"&gt;="&amp;AN6,period_JAM,"&lt;"&amp;AN7)</f>
        <v>4919</v>
      </c>
      <c r="AP6" s="1" cm="1">
        <f t="array" ref="AP6">SUMIFS(calls_ans_JAM,period_JAM,"&gt;="&amp;AN6,period_JAM,"&lt;"&amp;AN7)</f>
        <v>3926</v>
      </c>
      <c r="AS6" t="s">
        <v>68</v>
      </c>
      <c r="AT6" s="16">
        <v>45012</v>
      </c>
    </row>
    <row r="7" spans="1:46" ht="17" customHeight="1">
      <c r="A7" s="21">
        <v>44657</v>
      </c>
      <c r="B7" s="17">
        <f>IF(YEAR(Table9[[#This Row],[Date]]) = 2022, WEEKNUM(Table9[[#This Row],[Date]])-13, WEEKNUM(Table9[[#This Row],[Date]])+40)</f>
        <v>2</v>
      </c>
      <c r="C7" s="1" t="s">
        <v>50</v>
      </c>
      <c r="D7" s="1" t="s">
        <v>59</v>
      </c>
      <c r="E7" s="1">
        <v>823</v>
      </c>
      <c r="F7" s="1">
        <v>670</v>
      </c>
      <c r="G7" s="19">
        <v>-0.13368421052631579</v>
      </c>
      <c r="H7" s="19">
        <v>-5.7665260196905765E-2</v>
      </c>
      <c r="I7" s="1">
        <v>4097</v>
      </c>
      <c r="J7" s="1">
        <v>3168</v>
      </c>
      <c r="K7" s="1">
        <v>4097</v>
      </c>
      <c r="L7" s="1">
        <v>3168</v>
      </c>
      <c r="M7" s="18">
        <v>0.47</v>
      </c>
      <c r="N7" s="18">
        <v>0.19</v>
      </c>
      <c r="O7" s="18">
        <v>0.81</v>
      </c>
      <c r="P7" s="18">
        <v>0.78</v>
      </c>
      <c r="Q7" s="193"/>
      <c r="R7" s="43">
        <v>0</v>
      </c>
      <c r="S7" s="43">
        <v>0</v>
      </c>
      <c r="T7" s="43">
        <v>0</v>
      </c>
      <c r="U7" s="268" t="str">
        <f t="shared" si="0"/>
        <v>Normal</v>
      </c>
      <c r="V7" s="268" t="str">
        <f t="shared" si="1"/>
        <v>Normal</v>
      </c>
      <c r="W7" s="270">
        <f t="shared" si="2"/>
        <v>-0.13368421052631579</v>
      </c>
      <c r="X7" s="270">
        <f t="shared" si="3"/>
        <v>-5.7665260196905765E-2</v>
      </c>
      <c r="Y7" s="265"/>
      <c r="AF7" s="247"/>
      <c r="AG7" s="247"/>
      <c r="AH7" s="247"/>
      <c r="AI7" s="265"/>
      <c r="AJ7" s="265"/>
      <c r="AK7" s="265"/>
      <c r="AL7" s="265"/>
      <c r="AN7" s="21">
        <f>AN6+7</f>
        <v>44662</v>
      </c>
      <c r="AO7" s="1" cm="1">
        <f t="array" ref="AO7">SUMIFS(calls_off_JAM,period_JAM,"&gt;="&amp;AN7,period_JAM,"&lt;"&amp;AN8)</f>
        <v>3879</v>
      </c>
      <c r="AP7" s="1" cm="1">
        <f t="array" ref="AP7">SUMIFS(calls_ans_JAM,period_JAM,"&gt;="&amp;AN7,period_JAM,"&lt;"&amp;AN8)</f>
        <v>3257</v>
      </c>
    </row>
    <row r="8" spans="1:46" ht="17" customHeight="1">
      <c r="A8" s="31">
        <v>44658</v>
      </c>
      <c r="B8" s="108">
        <f>IF(YEAR(Table9[[#This Row],[Date]]) = 2022, WEEKNUM(Table9[[#This Row],[Date]])-13, WEEKNUM(Table9[[#This Row],[Date]])+40)</f>
        <v>2</v>
      </c>
      <c r="C8" s="1" t="s">
        <v>51</v>
      </c>
      <c r="D8" s="32" t="s">
        <v>59</v>
      </c>
      <c r="E8" s="1">
        <v>812</v>
      </c>
      <c r="F8" s="1">
        <v>764</v>
      </c>
      <c r="G8" s="19">
        <v>-0.10671067106710672</v>
      </c>
      <c r="H8" s="19">
        <v>0.25040916530278234</v>
      </c>
      <c r="I8" s="1">
        <v>4909</v>
      </c>
      <c r="J8" s="1">
        <v>3932</v>
      </c>
      <c r="K8" s="1">
        <v>4909</v>
      </c>
      <c r="L8" s="1">
        <v>3932</v>
      </c>
      <c r="M8" s="18">
        <v>0.81</v>
      </c>
      <c r="N8" s="18">
        <v>0.06</v>
      </c>
      <c r="O8" s="18">
        <v>0.94</v>
      </c>
      <c r="P8" s="18">
        <v>0.79</v>
      </c>
      <c r="Q8" s="193"/>
      <c r="R8" s="43">
        <v>0</v>
      </c>
      <c r="S8" s="43">
        <v>0</v>
      </c>
      <c r="T8" s="43">
        <v>0</v>
      </c>
      <c r="U8" s="268" t="str">
        <f t="shared" si="0"/>
        <v>Normal</v>
      </c>
      <c r="V8" s="268" t="str">
        <f t="shared" si="1"/>
        <v>Normal</v>
      </c>
      <c r="W8" s="270">
        <f t="shared" si="2"/>
        <v>-0.10671067106710672</v>
      </c>
      <c r="X8" s="270">
        <f t="shared" si="3"/>
        <v>0.25040916530278234</v>
      </c>
      <c r="Y8" s="265"/>
      <c r="Z8" s="325" t="s">
        <v>171</v>
      </c>
      <c r="AA8" s="327"/>
      <c r="AD8" s="325" t="s">
        <v>172</v>
      </c>
      <c r="AE8" s="327"/>
      <c r="AF8" s="247"/>
      <c r="AG8" s="247"/>
      <c r="AH8" s="247"/>
      <c r="AI8" s="265"/>
      <c r="AJ8" s="265"/>
      <c r="AK8" s="265"/>
      <c r="AL8" s="265"/>
      <c r="AN8" s="21">
        <f t="shared" ref="AN8:AN21" si="4">AN7+7</f>
        <v>44669</v>
      </c>
      <c r="AO8" s="1" cm="1">
        <f t="array" ref="AO8">SUMIFS(calls_off_JAM,period_JAM,"&gt;="&amp;AN8,period_JAM,"&lt;"&amp;AN9)</f>
        <v>4579</v>
      </c>
      <c r="AP8" s="1" cm="1">
        <f t="array" ref="AP8">SUMIFS(calls_ans_JAM,period_JAM,"&gt;="&amp;AN8,period_JAM,"&lt;"&amp;AN9)</f>
        <v>3124</v>
      </c>
    </row>
    <row r="9" spans="1:46" ht="17" customHeight="1">
      <c r="A9" s="21">
        <v>44659</v>
      </c>
      <c r="B9" s="17">
        <f>IF(YEAR(Table9[[#This Row],[Date]]) = 2022, WEEKNUM(Table9[[#This Row],[Date]])-13, WEEKNUM(Table9[[#This Row],[Date]])+40)</f>
        <v>2</v>
      </c>
      <c r="C9" s="1" t="s">
        <v>52</v>
      </c>
      <c r="D9" s="1" t="s">
        <v>59</v>
      </c>
      <c r="E9" s="1">
        <v>786</v>
      </c>
      <c r="F9" s="1">
        <v>569</v>
      </c>
      <c r="G9" s="19">
        <v>-1.0075566750629723E-2</v>
      </c>
      <c r="H9" s="19">
        <v>-0.13525835866261399</v>
      </c>
      <c r="I9" s="1">
        <v>5695</v>
      </c>
      <c r="J9" s="1">
        <v>4501</v>
      </c>
      <c r="K9" s="1">
        <v>5695</v>
      </c>
      <c r="L9" s="1">
        <v>4501</v>
      </c>
      <c r="M9" s="18">
        <v>0.42</v>
      </c>
      <c r="N9" s="18">
        <v>0.28000000000000003</v>
      </c>
      <c r="O9" s="18">
        <v>0.72</v>
      </c>
      <c r="P9" s="18">
        <v>0.75</v>
      </c>
      <c r="Q9" s="193"/>
      <c r="R9" s="43">
        <v>0</v>
      </c>
      <c r="S9" s="43">
        <v>0</v>
      </c>
      <c r="T9" s="43">
        <v>0</v>
      </c>
      <c r="U9" s="268" t="str">
        <f t="shared" si="0"/>
        <v>Normal</v>
      </c>
      <c r="V9" s="268" t="str">
        <f t="shared" si="1"/>
        <v>Normal</v>
      </c>
      <c r="W9" s="270">
        <f t="shared" si="2"/>
        <v>-1.0075566750629723E-2</v>
      </c>
      <c r="X9" s="270">
        <f t="shared" si="3"/>
        <v>-0.13525835866261399</v>
      </c>
      <c r="Y9" s="265"/>
      <c r="Z9" s="1" t="s">
        <v>173</v>
      </c>
      <c r="AA9" s="67">
        <f>AVERAGEIF(G2:G367,"&lt;&gt;0")</f>
        <v>3.9851422879988042E-3</v>
      </c>
      <c r="AD9" s="1" t="s">
        <v>173</v>
      </c>
      <c r="AE9" s="67">
        <f>AVERAGEIF(H2:H367, "&lt;&gt;0")</f>
        <v>2.3449067112479693E-2</v>
      </c>
      <c r="AF9" s="247"/>
      <c r="AG9" s="247"/>
      <c r="AH9" s="247"/>
      <c r="AI9" s="265"/>
      <c r="AJ9" s="265"/>
      <c r="AK9" s="265"/>
      <c r="AL9" s="265"/>
      <c r="AN9" s="21">
        <f t="shared" si="4"/>
        <v>44676</v>
      </c>
      <c r="AO9" s="1" cm="1">
        <f t="array" ref="AO9">SUMIFS(calls_off_JAM,period_JAM,"&gt;="&amp;AN9,period_JAM,"&lt;"&amp;AN10)</f>
        <v>6190</v>
      </c>
      <c r="AP9" s="1" cm="1">
        <f t="array" ref="AP9">SUMIFS(calls_ans_JAM,period_JAM,"&gt;="&amp;AN9,period_JAM,"&lt;"&amp;AN10)</f>
        <v>4680</v>
      </c>
    </row>
    <row r="10" spans="1:46" ht="17" customHeight="1">
      <c r="A10" s="31">
        <v>44660</v>
      </c>
      <c r="B10" s="108">
        <f>IF(YEAR(Table9[[#This Row],[Date]]) = 2022, WEEKNUM(Table9[[#This Row],[Date]])-13, WEEKNUM(Table9[[#This Row],[Date]])+40)</f>
        <v>2</v>
      </c>
      <c r="C10" s="1" t="s">
        <v>53</v>
      </c>
      <c r="D10" s="32" t="s">
        <v>59</v>
      </c>
      <c r="E10" s="1">
        <v>626</v>
      </c>
      <c r="F10" s="1">
        <v>603</v>
      </c>
      <c r="G10" s="19">
        <v>2.9605263157894735E-2</v>
      </c>
      <c r="H10" s="19">
        <v>0.1596153846153846</v>
      </c>
      <c r="I10" s="1">
        <v>6321</v>
      </c>
      <c r="J10" s="1">
        <v>5104</v>
      </c>
      <c r="K10" s="1">
        <v>6321</v>
      </c>
      <c r="L10" s="1">
        <v>5104</v>
      </c>
      <c r="M10" s="18">
        <v>0.91</v>
      </c>
      <c r="N10" s="18">
        <v>0.04</v>
      </c>
      <c r="O10" s="18">
        <v>0.96</v>
      </c>
      <c r="P10" s="18">
        <v>0.7</v>
      </c>
      <c r="Q10" s="193"/>
      <c r="R10" s="43">
        <v>0</v>
      </c>
      <c r="S10" s="43">
        <v>0</v>
      </c>
      <c r="T10" s="43">
        <v>0</v>
      </c>
      <c r="U10" s="268" t="str">
        <f t="shared" si="0"/>
        <v>Normal</v>
      </c>
      <c r="V10" s="268" t="str">
        <f t="shared" si="1"/>
        <v>Normal</v>
      </c>
      <c r="W10" s="270">
        <f t="shared" si="2"/>
        <v>2.9605263157894735E-2</v>
      </c>
      <c r="X10" s="270">
        <f t="shared" si="3"/>
        <v>0.1596153846153846</v>
      </c>
      <c r="Y10" s="265"/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  <c r="AI10" s="265"/>
      <c r="AJ10" s="265"/>
      <c r="AK10" s="265"/>
      <c r="AL10" s="265"/>
      <c r="AN10" s="21">
        <f t="shared" si="4"/>
        <v>44683</v>
      </c>
      <c r="AO10" s="1" cm="1">
        <f t="array" ref="AO10">SUMIFS(calls_off_JAM,period_JAM,"&gt;="&amp;AN10,period_JAM,"&lt;"&amp;AN11)</f>
        <v>5368</v>
      </c>
      <c r="AP10" s="1" cm="1">
        <f t="array" ref="AP10">SUMIFS(calls_ans_JAM,period_JAM,"&gt;="&amp;AN10,period_JAM,"&lt;"&amp;AN11)</f>
        <v>4336</v>
      </c>
    </row>
    <row r="11" spans="1:46" ht="17" customHeight="1">
      <c r="A11" s="256">
        <v>44661</v>
      </c>
      <c r="B11" s="108">
        <f>IF(YEAR(Table9[[#This Row],[Date]]) = 2022, WEEKNUM(Table9[[#This Row],[Date]])-13, WEEKNUM(Table9[[#This Row],[Date]])+40)</f>
        <v>3</v>
      </c>
      <c r="C11" s="1" t="s">
        <v>47</v>
      </c>
      <c r="D11" s="1" t="s">
        <v>59</v>
      </c>
      <c r="E11" s="1">
        <v>0</v>
      </c>
      <c r="F11" s="1">
        <v>0</v>
      </c>
      <c r="G11" s="19">
        <v>0</v>
      </c>
      <c r="H11" s="19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93"/>
      <c r="R11" s="173">
        <v>0</v>
      </c>
      <c r="S11" s="173">
        <v>0</v>
      </c>
      <c r="T11" s="43">
        <v>0</v>
      </c>
      <c r="U11" s="268" t="str">
        <f t="shared" si="0"/>
        <v>Normal</v>
      </c>
      <c r="V11" s="268" t="str">
        <f t="shared" si="1"/>
        <v>Normal</v>
      </c>
      <c r="W11" s="270">
        <f t="shared" si="2"/>
        <v>0</v>
      </c>
      <c r="X11" s="270">
        <f t="shared" si="3"/>
        <v>0</v>
      </c>
      <c r="Y11" s="265"/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  <c r="AI11" s="265"/>
      <c r="AJ11" s="265"/>
      <c r="AK11" s="265"/>
      <c r="AL11" s="265"/>
      <c r="AN11" s="21">
        <f t="shared" si="4"/>
        <v>44690</v>
      </c>
      <c r="AO11" s="1" cm="1">
        <f t="array" ref="AO11">SUMIFS(calls_off_JAM,period_JAM,"&gt;="&amp;AN11,period_JAM,"&lt;"&amp;AN12)</f>
        <v>4941</v>
      </c>
      <c r="AP11" s="1" cm="1">
        <f t="array" ref="AP11">SUMIFS(calls_ans_JAM,period_JAM,"&gt;="&amp;AN11,period_JAM,"&lt;"&amp;AN12)</f>
        <v>4230</v>
      </c>
    </row>
    <row r="12" spans="1:46" ht="17" customHeight="1">
      <c r="A12" s="31">
        <v>44662</v>
      </c>
      <c r="B12" s="108">
        <f>IF(YEAR(Table9[[#This Row],[Date]]) = 2022, WEEKNUM(Table9[[#This Row],[Date]])-13, WEEKNUM(Table9[[#This Row],[Date]])+40)</f>
        <v>3</v>
      </c>
      <c r="C12" s="1" t="s">
        <v>48</v>
      </c>
      <c r="D12" s="32" t="s">
        <v>59</v>
      </c>
      <c r="E12" s="1">
        <v>948</v>
      </c>
      <c r="F12" s="1">
        <v>790</v>
      </c>
      <c r="G12" s="19">
        <v>-4.6277665995975853E-2</v>
      </c>
      <c r="H12" s="19">
        <v>8.6657496561210454E-2</v>
      </c>
      <c r="I12" s="1">
        <v>7269</v>
      </c>
      <c r="J12" s="1">
        <v>5894</v>
      </c>
      <c r="K12" s="1">
        <v>7269</v>
      </c>
      <c r="L12" s="1">
        <v>5894</v>
      </c>
      <c r="M12" s="18">
        <v>0.48</v>
      </c>
      <c r="N12" s="18">
        <v>0.17</v>
      </c>
      <c r="O12" s="18">
        <v>0.83</v>
      </c>
      <c r="P12" s="18">
        <v>0.81</v>
      </c>
      <c r="Q12" s="193"/>
      <c r="R12" s="43">
        <v>0</v>
      </c>
      <c r="S12" s="43">
        <v>0</v>
      </c>
      <c r="T12" s="43">
        <v>0</v>
      </c>
      <c r="U12" s="268" t="str">
        <f t="shared" si="0"/>
        <v>Normal</v>
      </c>
      <c r="V12" s="268" t="str">
        <f t="shared" si="1"/>
        <v>Normal</v>
      </c>
      <c r="W12" s="270">
        <f t="shared" si="2"/>
        <v>-4.6277665995975853E-2</v>
      </c>
      <c r="X12" s="270">
        <f t="shared" si="3"/>
        <v>8.6657496561210454E-2</v>
      </c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N12" s="21">
        <f t="shared" si="4"/>
        <v>44697</v>
      </c>
      <c r="AO12" s="1" cm="1">
        <f t="array" ref="AO12">SUMIFS(calls_off_JAM,period_JAM,"&gt;="&amp;AN12,period_JAM,"&lt;"&amp;AN13)</f>
        <v>5266</v>
      </c>
      <c r="AP12" s="1" cm="1">
        <f t="array" ref="AP12">SUMIFS(calls_ans_JAM,period_JAM,"&gt;="&amp;AN12,period_JAM,"&lt;"&amp;AN13)</f>
        <v>4603</v>
      </c>
    </row>
    <row r="13" spans="1:46" ht="17" customHeight="1">
      <c r="A13" s="21">
        <v>44663</v>
      </c>
      <c r="B13" s="17">
        <f>IF(YEAR(Table9[[#This Row],[Date]]) = 2022, WEEKNUM(Table9[[#This Row],[Date]])-13, WEEKNUM(Table9[[#This Row],[Date]])+40)</f>
        <v>3</v>
      </c>
      <c r="C13" s="1" t="s">
        <v>49</v>
      </c>
      <c r="D13" s="1" t="s">
        <v>59</v>
      </c>
      <c r="E13" s="1">
        <v>746</v>
      </c>
      <c r="F13" s="1">
        <v>679</v>
      </c>
      <c r="G13" s="19">
        <v>-0.15034168564920272</v>
      </c>
      <c r="H13" s="19">
        <v>0.14502529510961215</v>
      </c>
      <c r="I13" s="1">
        <v>8015</v>
      </c>
      <c r="J13" s="1">
        <v>6573</v>
      </c>
      <c r="K13" s="1">
        <v>8015</v>
      </c>
      <c r="L13" s="1">
        <v>6573</v>
      </c>
      <c r="M13" s="18">
        <v>0.75</v>
      </c>
      <c r="N13" s="18">
        <v>0.09</v>
      </c>
      <c r="O13" s="18">
        <v>0.91</v>
      </c>
      <c r="P13" s="18">
        <v>0.79</v>
      </c>
      <c r="Q13" s="193"/>
      <c r="R13" s="43">
        <v>0</v>
      </c>
      <c r="S13" s="43">
        <v>0</v>
      </c>
      <c r="T13" s="43">
        <v>0</v>
      </c>
      <c r="U13" s="268" t="str">
        <f t="shared" si="0"/>
        <v>Normal</v>
      </c>
      <c r="V13" s="268" t="str">
        <f t="shared" si="1"/>
        <v>Normal</v>
      </c>
      <c r="W13" s="270">
        <f t="shared" si="2"/>
        <v>-0.15034168564920272</v>
      </c>
      <c r="X13" s="270">
        <f t="shared" si="3"/>
        <v>0.14502529510961215</v>
      </c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N13" s="21">
        <f t="shared" si="4"/>
        <v>44704</v>
      </c>
      <c r="AO13" s="1" cm="1">
        <f t="array" ref="AO13">SUMIFS(calls_off_JAM,period_JAM,"&gt;="&amp;AN13,period_JAM,"&lt;"&amp;AN14)</f>
        <v>4792</v>
      </c>
      <c r="AP13" s="1" cm="1">
        <f t="array" ref="AP13">SUMIFS(calls_ans_JAM,period_JAM,"&gt;="&amp;AN13,period_JAM,"&lt;"&amp;AN14)</f>
        <v>4059</v>
      </c>
    </row>
    <row r="14" spans="1:46" ht="17" customHeight="1">
      <c r="A14" s="31">
        <v>44664</v>
      </c>
      <c r="B14" s="108">
        <f>IF(YEAR(Table9[[#This Row],[Date]]) = 2022, WEEKNUM(Table9[[#This Row],[Date]])-13, WEEKNUM(Table9[[#This Row],[Date]])+40)</f>
        <v>3</v>
      </c>
      <c r="C14" s="1" t="s">
        <v>50</v>
      </c>
      <c r="D14" s="32" t="s">
        <v>59</v>
      </c>
      <c r="E14" s="1">
        <v>782</v>
      </c>
      <c r="F14" s="1">
        <v>681</v>
      </c>
      <c r="G14" s="19">
        <v>-4.9817739975698661E-2</v>
      </c>
      <c r="H14" s="19">
        <v>1.6417910447761194E-2</v>
      </c>
      <c r="I14" s="1">
        <v>8797</v>
      </c>
      <c r="J14" s="1">
        <v>7254</v>
      </c>
      <c r="K14" s="1">
        <v>8797</v>
      </c>
      <c r="L14" s="1">
        <v>7254</v>
      </c>
      <c r="M14" s="18">
        <v>0.63</v>
      </c>
      <c r="N14" s="18">
        <v>0.13</v>
      </c>
      <c r="O14" s="18">
        <v>0.87</v>
      </c>
      <c r="P14" s="18">
        <v>0.79</v>
      </c>
      <c r="Q14" s="193"/>
      <c r="R14" s="43">
        <v>0</v>
      </c>
      <c r="S14" s="43">
        <v>0</v>
      </c>
      <c r="T14" s="43">
        <v>0</v>
      </c>
      <c r="U14" s="268" t="str">
        <f t="shared" si="0"/>
        <v>Normal</v>
      </c>
      <c r="V14" s="268" t="str">
        <f t="shared" si="1"/>
        <v>Normal</v>
      </c>
      <c r="W14" s="270">
        <f t="shared" si="2"/>
        <v>-4.9817739975698661E-2</v>
      </c>
      <c r="X14" s="270">
        <f t="shared" si="3"/>
        <v>1.6417910447761194E-2</v>
      </c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N14" s="21">
        <f t="shared" si="4"/>
        <v>44711</v>
      </c>
      <c r="AO14" s="1" cm="1">
        <f t="array" ref="AO14">SUMIFS(calls_off_JAM,period_JAM,"&gt;="&amp;AN14,period_JAM,"&lt;"&amp;AN15)</f>
        <v>5695</v>
      </c>
      <c r="AP14" s="1" cm="1">
        <f t="array" ref="AP14">SUMIFS(calls_ans_JAM,period_JAM,"&gt;="&amp;AN14,period_JAM,"&lt;"&amp;AN15)</f>
        <v>4691</v>
      </c>
    </row>
    <row r="15" spans="1:46" ht="17" customHeight="1">
      <c r="A15" s="21">
        <v>44665</v>
      </c>
      <c r="B15" s="17">
        <f>IF(YEAR(Table9[[#This Row],[Date]]) = 2022, WEEKNUM(Table9[[#This Row],[Date]])-13, WEEKNUM(Table9[[#This Row],[Date]])+40)</f>
        <v>3</v>
      </c>
      <c r="C15" s="1" t="s">
        <v>51</v>
      </c>
      <c r="D15" s="1" t="s">
        <v>59</v>
      </c>
      <c r="E15" s="1">
        <v>802</v>
      </c>
      <c r="F15" s="1">
        <v>565</v>
      </c>
      <c r="G15" s="19">
        <v>-1.2315270935960592E-2</v>
      </c>
      <c r="H15" s="19">
        <v>-0.26047120418848169</v>
      </c>
      <c r="I15" s="1">
        <v>9599</v>
      </c>
      <c r="J15" s="1">
        <v>7819</v>
      </c>
      <c r="K15" s="1">
        <v>9599</v>
      </c>
      <c r="L15" s="1">
        <v>7819</v>
      </c>
      <c r="M15" s="18">
        <v>0.32</v>
      </c>
      <c r="N15" s="18">
        <v>0.28999999999999998</v>
      </c>
      <c r="O15" s="18">
        <v>0.71</v>
      </c>
      <c r="P15" s="18">
        <v>0.87</v>
      </c>
      <c r="Q15" s="193"/>
      <c r="R15" s="43">
        <v>0</v>
      </c>
      <c r="S15" s="43">
        <v>0</v>
      </c>
      <c r="T15" s="43">
        <v>0</v>
      </c>
      <c r="U15" s="268" t="str">
        <f t="shared" si="0"/>
        <v>Normal</v>
      </c>
      <c r="V15" s="268" t="str">
        <f t="shared" si="1"/>
        <v>Normal</v>
      </c>
      <c r="W15" s="270">
        <f t="shared" si="2"/>
        <v>-1.2315270935960592E-2</v>
      </c>
      <c r="X15" s="270">
        <f t="shared" si="3"/>
        <v>-0.26047120418848169</v>
      </c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N15" s="21">
        <f t="shared" si="4"/>
        <v>44718</v>
      </c>
      <c r="AO15" s="1" cm="1">
        <f t="array" ref="AO15">SUMIFS(calls_off_JAM,period_JAM,"&gt;="&amp;AN15,period_JAM,"&lt;"&amp;AN16)</f>
        <v>5533</v>
      </c>
      <c r="AP15" s="1" cm="1">
        <f t="array" ref="AP15">SUMIFS(calls_ans_JAM,period_JAM,"&gt;="&amp;AN15,period_JAM,"&lt;"&amp;AN16)</f>
        <v>5017</v>
      </c>
    </row>
    <row r="16" spans="1:46" ht="17" customHeight="1">
      <c r="A16" s="31">
        <v>44666</v>
      </c>
      <c r="B16" s="108">
        <f>IF(YEAR(Table9[[#This Row],[Date]]) = 2022, WEEKNUM(Table9[[#This Row],[Date]])-13, WEEKNUM(Table9[[#This Row],[Date]])+40)</f>
        <v>3</v>
      </c>
      <c r="C16" s="1" t="s">
        <v>63</v>
      </c>
      <c r="D16" s="32" t="s">
        <v>59</v>
      </c>
      <c r="E16" s="1">
        <v>0</v>
      </c>
      <c r="F16" s="1">
        <v>0</v>
      </c>
      <c r="G16" s="19">
        <v>0</v>
      </c>
      <c r="H16" s="19">
        <v>0</v>
      </c>
      <c r="I16" s="1">
        <v>0</v>
      </c>
      <c r="J16" s="1">
        <v>0</v>
      </c>
      <c r="K16" s="1">
        <v>0</v>
      </c>
      <c r="L16" s="1">
        <v>0</v>
      </c>
      <c r="M16" s="18">
        <v>0</v>
      </c>
      <c r="N16" s="18">
        <v>0</v>
      </c>
      <c r="O16" s="18">
        <v>0</v>
      </c>
      <c r="P16" s="18">
        <v>0</v>
      </c>
      <c r="Q16" s="193"/>
      <c r="R16" s="173">
        <v>0</v>
      </c>
      <c r="S16" s="173">
        <v>0</v>
      </c>
      <c r="T16" s="173">
        <v>0</v>
      </c>
      <c r="U16" s="268" t="str">
        <f t="shared" si="0"/>
        <v>Normal</v>
      </c>
      <c r="V16" s="268" t="str">
        <f t="shared" si="1"/>
        <v>Normal</v>
      </c>
      <c r="W16" s="270">
        <f t="shared" si="2"/>
        <v>0</v>
      </c>
      <c r="X16" s="270">
        <f t="shared" si="3"/>
        <v>0</v>
      </c>
      <c r="Y16" s="266"/>
      <c r="Z16" s="266"/>
      <c r="AA16" s="266"/>
      <c r="AB16" s="266"/>
      <c r="AC16" s="266"/>
      <c r="AD16" s="266"/>
      <c r="AE16" s="266"/>
      <c r="AF16" s="266"/>
      <c r="AG16" s="266"/>
      <c r="AH16" s="266"/>
      <c r="AI16" s="266"/>
      <c r="AJ16" s="266"/>
      <c r="AK16" s="266"/>
      <c r="AL16" s="266"/>
      <c r="AN16" s="21">
        <f>AN15+7</f>
        <v>44725</v>
      </c>
      <c r="AO16" s="1" cm="1">
        <f t="array" ref="AO16">SUMIFS(calls_off_JAM,period_JAM,"&gt;="&amp;AN16,period_JAM,"&lt;"&amp;AN17)</f>
        <v>5426</v>
      </c>
      <c r="AP16" s="1" cm="1">
        <f t="array" ref="AP16">SUMIFS(calls_ans_JAM,period_JAM,"&gt;="&amp;AN16,period_JAM,"&lt;"&amp;AN17)</f>
        <v>4022</v>
      </c>
    </row>
    <row r="17" spans="1:42" ht="17" customHeight="1">
      <c r="A17" s="21">
        <v>44667</v>
      </c>
      <c r="B17" s="17">
        <f>IF(YEAR(Table9[[#This Row],[Date]]) = 2022, WEEKNUM(Table9[[#This Row],[Date]])-13, WEEKNUM(Table9[[#This Row],[Date]])+40)</f>
        <v>3</v>
      </c>
      <c r="C17" s="1" t="s">
        <v>53</v>
      </c>
      <c r="D17" s="1" t="s">
        <v>59</v>
      </c>
      <c r="E17" s="1">
        <v>601</v>
      </c>
      <c r="F17" s="1">
        <v>542</v>
      </c>
      <c r="G17" s="19">
        <v>-3.9936102236421724E-2</v>
      </c>
      <c r="H17" s="19">
        <v>-0.1011608623548922</v>
      </c>
      <c r="I17" s="1">
        <v>10200</v>
      </c>
      <c r="J17" s="1">
        <v>8361</v>
      </c>
      <c r="K17" s="1">
        <v>10200</v>
      </c>
      <c r="L17" s="1">
        <v>8361</v>
      </c>
      <c r="M17" s="18">
        <v>0.76</v>
      </c>
      <c r="N17" s="18">
        <v>0.09</v>
      </c>
      <c r="O17" s="18">
        <v>0.91</v>
      </c>
      <c r="P17" s="18">
        <v>0.84</v>
      </c>
      <c r="Q17" s="193"/>
      <c r="R17" s="173">
        <v>0</v>
      </c>
      <c r="S17" s="173">
        <v>0</v>
      </c>
      <c r="T17" s="173">
        <v>0</v>
      </c>
      <c r="U17" s="268" t="str">
        <f t="shared" si="0"/>
        <v>Normal</v>
      </c>
      <c r="V17" s="268" t="str">
        <f t="shared" si="1"/>
        <v>Normal</v>
      </c>
      <c r="W17" s="270">
        <f t="shared" si="2"/>
        <v>-3.9936102236421724E-2</v>
      </c>
      <c r="X17" s="270">
        <f t="shared" si="3"/>
        <v>-0.1011608623548922</v>
      </c>
      <c r="Y17" s="266"/>
      <c r="Z17" s="266"/>
      <c r="AA17" s="266"/>
      <c r="AB17" s="266"/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N17" s="21">
        <f t="shared" si="4"/>
        <v>44732</v>
      </c>
      <c r="AO17" s="1" cm="1">
        <f t="array" ref="AO17">SUMIFS(calls_off_JAM,period_JAM,"&gt;="&amp;AN17,period_JAM,"&lt;"&amp;AN18)</f>
        <v>4962</v>
      </c>
      <c r="AP17" s="1" cm="1">
        <f t="array" ref="AP17">SUMIFS(calls_ans_JAM,period_JAM,"&gt;="&amp;AN17,period_JAM,"&lt;"&amp;AN18)</f>
        <v>4356</v>
      </c>
    </row>
    <row r="18" spans="1:42" ht="17" customHeight="1">
      <c r="A18" s="21">
        <v>44668</v>
      </c>
      <c r="B18" s="17">
        <f>IF(YEAR(Table9[[#This Row],[Date]]) = 2022, WEEKNUM(Table9[[#This Row],[Date]])-13, WEEKNUM(Table9[[#This Row],[Date]])+40)</f>
        <v>4</v>
      </c>
      <c r="C18" s="1" t="s">
        <v>47</v>
      </c>
      <c r="D18" s="32" t="s">
        <v>59</v>
      </c>
      <c r="E18" s="1">
        <v>0</v>
      </c>
      <c r="F18" s="1">
        <v>0</v>
      </c>
      <c r="G18" s="19">
        <v>0</v>
      </c>
      <c r="H18" s="19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193"/>
      <c r="R18" s="173">
        <v>0</v>
      </c>
      <c r="S18" s="173">
        <v>0</v>
      </c>
      <c r="T18" s="173">
        <v>0</v>
      </c>
      <c r="U18" s="268" t="str">
        <f t="shared" si="0"/>
        <v>Normal</v>
      </c>
      <c r="V18" s="268" t="str">
        <f t="shared" si="1"/>
        <v>Normal</v>
      </c>
      <c r="W18" s="270">
        <f t="shared" si="2"/>
        <v>0</v>
      </c>
      <c r="X18" s="270">
        <f t="shared" si="3"/>
        <v>0</v>
      </c>
      <c r="Y18" s="266"/>
      <c r="Z18" s="266"/>
      <c r="AA18" s="266"/>
      <c r="AB18" s="266"/>
      <c r="AC18" s="266"/>
      <c r="AD18" s="266"/>
      <c r="AE18" s="266"/>
      <c r="AF18" s="266"/>
      <c r="AG18" s="266"/>
      <c r="AH18" s="266"/>
      <c r="AI18" s="266"/>
      <c r="AJ18" s="266"/>
      <c r="AK18" s="266"/>
      <c r="AL18" s="266"/>
      <c r="AN18" s="21">
        <f t="shared" si="4"/>
        <v>44739</v>
      </c>
      <c r="AO18" s="1" cm="1">
        <f t="array" ref="AO18">SUMIFS(calls_off_JAM,period_JAM,"&gt;="&amp;AN18,period_JAM,"&lt;"&amp;AN19)</f>
        <v>5937</v>
      </c>
      <c r="AP18" s="1" cm="1">
        <f t="array" ref="AP18">SUMIFS(calls_ans_JAM,period_JAM,"&gt;="&amp;AN18,period_JAM,"&lt;"&amp;AN19)</f>
        <v>4786</v>
      </c>
    </row>
    <row r="19" spans="1:42" ht="17" customHeight="1">
      <c r="A19" s="21">
        <v>44669</v>
      </c>
      <c r="B19" s="17">
        <f>IF(YEAR(Table9[[#This Row],[Date]]) = 2022, WEEKNUM(Table9[[#This Row],[Date]])-13, WEEKNUM(Table9[[#This Row],[Date]])+40)</f>
        <v>4</v>
      </c>
      <c r="C19" s="1" t="s">
        <v>63</v>
      </c>
      <c r="D19" s="1" t="s">
        <v>59</v>
      </c>
      <c r="E19" s="1">
        <v>0</v>
      </c>
      <c r="F19" s="1">
        <v>0</v>
      </c>
      <c r="G19" s="19">
        <v>0</v>
      </c>
      <c r="H19" s="19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193"/>
      <c r="R19" s="173">
        <v>0</v>
      </c>
      <c r="S19" s="173">
        <v>0</v>
      </c>
      <c r="T19" s="173">
        <v>0</v>
      </c>
      <c r="U19" s="268" t="str">
        <f t="shared" si="0"/>
        <v>Normal</v>
      </c>
      <c r="V19" s="268" t="str">
        <f t="shared" si="1"/>
        <v>Normal</v>
      </c>
      <c r="W19" s="270">
        <f t="shared" si="2"/>
        <v>0</v>
      </c>
      <c r="X19" s="270">
        <f t="shared" si="3"/>
        <v>0</v>
      </c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N19" s="21">
        <f t="shared" si="4"/>
        <v>44746</v>
      </c>
      <c r="AO19" s="1" cm="1">
        <f t="array" ref="AO19">SUMIFS(calls_off_JAM,period_JAM,"&gt;="&amp;AN19,period_JAM,"&lt;"&amp;AN20)</f>
        <v>5490</v>
      </c>
      <c r="AP19" s="1" cm="1">
        <f t="array" ref="AP19">SUMIFS(calls_ans_JAM,period_JAM,"&gt;="&amp;AN19,period_JAM,"&lt;"&amp;AN20)</f>
        <v>4603</v>
      </c>
    </row>
    <row r="20" spans="1:42" ht="17" customHeight="1">
      <c r="A20" s="31">
        <v>44670</v>
      </c>
      <c r="B20" s="108">
        <f>IF(YEAR(Table9[[#This Row],[Date]]) = 2022, WEEKNUM(Table9[[#This Row],[Date]])-13, WEEKNUM(Table9[[#This Row],[Date]])+40)</f>
        <v>4</v>
      </c>
      <c r="C20" s="1" t="s">
        <v>49</v>
      </c>
      <c r="D20" s="32" t="s">
        <v>59</v>
      </c>
      <c r="E20" s="1">
        <v>1050</v>
      </c>
      <c r="F20" s="1">
        <v>662</v>
      </c>
      <c r="G20" s="19">
        <v>0.40750670241286863</v>
      </c>
      <c r="H20" s="19">
        <v>-2.5036818851251842E-2</v>
      </c>
      <c r="I20" s="1">
        <v>11250</v>
      </c>
      <c r="J20" s="1">
        <v>9023</v>
      </c>
      <c r="K20" s="1">
        <v>11250</v>
      </c>
      <c r="L20" s="1">
        <v>9023</v>
      </c>
      <c r="M20" s="18">
        <v>0.23</v>
      </c>
      <c r="N20" s="18">
        <v>0.37</v>
      </c>
      <c r="O20" s="18">
        <v>0.63</v>
      </c>
      <c r="P20" s="18">
        <v>0.77</v>
      </c>
      <c r="Q20" s="193"/>
      <c r="R20" s="173">
        <v>0</v>
      </c>
      <c r="S20" s="173">
        <v>0</v>
      </c>
      <c r="T20" s="173">
        <v>0</v>
      </c>
      <c r="U20" s="268" t="str">
        <f t="shared" si="0"/>
        <v>Outlier</v>
      </c>
      <c r="V20" s="268" t="str">
        <f t="shared" si="1"/>
        <v>Normal</v>
      </c>
      <c r="W20" s="270">
        <f t="shared" si="2"/>
        <v>0.40750670241286863</v>
      </c>
      <c r="X20" s="270">
        <f t="shared" si="3"/>
        <v>-2.5036818851251842E-2</v>
      </c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N20" s="21">
        <f>AN19+7</f>
        <v>44753</v>
      </c>
      <c r="AO20" s="1" cm="1">
        <f t="array" ref="AO20">SUMIFS(calls_off_JAM,period_JAM,"&gt;="&amp;AN20,period_JAM,"&lt;"&amp;AN21)</f>
        <v>5836</v>
      </c>
      <c r="AP20" s="1" cm="1">
        <f t="array" ref="AP20">SUMIFS(calls_ans_JAM,period_JAM,"&gt;="&amp;AN20,period_JAM,"&lt;"&amp;AN21)</f>
        <v>4426</v>
      </c>
    </row>
    <row r="21" spans="1:42" ht="17" customHeight="1">
      <c r="A21" s="21">
        <v>44671</v>
      </c>
      <c r="B21" s="17">
        <f>IF(YEAR(Table9[[#This Row],[Date]]) = 2022, WEEKNUM(Table9[[#This Row],[Date]])-13, WEEKNUM(Table9[[#This Row],[Date]])+40)</f>
        <v>4</v>
      </c>
      <c r="C21" s="1" t="s">
        <v>50</v>
      </c>
      <c r="D21" s="1" t="s">
        <v>59</v>
      </c>
      <c r="E21" s="1">
        <v>971</v>
      </c>
      <c r="F21" s="1">
        <v>647</v>
      </c>
      <c r="G21" s="19">
        <v>0.24168797953964194</v>
      </c>
      <c r="H21" s="19">
        <v>-4.9926578560939794E-2</v>
      </c>
      <c r="I21" s="1">
        <v>12221</v>
      </c>
      <c r="J21" s="1">
        <v>9670</v>
      </c>
      <c r="K21" s="1">
        <v>12221</v>
      </c>
      <c r="L21" s="1">
        <v>9670</v>
      </c>
      <c r="M21" s="18">
        <v>0.27</v>
      </c>
      <c r="N21" s="18">
        <v>0.33</v>
      </c>
      <c r="O21" s="18">
        <v>0.66999999999999993</v>
      </c>
      <c r="P21" s="18">
        <v>0.67</v>
      </c>
      <c r="Q21" s="193"/>
      <c r="R21" s="173">
        <v>0</v>
      </c>
      <c r="S21" s="173">
        <v>0</v>
      </c>
      <c r="T21" s="173">
        <v>0</v>
      </c>
      <c r="U21" s="268" t="str">
        <f t="shared" si="0"/>
        <v>Normal</v>
      </c>
      <c r="V21" s="268" t="str">
        <f t="shared" si="1"/>
        <v>Normal</v>
      </c>
      <c r="W21" s="270">
        <f t="shared" si="2"/>
        <v>0.24168797953964194</v>
      </c>
      <c r="X21" s="270">
        <f t="shared" si="3"/>
        <v>-4.9926578560939794E-2</v>
      </c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N21" s="21">
        <f t="shared" si="4"/>
        <v>44760</v>
      </c>
      <c r="AO21" s="1" cm="1">
        <f t="array" ref="AO21">SUMIFS(calls_off_JAM,period_JAM,"&gt;="&amp;AN21,period_JAM,"&lt;"&amp;AN22)</f>
        <v>5858</v>
      </c>
      <c r="AP21" s="1" cm="1">
        <f t="array" ref="AP21">SUMIFS(calls_ans_JAM,period_JAM,"&gt;="&amp;AN21,period_JAM,"&lt;"&amp;AN22)</f>
        <v>4396</v>
      </c>
    </row>
    <row r="22" spans="1:42" ht="17" customHeight="1">
      <c r="A22" s="31">
        <v>44672</v>
      </c>
      <c r="B22" s="108">
        <f>IF(YEAR(Table9[[#This Row],[Date]]) = 2022, WEEKNUM(Table9[[#This Row],[Date]])-13, WEEKNUM(Table9[[#This Row],[Date]])+40)</f>
        <v>4</v>
      </c>
      <c r="C22" s="1" t="s">
        <v>51</v>
      </c>
      <c r="D22" s="32" t="s">
        <v>59</v>
      </c>
      <c r="E22" s="1">
        <v>907</v>
      </c>
      <c r="F22" s="1">
        <v>766</v>
      </c>
      <c r="G22" s="19">
        <v>0.13092269326683292</v>
      </c>
      <c r="H22" s="19">
        <v>0.35575221238938054</v>
      </c>
      <c r="I22" s="1">
        <v>13128</v>
      </c>
      <c r="J22" s="1">
        <v>10436</v>
      </c>
      <c r="K22" s="1">
        <v>13128</v>
      </c>
      <c r="L22" s="1">
        <v>10436</v>
      </c>
      <c r="M22" s="18">
        <v>0.56999999999999995</v>
      </c>
      <c r="N22" s="18">
        <v>0.15</v>
      </c>
      <c r="O22" s="18">
        <v>0.85</v>
      </c>
      <c r="P22" s="18">
        <v>0.71</v>
      </c>
      <c r="Q22" s="193"/>
      <c r="R22" s="173">
        <v>0</v>
      </c>
      <c r="S22" s="173">
        <v>0</v>
      </c>
      <c r="T22" s="173">
        <v>0</v>
      </c>
      <c r="U22" s="268" t="str">
        <f t="shared" si="0"/>
        <v>Normal</v>
      </c>
      <c r="V22" s="268" t="str">
        <f t="shared" si="1"/>
        <v>Outlier</v>
      </c>
      <c r="W22" s="270">
        <f t="shared" si="2"/>
        <v>0.13092269326683292</v>
      </c>
      <c r="X22" s="270">
        <f t="shared" si="3"/>
        <v>0.35575221238938054</v>
      </c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N22" s="21">
        <f t="shared" ref="AN22:AN51" si="5">AN21+7</f>
        <v>44767</v>
      </c>
      <c r="AO22" s="1" cm="1">
        <f t="array" ref="AO22">SUMIFS(calls_off_JAM,period_JAM,"&gt;="&amp;AN22,period_JAM,"&lt;"&amp;AN23)</f>
        <v>6054</v>
      </c>
      <c r="AP22" s="1" cm="1">
        <f t="array" ref="AP22">SUMIFS(calls_ans_JAM,period_JAM,"&gt;="&amp;AN22,period_JAM,"&lt;"&amp;AN23)</f>
        <v>4780</v>
      </c>
    </row>
    <row r="23" spans="1:42" ht="17" customHeight="1">
      <c r="A23" s="21">
        <v>44673</v>
      </c>
      <c r="B23" s="17">
        <f>IF(YEAR(Table9[[#This Row],[Date]]) = 2022, WEEKNUM(Table9[[#This Row],[Date]])-13, WEEKNUM(Table9[[#This Row],[Date]])+40)</f>
        <v>4</v>
      </c>
      <c r="C23" s="1" t="s">
        <v>52</v>
      </c>
      <c r="D23" s="1" t="s">
        <v>59</v>
      </c>
      <c r="E23" s="1">
        <v>905</v>
      </c>
      <c r="F23" s="1">
        <v>618</v>
      </c>
      <c r="G23" s="19">
        <v>0</v>
      </c>
      <c r="H23" s="19">
        <v>0</v>
      </c>
      <c r="I23" s="1">
        <v>14033</v>
      </c>
      <c r="J23" s="1">
        <v>11054</v>
      </c>
      <c r="K23" s="1">
        <v>14033</v>
      </c>
      <c r="L23" s="1">
        <v>11054</v>
      </c>
      <c r="M23" s="18">
        <v>0.25</v>
      </c>
      <c r="N23" s="18">
        <v>0.31</v>
      </c>
      <c r="O23" s="18">
        <v>0.69</v>
      </c>
      <c r="P23" s="18">
        <v>0.64</v>
      </c>
      <c r="Q23" s="193"/>
      <c r="R23" s="173">
        <v>0</v>
      </c>
      <c r="S23" s="173">
        <v>0</v>
      </c>
      <c r="T23" s="173">
        <v>0</v>
      </c>
      <c r="U23" s="268" t="str">
        <f t="shared" si="0"/>
        <v>Normal</v>
      </c>
      <c r="V23" s="268" t="str">
        <f t="shared" si="1"/>
        <v>Normal</v>
      </c>
      <c r="W23" s="270">
        <f t="shared" si="2"/>
        <v>0</v>
      </c>
      <c r="X23" s="270">
        <f t="shared" si="3"/>
        <v>0</v>
      </c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N23" s="21">
        <f t="shared" si="5"/>
        <v>44774</v>
      </c>
      <c r="AO23" s="1" cm="1">
        <f t="array" ref="AO23">SUMIFS(calls_off_JAM,period_JAM,"&gt;="&amp;AN23,period_JAM,"&lt;"&amp;AN24)</f>
        <v>5042</v>
      </c>
      <c r="AP23" s="1" cm="1">
        <f t="array" ref="AP23">SUMIFS(calls_ans_JAM,period_JAM,"&gt;="&amp;AN23,period_JAM,"&lt;"&amp;AN24)</f>
        <v>2273</v>
      </c>
    </row>
    <row r="24" spans="1:42" ht="17" customHeight="1">
      <c r="A24" s="31">
        <v>44674</v>
      </c>
      <c r="B24" s="108">
        <f>IF(YEAR(Table9[[#This Row],[Date]]) = 2022, WEEKNUM(Table9[[#This Row],[Date]])-13, WEEKNUM(Table9[[#This Row],[Date]])+40)</f>
        <v>4</v>
      </c>
      <c r="C24" s="1" t="s">
        <v>53</v>
      </c>
      <c r="D24" s="32" t="s">
        <v>59</v>
      </c>
      <c r="E24" s="1">
        <v>746</v>
      </c>
      <c r="F24" s="1">
        <v>431</v>
      </c>
      <c r="G24" s="19">
        <v>0.24126455906821964</v>
      </c>
      <c r="H24" s="19">
        <v>-0.20479704797047971</v>
      </c>
      <c r="I24" s="1">
        <v>14779</v>
      </c>
      <c r="J24" s="1">
        <v>11485</v>
      </c>
      <c r="K24" s="1">
        <v>14779</v>
      </c>
      <c r="L24" s="1">
        <v>11485</v>
      </c>
      <c r="M24" s="18">
        <v>0.18</v>
      </c>
      <c r="N24" s="18">
        <v>0.42</v>
      </c>
      <c r="O24" s="18">
        <v>0.57999999999999996</v>
      </c>
      <c r="P24" s="18">
        <v>0.67</v>
      </c>
      <c r="Q24" s="193"/>
      <c r="R24" s="173">
        <v>0</v>
      </c>
      <c r="S24" s="173">
        <v>0</v>
      </c>
      <c r="T24" s="173">
        <v>0</v>
      </c>
      <c r="U24" s="268" t="str">
        <f t="shared" si="0"/>
        <v>Normal</v>
      </c>
      <c r="V24" s="268" t="str">
        <f t="shared" si="1"/>
        <v>Normal</v>
      </c>
      <c r="W24" s="270">
        <f t="shared" si="2"/>
        <v>0.24126455906821964</v>
      </c>
      <c r="X24" s="270">
        <f t="shared" si="3"/>
        <v>-0.20479704797047971</v>
      </c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N24" s="21">
        <f t="shared" si="5"/>
        <v>44781</v>
      </c>
      <c r="AO24" s="1" cm="1">
        <f t="array" ref="AO24">SUMIFS(calls_off_JAM,period_JAM,"&gt;="&amp;AN24,period_JAM,"&lt;"&amp;AN25)</f>
        <v>7095</v>
      </c>
      <c r="AP24" s="1" cm="1">
        <f t="array" ref="AP24">SUMIFS(calls_ans_JAM,period_JAM,"&gt;="&amp;AN24,period_JAM,"&lt;"&amp;AN25)</f>
        <v>4038</v>
      </c>
    </row>
    <row r="25" spans="1:42" ht="17" customHeight="1">
      <c r="A25" s="256">
        <v>44675</v>
      </c>
      <c r="B25" s="108">
        <f>IF(YEAR(Table9[[#This Row],[Date]]) = 2022, WEEKNUM(Table9[[#This Row],[Date]])-13, WEEKNUM(Table9[[#This Row],[Date]])+40)</f>
        <v>5</v>
      </c>
      <c r="C25" s="1" t="s">
        <v>47</v>
      </c>
      <c r="D25" s="1" t="s">
        <v>59</v>
      </c>
      <c r="E25" s="1">
        <v>0</v>
      </c>
      <c r="F25" s="1">
        <v>0</v>
      </c>
      <c r="G25" s="19">
        <v>0</v>
      </c>
      <c r="H25" s="19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93"/>
      <c r="R25" s="173">
        <v>0</v>
      </c>
      <c r="S25" s="173">
        <v>0</v>
      </c>
      <c r="T25" s="173">
        <v>0</v>
      </c>
      <c r="U25" s="268" t="str">
        <f t="shared" si="0"/>
        <v>Normal</v>
      </c>
      <c r="V25" s="268" t="str">
        <f t="shared" si="1"/>
        <v>Normal</v>
      </c>
      <c r="W25" s="270">
        <f t="shared" si="2"/>
        <v>0</v>
      </c>
      <c r="X25" s="270">
        <f t="shared" si="3"/>
        <v>0</v>
      </c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266"/>
      <c r="AL25" s="266"/>
      <c r="AN25" s="21">
        <f t="shared" si="5"/>
        <v>44788</v>
      </c>
      <c r="AO25" s="1" cm="1">
        <f t="array" ref="AO25">SUMIFS(calls_off_JAM,period_JAM,"&gt;="&amp;AN25,period_JAM,"&lt;"&amp;AN26)</f>
        <v>6642</v>
      </c>
      <c r="AP25" s="1" cm="1">
        <f t="array" ref="AP25">SUMIFS(calls_ans_JAM,period_JAM,"&gt;="&amp;AN25,period_JAM,"&lt;"&amp;AN26)</f>
        <v>4496</v>
      </c>
    </row>
    <row r="26" spans="1:42" ht="17" customHeight="1">
      <c r="A26" s="31">
        <v>44676</v>
      </c>
      <c r="B26" s="108">
        <f>IF(YEAR(Table9[[#This Row],[Date]]) = 2022, WEEKNUM(Table9[[#This Row],[Date]])-13, WEEKNUM(Table9[[#This Row],[Date]])+40)</f>
        <v>5</v>
      </c>
      <c r="C26" s="1" t="s">
        <v>48</v>
      </c>
      <c r="D26" s="32" t="s">
        <v>59</v>
      </c>
      <c r="E26" s="1">
        <v>1228</v>
      </c>
      <c r="F26" s="1">
        <v>790</v>
      </c>
      <c r="G26" s="19">
        <v>0</v>
      </c>
      <c r="H26" s="19">
        <v>0</v>
      </c>
      <c r="I26" s="1">
        <v>16007</v>
      </c>
      <c r="J26" s="1">
        <v>12275</v>
      </c>
      <c r="K26" s="1">
        <v>16007</v>
      </c>
      <c r="L26" s="1">
        <v>12275</v>
      </c>
      <c r="M26" s="18">
        <v>0.26</v>
      </c>
      <c r="N26" s="18">
        <v>0.36</v>
      </c>
      <c r="O26" s="18">
        <v>0.64</v>
      </c>
      <c r="P26" s="18">
        <v>0.81</v>
      </c>
      <c r="Q26" s="193"/>
      <c r="R26" s="173">
        <v>0</v>
      </c>
      <c r="S26" s="173">
        <v>0</v>
      </c>
      <c r="T26" s="173">
        <v>0</v>
      </c>
      <c r="U26" s="268" t="str">
        <f t="shared" si="0"/>
        <v>Normal</v>
      </c>
      <c r="V26" s="268" t="str">
        <f t="shared" si="1"/>
        <v>Normal</v>
      </c>
      <c r="W26" s="270">
        <f t="shared" si="2"/>
        <v>0</v>
      </c>
      <c r="X26" s="270">
        <f t="shared" si="3"/>
        <v>0</v>
      </c>
      <c r="Y26" s="266"/>
      <c r="Z26" s="266"/>
      <c r="AA26" s="266"/>
      <c r="AB26" s="266"/>
      <c r="AC26" s="266"/>
      <c r="AD26" s="266"/>
      <c r="AE26" s="266"/>
      <c r="AF26" s="266"/>
      <c r="AG26" s="266"/>
      <c r="AH26" s="266"/>
      <c r="AI26" s="266"/>
      <c r="AJ26" s="266"/>
      <c r="AK26" s="266"/>
      <c r="AL26" s="266"/>
      <c r="AN26" s="21">
        <f t="shared" si="5"/>
        <v>44795</v>
      </c>
      <c r="AO26" s="1" cm="1">
        <f t="array" ref="AO26">SUMIFS(calls_off_JAM,period_JAM,"&gt;="&amp;AN26,period_JAM,"&lt;"&amp;AN27)</f>
        <v>6171</v>
      </c>
      <c r="AP26" s="1" cm="1">
        <f t="array" ref="AP26">SUMIFS(calls_ans_JAM,period_JAM,"&gt;="&amp;AN26,period_JAM,"&lt;"&amp;AN27)</f>
        <v>4724</v>
      </c>
    </row>
    <row r="27" spans="1:42" ht="17" customHeight="1">
      <c r="A27" s="21">
        <v>44677</v>
      </c>
      <c r="B27" s="17">
        <f>IF(YEAR(Table9[[#This Row],[Date]]) = 2022, WEEKNUM(Table9[[#This Row],[Date]])-13, WEEKNUM(Table9[[#This Row],[Date]])+40)</f>
        <v>5</v>
      </c>
      <c r="C27" s="1" t="s">
        <v>49</v>
      </c>
      <c r="D27" s="1" t="s">
        <v>59</v>
      </c>
      <c r="E27" s="1">
        <v>1021</v>
      </c>
      <c r="F27" s="1">
        <v>698</v>
      </c>
      <c r="G27" s="19">
        <v>-2.7619047619047619E-2</v>
      </c>
      <c r="H27" s="19">
        <v>5.4380664652567974E-2</v>
      </c>
      <c r="I27" s="1">
        <v>17028</v>
      </c>
      <c r="J27" s="1">
        <v>12973</v>
      </c>
      <c r="K27" s="1">
        <v>17028</v>
      </c>
      <c r="L27" s="1">
        <v>12973</v>
      </c>
      <c r="M27" s="18">
        <v>0.28999999999999998</v>
      </c>
      <c r="N27" s="18">
        <v>0.31</v>
      </c>
      <c r="O27" s="18">
        <v>0.69</v>
      </c>
      <c r="P27" s="18">
        <v>0.65</v>
      </c>
      <c r="Q27" s="193"/>
      <c r="R27" s="173">
        <v>0</v>
      </c>
      <c r="S27" s="173">
        <v>0</v>
      </c>
      <c r="T27" s="173">
        <v>0</v>
      </c>
      <c r="U27" s="268" t="str">
        <f t="shared" si="0"/>
        <v>Normal</v>
      </c>
      <c r="V27" s="268" t="str">
        <f t="shared" si="1"/>
        <v>Normal</v>
      </c>
      <c r="W27" s="270">
        <f t="shared" si="2"/>
        <v>-2.7619047619047619E-2</v>
      </c>
      <c r="X27" s="270">
        <f t="shared" si="3"/>
        <v>5.4380664652567974E-2</v>
      </c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N27" s="21">
        <f t="shared" si="5"/>
        <v>44802</v>
      </c>
      <c r="AO27" s="1" cm="1">
        <f t="array" ref="AO27">SUMIFS(calls_off_JAM,period_JAM,"&gt;="&amp;AN27,period_JAM,"&lt;"&amp;AN28)</f>
        <v>7199</v>
      </c>
      <c r="AP27" s="1" cm="1">
        <f t="array" ref="AP27">SUMIFS(calls_ans_JAM,period_JAM,"&gt;="&amp;AN27,period_JAM,"&lt;"&amp;AN28)</f>
        <v>5472</v>
      </c>
    </row>
    <row r="28" spans="1:42" ht="17" customHeight="1">
      <c r="A28" s="31">
        <v>44678</v>
      </c>
      <c r="B28" s="108">
        <f>IF(YEAR(Table9[[#This Row],[Date]]) = 2022, WEEKNUM(Table9[[#This Row],[Date]])-13, WEEKNUM(Table9[[#This Row],[Date]])+40)</f>
        <v>5</v>
      </c>
      <c r="C28" s="1" t="s">
        <v>50</v>
      </c>
      <c r="D28" s="32" t="s">
        <v>59</v>
      </c>
      <c r="E28" s="1">
        <v>945</v>
      </c>
      <c r="F28" s="1">
        <v>872</v>
      </c>
      <c r="G28" s="19">
        <v>-2.6776519052523172E-2</v>
      </c>
      <c r="H28" s="19">
        <v>0.34775888717156106</v>
      </c>
      <c r="I28" s="1">
        <v>17973</v>
      </c>
      <c r="J28" s="1">
        <v>13845</v>
      </c>
      <c r="K28" s="1">
        <v>17973</v>
      </c>
      <c r="L28" s="1">
        <v>13845</v>
      </c>
      <c r="M28" s="18">
        <v>0.76</v>
      </c>
      <c r="N28" s="18">
        <v>7.0000000000000007E-2</v>
      </c>
      <c r="O28" s="18">
        <v>0.93</v>
      </c>
      <c r="P28" s="18">
        <v>0.67</v>
      </c>
      <c r="Q28" s="193"/>
      <c r="R28" s="173">
        <v>0</v>
      </c>
      <c r="S28" s="173">
        <v>0</v>
      </c>
      <c r="T28" s="173">
        <v>0</v>
      </c>
      <c r="U28" s="268" t="str">
        <f t="shared" si="0"/>
        <v>Normal</v>
      </c>
      <c r="V28" s="268" t="str">
        <f t="shared" si="1"/>
        <v>Normal</v>
      </c>
      <c r="W28" s="270">
        <f t="shared" si="2"/>
        <v>-2.6776519052523172E-2</v>
      </c>
      <c r="X28" s="270">
        <f t="shared" si="3"/>
        <v>0.34775888717156106</v>
      </c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N28" s="21">
        <f t="shared" si="5"/>
        <v>44809</v>
      </c>
      <c r="AO28" s="1" cm="1">
        <f t="array" ref="AO28">SUMIFS(calls_off_JAM,period_JAM,"&gt;="&amp;AN28,period_JAM,"&lt;"&amp;AN29)</f>
        <v>6810</v>
      </c>
      <c r="AP28" s="1" cm="1">
        <f t="array" ref="AP28">SUMIFS(calls_ans_JAM,period_JAM,"&gt;="&amp;AN28,period_JAM,"&lt;"&amp;AN29)</f>
        <v>3894</v>
      </c>
    </row>
    <row r="29" spans="1:42" ht="17" customHeight="1">
      <c r="A29" s="21">
        <v>44679</v>
      </c>
      <c r="B29" s="17">
        <f>IF(YEAR(Table9[[#This Row],[Date]]) = 2022, WEEKNUM(Table9[[#This Row],[Date]])-13, WEEKNUM(Table9[[#This Row],[Date]])+40)</f>
        <v>5</v>
      </c>
      <c r="C29" s="1" t="s">
        <v>51</v>
      </c>
      <c r="D29" s="1" t="s">
        <v>59</v>
      </c>
      <c r="E29" s="1">
        <v>1034</v>
      </c>
      <c r="F29" s="1">
        <v>712</v>
      </c>
      <c r="G29" s="19">
        <v>0.14002205071664828</v>
      </c>
      <c r="H29" s="19">
        <v>-7.0496083550913843E-2</v>
      </c>
      <c r="I29" s="1">
        <v>19007</v>
      </c>
      <c r="J29" s="1">
        <v>14557</v>
      </c>
      <c r="K29" s="1">
        <v>19007</v>
      </c>
      <c r="L29" s="1">
        <v>14557</v>
      </c>
      <c r="M29" s="18">
        <v>0.31</v>
      </c>
      <c r="N29" s="18">
        <v>0.31</v>
      </c>
      <c r="O29" s="18">
        <v>0.69</v>
      </c>
      <c r="P29" s="18">
        <v>0.73</v>
      </c>
      <c r="Q29" s="193"/>
      <c r="R29" s="173">
        <v>0</v>
      </c>
      <c r="S29" s="173">
        <v>0</v>
      </c>
      <c r="T29" s="173">
        <v>0</v>
      </c>
      <c r="U29" s="268" t="str">
        <f t="shared" si="0"/>
        <v>Normal</v>
      </c>
      <c r="V29" s="268" t="str">
        <f t="shared" si="1"/>
        <v>Normal</v>
      </c>
      <c r="W29" s="270">
        <f t="shared" si="2"/>
        <v>0.14002205071664828</v>
      </c>
      <c r="X29" s="270">
        <f t="shared" si="3"/>
        <v>-7.0496083550913843E-2</v>
      </c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N29" s="21">
        <f t="shared" si="5"/>
        <v>44816</v>
      </c>
      <c r="AO29" s="1" cm="1">
        <f t="array" ref="AO29">SUMIFS(calls_off_JAM,period_JAM,"&gt;="&amp;AN29,period_JAM,"&lt;"&amp;AN30)</f>
        <v>6135</v>
      </c>
      <c r="AP29" s="1" cm="1">
        <f t="array" ref="AP29">SUMIFS(calls_ans_JAM,period_JAM,"&gt;="&amp;AN29,period_JAM,"&lt;"&amp;AN30)</f>
        <v>4119</v>
      </c>
    </row>
    <row r="30" spans="1:42" ht="17" customHeight="1">
      <c r="A30" s="21">
        <v>44680</v>
      </c>
      <c r="B30" s="17">
        <f>IF(YEAR(Table9[[#This Row],[Date]]) = 2022, WEEKNUM(Table9[[#This Row],[Date]])-13, WEEKNUM(Table9[[#This Row],[Date]])+40)</f>
        <v>5</v>
      </c>
      <c r="C30" s="1" t="s">
        <v>52</v>
      </c>
      <c r="D30" s="32" t="s">
        <v>59</v>
      </c>
      <c r="E30" s="1">
        <v>1008</v>
      </c>
      <c r="F30" s="1">
        <v>847</v>
      </c>
      <c r="G30" s="19">
        <v>0.11381215469613259</v>
      </c>
      <c r="H30" s="19">
        <v>0.37055016181229772</v>
      </c>
      <c r="I30" s="1">
        <v>20015</v>
      </c>
      <c r="J30" s="1">
        <v>15404</v>
      </c>
      <c r="K30" s="1">
        <v>20015</v>
      </c>
      <c r="L30" s="1">
        <v>15404</v>
      </c>
      <c r="M30" s="18">
        <v>0.65</v>
      </c>
      <c r="N30" s="18">
        <v>0.16</v>
      </c>
      <c r="O30" s="18">
        <v>0.84</v>
      </c>
      <c r="P30" s="18">
        <v>0.78</v>
      </c>
      <c r="Q30" s="193"/>
      <c r="R30" s="173">
        <v>0</v>
      </c>
      <c r="S30" s="173">
        <v>0</v>
      </c>
      <c r="T30" s="173">
        <v>0</v>
      </c>
      <c r="U30" s="268" t="str">
        <f t="shared" si="0"/>
        <v>Normal</v>
      </c>
      <c r="V30" s="268" t="str">
        <f t="shared" si="1"/>
        <v>Outlier</v>
      </c>
      <c r="W30" s="270">
        <f t="shared" si="2"/>
        <v>0.11381215469613259</v>
      </c>
      <c r="X30" s="270">
        <f t="shared" si="3"/>
        <v>0.37055016181229772</v>
      </c>
      <c r="Y30" s="266"/>
      <c r="Z30" s="266"/>
      <c r="AA30" s="266"/>
      <c r="AB30" s="266"/>
      <c r="AC30" s="266"/>
      <c r="AD30" s="266"/>
      <c r="AE30" s="266"/>
      <c r="AF30" s="266"/>
      <c r="AG30" s="266"/>
      <c r="AH30" s="266"/>
      <c r="AI30" s="266"/>
      <c r="AJ30" s="266"/>
      <c r="AK30" s="266"/>
      <c r="AL30" s="266"/>
      <c r="AN30" s="21">
        <f t="shared" si="5"/>
        <v>44823</v>
      </c>
      <c r="AO30" s="1" cm="1">
        <f t="array" ref="AO30">SUMIFS(calls_off_JAM,period_JAM,"&gt;="&amp;AN30,period_JAM,"&lt;"&amp;AN31)</f>
        <v>5705</v>
      </c>
      <c r="AP30" s="1" cm="1">
        <f t="array" ref="AP30">SUMIFS(calls_ans_JAM,period_JAM,"&gt;="&amp;AN30,period_JAM,"&lt;"&amp;AN31)</f>
        <v>4557</v>
      </c>
    </row>
    <row r="31" spans="1:42" ht="17" customHeight="1">
      <c r="A31" s="21">
        <v>44681</v>
      </c>
      <c r="B31" s="17">
        <f>IF(YEAR(Table9[[#This Row],[Date]]) = 2022, WEEKNUM(Table9[[#This Row],[Date]])-13, WEEKNUM(Table9[[#This Row],[Date]])+40)</f>
        <v>5</v>
      </c>
      <c r="C31" s="1" t="s">
        <v>53</v>
      </c>
      <c r="D31" s="1" t="s">
        <v>59</v>
      </c>
      <c r="E31" s="1">
        <v>954</v>
      </c>
      <c r="F31" s="1">
        <v>761</v>
      </c>
      <c r="G31" s="19">
        <v>0.27882037533512066</v>
      </c>
      <c r="H31" s="19">
        <v>0.76566125290023201</v>
      </c>
      <c r="I31" s="1">
        <v>20969</v>
      </c>
      <c r="J31" s="1">
        <v>16165</v>
      </c>
      <c r="K31" s="1">
        <v>20969</v>
      </c>
      <c r="L31" s="1">
        <v>16165</v>
      </c>
      <c r="M31" s="18">
        <v>0.6</v>
      </c>
      <c r="N31" s="18">
        <v>0.2</v>
      </c>
      <c r="O31" s="18">
        <v>0.8</v>
      </c>
      <c r="P31" s="18">
        <v>0.78</v>
      </c>
      <c r="Q31" s="193"/>
      <c r="R31" s="173">
        <v>0</v>
      </c>
      <c r="S31" s="173">
        <v>0</v>
      </c>
      <c r="T31" s="173">
        <v>0</v>
      </c>
      <c r="U31" s="268" t="str">
        <f t="shared" si="0"/>
        <v>Normal</v>
      </c>
      <c r="V31" s="268" t="str">
        <f t="shared" si="1"/>
        <v>Outlier</v>
      </c>
      <c r="W31" s="270">
        <f t="shared" si="2"/>
        <v>0.27882037533512066</v>
      </c>
      <c r="X31" s="270">
        <f t="shared" si="3"/>
        <v>0.76566125290023201</v>
      </c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N31" s="21">
        <f t="shared" si="5"/>
        <v>44830</v>
      </c>
      <c r="AO31" s="1" cm="1">
        <f t="array" ref="AO31">SUMIFS(calls_off_JAM,period_JAM,"&gt;="&amp;AN31,period_JAM,"&lt;"&amp;AN32)</f>
        <v>6919</v>
      </c>
      <c r="AP31" s="1" cm="1">
        <f t="array" ref="AP31">SUMIFS(calls_ans_JAM,period_JAM,"&gt;="&amp;AN31,period_JAM,"&lt;"&amp;AN32)</f>
        <v>4352</v>
      </c>
    </row>
    <row r="32" spans="1:42" ht="17" customHeight="1">
      <c r="A32" s="21">
        <v>44682</v>
      </c>
      <c r="B32" s="17">
        <f>IF(YEAR(Table9[[#This Row],[Date]]) = 2022, WEEKNUM(Table9[[#This Row],[Date]])-13, WEEKNUM(Table9[[#This Row],[Date]])+40)</f>
        <v>6</v>
      </c>
      <c r="C32" s="1" t="s">
        <v>47</v>
      </c>
      <c r="D32" s="32" t="s">
        <v>59</v>
      </c>
      <c r="E32" s="1">
        <v>0</v>
      </c>
      <c r="F32" s="1">
        <v>0</v>
      </c>
      <c r="G32" s="19">
        <v>0</v>
      </c>
      <c r="H32" s="19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193"/>
      <c r="R32" s="173">
        <v>0</v>
      </c>
      <c r="S32" s="173">
        <v>0</v>
      </c>
      <c r="T32" s="173">
        <v>0</v>
      </c>
      <c r="U32" s="268" t="str">
        <f t="shared" si="0"/>
        <v>Normal</v>
      </c>
      <c r="V32" s="268" t="str">
        <f t="shared" si="1"/>
        <v>Normal</v>
      </c>
      <c r="W32" s="270">
        <f t="shared" si="2"/>
        <v>0</v>
      </c>
      <c r="X32" s="270">
        <f t="shared" si="3"/>
        <v>0</v>
      </c>
      <c r="Y32" s="266"/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/>
      <c r="AK32" s="266"/>
      <c r="AL32" s="266"/>
      <c r="AN32" s="21">
        <f t="shared" si="5"/>
        <v>44837</v>
      </c>
      <c r="AO32" s="1" cm="1">
        <f t="array" ref="AO32">SUMIFS(calls_off_JAM,period_JAM,"&gt;="&amp;AN32,period_JAM,"&lt;"&amp;AN33)</f>
        <v>6420</v>
      </c>
      <c r="AP32" s="1" cm="1">
        <f t="array" ref="AP32">SUMIFS(calls_ans_JAM,period_JAM,"&gt;="&amp;AN32,period_JAM,"&lt;"&amp;AN33)</f>
        <v>4112</v>
      </c>
    </row>
    <row r="33" spans="1:42" ht="17" customHeight="1">
      <c r="A33" s="21">
        <v>44683</v>
      </c>
      <c r="B33" s="17">
        <f>IF(YEAR(Table9[[#This Row],[Date]]) = 2022, WEEKNUM(Table9[[#This Row],[Date]])-13, WEEKNUM(Table9[[#This Row],[Date]])+40)</f>
        <v>6</v>
      </c>
      <c r="C33" s="1" t="s">
        <v>48</v>
      </c>
      <c r="D33" s="1" t="s">
        <v>59</v>
      </c>
      <c r="E33" s="1">
        <v>1212</v>
      </c>
      <c r="F33" s="1">
        <v>645</v>
      </c>
      <c r="G33" s="19">
        <v>-1.3029315960912053E-2</v>
      </c>
      <c r="H33" s="19">
        <v>-0.18354430379746836</v>
      </c>
      <c r="I33" s="1">
        <v>1212</v>
      </c>
      <c r="J33" s="1">
        <v>645</v>
      </c>
      <c r="K33" s="1">
        <v>22181</v>
      </c>
      <c r="L33" s="1">
        <v>16810</v>
      </c>
      <c r="M33" s="18">
        <v>0.18</v>
      </c>
      <c r="N33" s="18">
        <v>0.47</v>
      </c>
      <c r="O33" s="18">
        <v>0.53</v>
      </c>
      <c r="P33" s="18">
        <v>0.75</v>
      </c>
      <c r="Q33" s="193"/>
      <c r="R33" s="173">
        <v>0</v>
      </c>
      <c r="S33" s="173">
        <v>0</v>
      </c>
      <c r="T33" s="173">
        <v>0</v>
      </c>
      <c r="U33" s="268" t="str">
        <f t="shared" si="0"/>
        <v>Normal</v>
      </c>
      <c r="V33" s="268" t="str">
        <f t="shared" si="1"/>
        <v>Normal</v>
      </c>
      <c r="W33" s="270">
        <f t="shared" si="2"/>
        <v>-1.3029315960912053E-2</v>
      </c>
      <c r="X33" s="270">
        <f t="shared" si="3"/>
        <v>-0.18354430379746836</v>
      </c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/>
      <c r="AK33" s="266"/>
      <c r="AL33" s="266"/>
      <c r="AN33" s="21">
        <f t="shared" si="5"/>
        <v>44844</v>
      </c>
      <c r="AO33" s="1" cm="1">
        <f t="array" ref="AO33">SUMIFS(calls_off_JAM,period_JAM,"&gt;="&amp;AN33,period_JAM,"&lt;"&amp;AN34)</f>
        <v>6180</v>
      </c>
      <c r="AP33" s="1" cm="1">
        <f t="array" ref="AP33">SUMIFS(calls_ans_JAM,period_JAM,"&gt;="&amp;AN33,period_JAM,"&lt;"&amp;AN34)</f>
        <v>3617</v>
      </c>
    </row>
    <row r="34" spans="1:42" ht="17" customHeight="1">
      <c r="A34" s="23">
        <v>44684</v>
      </c>
      <c r="B34" s="121">
        <f>IF(YEAR(Table9[[#This Row],[Date]]) = 2022, WEEKNUM(Table9[[#This Row],[Date]])-13, WEEKNUM(Table9[[#This Row],[Date]])+40)</f>
        <v>6</v>
      </c>
      <c r="C34" s="38" t="s">
        <v>49</v>
      </c>
      <c r="D34" s="32" t="s">
        <v>59</v>
      </c>
      <c r="E34" s="1">
        <v>874</v>
      </c>
      <c r="F34" s="1">
        <v>776</v>
      </c>
      <c r="G34" s="19">
        <v>-0.14397649363369247</v>
      </c>
      <c r="H34" s="19">
        <v>0.11174785100286533</v>
      </c>
      <c r="I34" s="1">
        <v>2086</v>
      </c>
      <c r="J34" s="1">
        <v>1421</v>
      </c>
      <c r="K34" s="1">
        <v>23055</v>
      </c>
      <c r="L34" s="1">
        <v>17586</v>
      </c>
      <c r="M34" s="18">
        <v>0.72</v>
      </c>
      <c r="N34" s="18">
        <v>0.1</v>
      </c>
      <c r="O34" s="18">
        <v>0.9</v>
      </c>
      <c r="P34" s="18">
        <v>0.72</v>
      </c>
      <c r="Q34" s="193"/>
      <c r="R34" s="173">
        <v>0</v>
      </c>
      <c r="S34" s="173">
        <v>0</v>
      </c>
      <c r="T34" s="173">
        <v>0</v>
      </c>
      <c r="U34" s="268" t="str">
        <f t="shared" si="0"/>
        <v>Normal</v>
      </c>
      <c r="V34" s="268" t="str">
        <f t="shared" si="1"/>
        <v>Normal</v>
      </c>
      <c r="W34" s="270">
        <f t="shared" si="2"/>
        <v>-0.14397649363369247</v>
      </c>
      <c r="X34" s="270">
        <f t="shared" si="3"/>
        <v>0.11174785100286533</v>
      </c>
      <c r="Y34" s="266"/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/>
      <c r="AK34" s="266"/>
      <c r="AL34" s="266"/>
      <c r="AN34" s="21">
        <f t="shared" si="5"/>
        <v>44851</v>
      </c>
      <c r="AO34" s="1" cm="1">
        <f t="array" ref="AO34">SUMIFS(calls_off_JAM,period_JAM,"&gt;="&amp;AN34,period_JAM,"&lt;"&amp;AN35)</f>
        <v>5878</v>
      </c>
      <c r="AP34" s="1" cm="1">
        <f t="array" ref="AP34">SUMIFS(calls_ans_JAM,period_JAM,"&gt;="&amp;AN34,period_JAM,"&lt;"&amp;AN35)</f>
        <v>3800</v>
      </c>
    </row>
    <row r="35" spans="1:42" ht="17" customHeight="1">
      <c r="A35" s="23">
        <v>44685</v>
      </c>
      <c r="B35" s="121">
        <f>IF(YEAR(Table9[[#This Row],[Date]]) = 2022, WEEKNUM(Table9[[#This Row],[Date]])-13, WEEKNUM(Table9[[#This Row],[Date]])+40)</f>
        <v>6</v>
      </c>
      <c r="C35" s="1" t="s">
        <v>50</v>
      </c>
      <c r="D35" s="1" t="s">
        <v>59</v>
      </c>
      <c r="E35" s="1">
        <v>864</v>
      </c>
      <c r="F35" s="1">
        <v>711</v>
      </c>
      <c r="G35" s="19">
        <v>-8.5714285714285715E-2</v>
      </c>
      <c r="H35" s="19">
        <v>-0.18463302752293578</v>
      </c>
      <c r="I35" s="1">
        <v>2950</v>
      </c>
      <c r="J35" s="1">
        <v>2132</v>
      </c>
      <c r="K35" s="1">
        <v>23919</v>
      </c>
      <c r="L35" s="1">
        <v>18297</v>
      </c>
      <c r="M35" s="18">
        <v>0.54</v>
      </c>
      <c r="N35" s="18">
        <v>0.1</v>
      </c>
      <c r="O35" s="18">
        <v>0.9</v>
      </c>
      <c r="P35" s="18">
        <v>0.73</v>
      </c>
      <c r="Q35" s="193"/>
      <c r="R35" s="173">
        <v>0</v>
      </c>
      <c r="S35" s="173">
        <v>0</v>
      </c>
      <c r="T35" s="173">
        <v>0</v>
      </c>
      <c r="U35" s="268" t="str">
        <f t="shared" si="0"/>
        <v>Normal</v>
      </c>
      <c r="V35" s="268" t="str">
        <f t="shared" si="1"/>
        <v>Normal</v>
      </c>
      <c r="W35" s="270">
        <f t="shared" si="2"/>
        <v>-8.5714285714285715E-2</v>
      </c>
      <c r="X35" s="270">
        <f t="shared" si="3"/>
        <v>-0.18463302752293578</v>
      </c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/>
      <c r="AK35" s="266"/>
      <c r="AL35" s="266"/>
      <c r="AN35" s="21">
        <f t="shared" si="5"/>
        <v>44858</v>
      </c>
      <c r="AO35" s="1" cm="1">
        <f t="array" ref="AO35">SUMIFS(calls_off_JAM,period_JAM,"&gt;="&amp;AN35,period_JAM,"&lt;"&amp;AN36)</f>
        <v>8070</v>
      </c>
      <c r="AP35" s="1" cm="1">
        <f t="array" ref="AP35">SUMIFS(calls_ans_JAM,period_JAM,"&gt;="&amp;AN35,period_JAM,"&lt;"&amp;AN36)</f>
        <v>3393</v>
      </c>
    </row>
    <row r="36" spans="1:42">
      <c r="A36" s="23">
        <v>44686</v>
      </c>
      <c r="B36" s="121">
        <f>IF(YEAR(Table9[[#This Row],[Date]]) = 2022, WEEKNUM(Table9[[#This Row],[Date]])-13, WEEKNUM(Table9[[#This Row],[Date]])+40)</f>
        <v>6</v>
      </c>
      <c r="C36" s="1" t="s">
        <v>51</v>
      </c>
      <c r="D36" s="32" t="s">
        <v>59</v>
      </c>
      <c r="E36" s="1">
        <v>823</v>
      </c>
      <c r="F36" s="1">
        <v>778</v>
      </c>
      <c r="G36" s="19">
        <v>-0.20406189555125726</v>
      </c>
      <c r="H36" s="19">
        <v>9.269662921348315E-2</v>
      </c>
      <c r="I36" s="1">
        <v>3773</v>
      </c>
      <c r="J36" s="1">
        <v>2910</v>
      </c>
      <c r="K36" s="1">
        <v>24742</v>
      </c>
      <c r="L36" s="1">
        <v>19075</v>
      </c>
      <c r="M36" s="18">
        <v>0.84</v>
      </c>
      <c r="N36" s="18">
        <v>0.05</v>
      </c>
      <c r="O36" s="18">
        <v>0.95</v>
      </c>
      <c r="P36" s="18">
        <v>0.72</v>
      </c>
      <c r="Q36" s="193"/>
      <c r="R36" s="173">
        <v>0</v>
      </c>
      <c r="S36" s="173">
        <v>0</v>
      </c>
      <c r="T36" s="173">
        <v>0</v>
      </c>
      <c r="U36" s="268" t="str">
        <f t="shared" si="0"/>
        <v>Normal</v>
      </c>
      <c r="V36" s="268" t="str">
        <f t="shared" si="1"/>
        <v>Normal</v>
      </c>
      <c r="W36" s="270">
        <f t="shared" si="2"/>
        <v>-0.20406189555125726</v>
      </c>
      <c r="X36" s="270">
        <f t="shared" si="3"/>
        <v>9.269662921348315E-2</v>
      </c>
      <c r="Y36" s="266"/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/>
      <c r="AK36" s="266"/>
      <c r="AL36" s="266"/>
      <c r="AN36" s="21">
        <f t="shared" si="5"/>
        <v>44865</v>
      </c>
      <c r="AO36" s="1" cm="1">
        <f t="array" ref="AO36">SUMIFS(calls_off_JAM,period_JAM,"&gt;="&amp;AN36,period_JAM,"&lt;"&amp;AN37)</f>
        <v>6215</v>
      </c>
      <c r="AP36" s="1" cm="1">
        <f t="array" ref="AP36">SUMIFS(calls_ans_JAM,period_JAM,"&gt;="&amp;AN36,period_JAM,"&lt;"&amp;AN37)</f>
        <v>4000</v>
      </c>
    </row>
    <row r="37" spans="1:42">
      <c r="A37" s="23">
        <v>44687</v>
      </c>
      <c r="B37" s="121">
        <f>IF(YEAR(Table9[[#This Row],[Date]]) = 2022, WEEKNUM(Table9[[#This Row],[Date]])-13, WEEKNUM(Table9[[#This Row],[Date]])+40)</f>
        <v>6</v>
      </c>
      <c r="C37" s="1" t="s">
        <v>52</v>
      </c>
      <c r="D37" s="1" t="s">
        <v>59</v>
      </c>
      <c r="E37" s="1">
        <v>793</v>
      </c>
      <c r="F37" s="1">
        <v>743</v>
      </c>
      <c r="G37" s="19">
        <v>-0.21329365079365079</v>
      </c>
      <c r="H37" s="19">
        <v>-0.12278630460448642</v>
      </c>
      <c r="I37" s="1">
        <v>4566</v>
      </c>
      <c r="J37" s="1">
        <v>3653</v>
      </c>
      <c r="K37" s="1">
        <v>25535</v>
      </c>
      <c r="L37" s="1">
        <v>19818</v>
      </c>
      <c r="M37" s="18">
        <v>0.79</v>
      </c>
      <c r="N37" s="18">
        <v>0.06</v>
      </c>
      <c r="O37" s="18">
        <v>0.94</v>
      </c>
      <c r="P37" s="18">
        <v>0.69</v>
      </c>
      <c r="Q37" s="193"/>
      <c r="R37" s="173">
        <v>0</v>
      </c>
      <c r="S37" s="173">
        <v>0</v>
      </c>
      <c r="T37" s="173">
        <v>0</v>
      </c>
      <c r="U37" s="268" t="str">
        <f t="shared" si="0"/>
        <v>Normal</v>
      </c>
      <c r="V37" s="268" t="str">
        <f t="shared" si="1"/>
        <v>Normal</v>
      </c>
      <c r="W37" s="270">
        <f t="shared" si="2"/>
        <v>-0.21329365079365079</v>
      </c>
      <c r="X37" s="270">
        <f t="shared" si="3"/>
        <v>-0.12278630460448642</v>
      </c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N37" s="21">
        <f t="shared" si="5"/>
        <v>44872</v>
      </c>
      <c r="AO37" s="1" cm="1">
        <f t="array" ref="AO37">SUMIFS(calls_off_JAM,period_JAM,"&gt;="&amp;AN37,period_JAM,"&lt;"&amp;AN38)</f>
        <v>5471</v>
      </c>
      <c r="AP37" s="1" cm="1">
        <f t="array" ref="AP37">SUMIFS(calls_ans_JAM,period_JAM,"&gt;="&amp;AN37,period_JAM,"&lt;"&amp;AN38)</f>
        <v>4201</v>
      </c>
    </row>
    <row r="38" spans="1:42">
      <c r="A38" s="23">
        <v>44688</v>
      </c>
      <c r="B38" s="121">
        <f>IF(YEAR(Table9[[#This Row],[Date]]) = 2022, WEEKNUM(Table9[[#This Row],[Date]])-13, WEEKNUM(Table9[[#This Row],[Date]])+40)</f>
        <v>6</v>
      </c>
      <c r="C38" s="1" t="s">
        <v>53</v>
      </c>
      <c r="D38" s="32" t="s">
        <v>59</v>
      </c>
      <c r="E38" s="1">
        <v>802</v>
      </c>
      <c r="F38" s="1">
        <v>683</v>
      </c>
      <c r="G38" s="19">
        <v>-0.15932914046121593</v>
      </c>
      <c r="H38" s="19">
        <v>-0.10249671484888305</v>
      </c>
      <c r="I38" s="1">
        <v>5368</v>
      </c>
      <c r="J38" s="1">
        <v>4336</v>
      </c>
      <c r="K38" s="1">
        <v>26337</v>
      </c>
      <c r="L38" s="1">
        <v>20501</v>
      </c>
      <c r="M38" s="18">
        <v>0.47</v>
      </c>
      <c r="N38" s="18">
        <v>0.14000000000000001</v>
      </c>
      <c r="O38" s="18">
        <v>0.86</v>
      </c>
      <c r="P38" s="18">
        <v>0.79</v>
      </c>
      <c r="Q38" s="193"/>
      <c r="R38" s="173">
        <v>0</v>
      </c>
      <c r="S38" s="173">
        <v>0</v>
      </c>
      <c r="T38" s="173">
        <v>0</v>
      </c>
      <c r="U38" s="268" t="str">
        <f t="shared" si="0"/>
        <v>Normal</v>
      </c>
      <c r="V38" s="268" t="str">
        <f t="shared" si="1"/>
        <v>Normal</v>
      </c>
      <c r="W38" s="270">
        <f t="shared" si="2"/>
        <v>-0.15932914046121593</v>
      </c>
      <c r="X38" s="270">
        <f t="shared" si="3"/>
        <v>-0.10249671484888305</v>
      </c>
      <c r="Y38" s="266"/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/>
      <c r="AK38" s="266"/>
      <c r="AL38" s="266"/>
      <c r="AN38" s="21">
        <f t="shared" si="5"/>
        <v>44879</v>
      </c>
      <c r="AO38" s="1" cm="1">
        <f t="array" ref="AO38">SUMIFS(calls_off_JAM,period_JAM,"&gt;="&amp;AN38,period_JAM,"&lt;"&amp;AN39)</f>
        <v>5842</v>
      </c>
      <c r="AP38" s="1" cm="1">
        <f t="array" ref="AP38">SUMIFS(calls_ans_JAM,period_JAM,"&gt;="&amp;AN38,period_JAM,"&lt;"&amp;AN39)</f>
        <v>4672</v>
      </c>
    </row>
    <row r="39" spans="1:42">
      <c r="A39" s="21">
        <v>44689</v>
      </c>
      <c r="B39" s="17">
        <f>IF(YEAR(Table9[[#This Row],[Date]]) = 2022, WEEKNUM(Table9[[#This Row],[Date]])-13, WEEKNUM(Table9[[#This Row],[Date]])+40)</f>
        <v>7</v>
      </c>
      <c r="C39" s="1" t="s">
        <v>47</v>
      </c>
      <c r="D39" s="1" t="s">
        <v>59</v>
      </c>
      <c r="E39" s="1">
        <v>0</v>
      </c>
      <c r="F39" s="1">
        <v>0</v>
      </c>
      <c r="G39" s="19">
        <v>0</v>
      </c>
      <c r="H39" s="19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93"/>
      <c r="R39" s="173">
        <v>0</v>
      </c>
      <c r="S39" s="173">
        <v>0</v>
      </c>
      <c r="T39" s="173">
        <v>0</v>
      </c>
      <c r="U39" s="268" t="str">
        <f t="shared" si="0"/>
        <v>Normal</v>
      </c>
      <c r="V39" s="268" t="str">
        <f t="shared" si="1"/>
        <v>Normal</v>
      </c>
      <c r="W39" s="270">
        <f t="shared" si="2"/>
        <v>0</v>
      </c>
      <c r="X39" s="270">
        <f t="shared" si="3"/>
        <v>0</v>
      </c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6"/>
      <c r="AN39" s="21">
        <f t="shared" si="5"/>
        <v>44886</v>
      </c>
      <c r="AO39" s="1" cm="1">
        <f t="array" ref="AO39">SUMIFS(calls_off_JAM,period_JAM,"&gt;="&amp;AN39,period_JAM,"&lt;"&amp;AN40)</f>
        <v>6905</v>
      </c>
      <c r="AP39" s="1" cm="1">
        <f t="array" ref="AP39">SUMIFS(calls_ans_JAM,period_JAM,"&gt;="&amp;AN39,period_JAM,"&lt;"&amp;AN40)</f>
        <v>5764</v>
      </c>
    </row>
    <row r="40" spans="1:42">
      <c r="A40" s="23">
        <v>44690</v>
      </c>
      <c r="B40" s="121">
        <f>IF(YEAR(Table9[[#This Row],[Date]]) = 2022, WEEKNUM(Table9[[#This Row],[Date]])-13, WEEKNUM(Table9[[#This Row],[Date]])+40)</f>
        <v>7</v>
      </c>
      <c r="C40" s="1" t="s">
        <v>48</v>
      </c>
      <c r="D40" s="32" t="s">
        <v>59</v>
      </c>
      <c r="E40" s="1">
        <v>995</v>
      </c>
      <c r="F40" s="1">
        <v>712</v>
      </c>
      <c r="G40" s="19">
        <v>-0.17904290429042904</v>
      </c>
      <c r="H40" s="19">
        <v>0.10387596899224806</v>
      </c>
      <c r="I40" s="1">
        <v>6363</v>
      </c>
      <c r="J40" s="1">
        <v>5048</v>
      </c>
      <c r="K40" s="1">
        <v>27332</v>
      </c>
      <c r="L40" s="1">
        <v>21213</v>
      </c>
      <c r="M40" s="18">
        <v>0.72</v>
      </c>
      <c r="N40" s="18">
        <v>0.28000000000000003</v>
      </c>
      <c r="O40" s="18">
        <v>0.72</v>
      </c>
      <c r="P40" s="18">
        <v>0.73</v>
      </c>
      <c r="Q40" s="193"/>
      <c r="R40" s="173">
        <v>0</v>
      </c>
      <c r="S40" s="173">
        <v>0</v>
      </c>
      <c r="T40" s="173">
        <v>0</v>
      </c>
      <c r="U40" s="268" t="str">
        <f t="shared" si="0"/>
        <v>Normal</v>
      </c>
      <c r="V40" s="268" t="str">
        <f t="shared" si="1"/>
        <v>Normal</v>
      </c>
      <c r="W40" s="270">
        <f t="shared" si="2"/>
        <v>-0.17904290429042904</v>
      </c>
      <c r="X40" s="270">
        <f t="shared" si="3"/>
        <v>0.10387596899224806</v>
      </c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N40" s="21">
        <f t="shared" si="5"/>
        <v>44893</v>
      </c>
      <c r="AO40" s="1" cm="1">
        <f t="array" ref="AO40">SUMIFS(calls_off_JAM,period_JAM,"&gt;="&amp;AN40,period_JAM,"&lt;"&amp;AN41)</f>
        <v>8903</v>
      </c>
      <c r="AP40" s="1" cm="1">
        <f t="array" ref="AP40">SUMIFS(calls_ans_JAM,period_JAM,"&gt;="&amp;AN40,period_JAM,"&lt;"&amp;AN41)</f>
        <v>5152</v>
      </c>
    </row>
    <row r="41" spans="1:42">
      <c r="A41" s="23">
        <v>44691</v>
      </c>
      <c r="B41" s="121">
        <f>IF(YEAR(Table9[[#This Row],[Date]]) = 2022, WEEKNUM(Table9[[#This Row],[Date]])-13, WEEKNUM(Table9[[#This Row],[Date]])+40)</f>
        <v>7</v>
      </c>
      <c r="C41" s="1" t="s">
        <v>49</v>
      </c>
      <c r="D41" s="1" t="s">
        <v>59</v>
      </c>
      <c r="E41" s="1">
        <v>826</v>
      </c>
      <c r="F41" s="1">
        <v>608</v>
      </c>
      <c r="G41" s="19">
        <v>-5.4919908466819219E-2</v>
      </c>
      <c r="H41" s="19">
        <v>-0.21649484536082475</v>
      </c>
      <c r="I41" s="1">
        <v>7189</v>
      </c>
      <c r="J41" s="1">
        <v>5656</v>
      </c>
      <c r="K41" s="1">
        <v>28158</v>
      </c>
      <c r="L41" s="1">
        <v>21821</v>
      </c>
      <c r="M41" s="18">
        <v>0.74</v>
      </c>
      <c r="N41" s="18">
        <v>0.26</v>
      </c>
      <c r="O41" s="18">
        <v>0.74</v>
      </c>
      <c r="P41" s="18">
        <v>0.63</v>
      </c>
      <c r="Q41" s="193"/>
      <c r="R41" s="173">
        <v>0</v>
      </c>
      <c r="S41" s="173">
        <v>0</v>
      </c>
      <c r="T41" s="173">
        <v>0</v>
      </c>
      <c r="U41" s="268" t="str">
        <f t="shared" si="0"/>
        <v>Normal</v>
      </c>
      <c r="V41" s="268" t="str">
        <f t="shared" si="1"/>
        <v>Normal</v>
      </c>
      <c r="W41" s="270">
        <f t="shared" si="2"/>
        <v>-5.4919908466819219E-2</v>
      </c>
      <c r="X41" s="270">
        <f t="shared" si="3"/>
        <v>-0.21649484536082475</v>
      </c>
      <c r="Y41" s="266"/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6"/>
      <c r="AN41" s="21">
        <f t="shared" si="5"/>
        <v>44900</v>
      </c>
      <c r="AO41" s="1" cm="1">
        <f t="array" ref="AO41">SUMIFS(calls_off_JAM,period_JAM,"&gt;="&amp;AN41,period_JAM,"&lt;"&amp;AN42)</f>
        <v>7056</v>
      </c>
      <c r="AP41" s="1" cm="1">
        <f t="array" ref="AP41">SUMIFS(calls_ans_JAM,period_JAM,"&gt;="&amp;AN41,period_JAM,"&lt;"&amp;AN42)</f>
        <v>4914</v>
      </c>
    </row>
    <row r="42" spans="1:42">
      <c r="A42" s="23">
        <v>44692</v>
      </c>
      <c r="B42" s="121">
        <f>IF(YEAR(Table9[[#This Row],[Date]]) = 2022, WEEKNUM(Table9[[#This Row],[Date]])-13, WEEKNUM(Table9[[#This Row],[Date]])+40)</f>
        <v>7</v>
      </c>
      <c r="C42" s="1" t="s">
        <v>50</v>
      </c>
      <c r="D42" s="32" t="s">
        <v>59</v>
      </c>
      <c r="E42" s="1">
        <v>762</v>
      </c>
      <c r="F42" s="1">
        <v>742</v>
      </c>
      <c r="G42" s="19">
        <v>-0.11805555555555555</v>
      </c>
      <c r="H42" s="19">
        <v>4.360056258790436E-2</v>
      </c>
      <c r="I42" s="1">
        <v>7951</v>
      </c>
      <c r="J42" s="1">
        <v>6398</v>
      </c>
      <c r="K42" s="1">
        <v>28920</v>
      </c>
      <c r="L42" s="1">
        <v>22563</v>
      </c>
      <c r="M42" s="18">
        <v>0.98</v>
      </c>
      <c r="N42" s="18">
        <v>0.02</v>
      </c>
      <c r="O42" s="18">
        <v>0.98</v>
      </c>
      <c r="P42" s="18">
        <v>0.62</v>
      </c>
      <c r="Q42" s="193"/>
      <c r="R42" s="173">
        <v>0</v>
      </c>
      <c r="S42" s="173">
        <v>0</v>
      </c>
      <c r="T42" s="173">
        <v>0</v>
      </c>
      <c r="U42" s="268" t="str">
        <f t="shared" si="0"/>
        <v>Normal</v>
      </c>
      <c r="V42" s="268" t="str">
        <f t="shared" si="1"/>
        <v>Normal</v>
      </c>
      <c r="W42" s="270">
        <f t="shared" si="2"/>
        <v>-0.11805555555555555</v>
      </c>
      <c r="X42" s="270">
        <f t="shared" si="3"/>
        <v>4.360056258790436E-2</v>
      </c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N42" s="21">
        <f t="shared" si="5"/>
        <v>44907</v>
      </c>
      <c r="AO42" s="1" cm="1">
        <f t="array" ref="AO42">SUMIFS(calls_off_JAM,period_JAM,"&gt;="&amp;AN42,period_JAM,"&lt;"&amp;AN43)</f>
        <v>6875</v>
      </c>
      <c r="AP42" s="1" cm="1">
        <f t="array" ref="AP42">SUMIFS(calls_ans_JAM,period_JAM,"&gt;="&amp;AN42,period_JAM,"&lt;"&amp;AN43)</f>
        <v>5835</v>
      </c>
    </row>
    <row r="43" spans="1:42">
      <c r="A43" s="23">
        <v>44693</v>
      </c>
      <c r="B43" s="121">
        <f>IF(YEAR(Table9[[#This Row],[Date]]) = 2022, WEEKNUM(Table9[[#This Row],[Date]])-13, WEEKNUM(Table9[[#This Row],[Date]])+40)</f>
        <v>7</v>
      </c>
      <c r="C43" s="1" t="s">
        <v>51</v>
      </c>
      <c r="D43" s="1" t="s">
        <v>59</v>
      </c>
      <c r="E43" s="1">
        <v>879</v>
      </c>
      <c r="F43" s="1">
        <v>790</v>
      </c>
      <c r="G43" s="19">
        <v>6.8043742405832316E-2</v>
      </c>
      <c r="H43" s="19">
        <v>1.5424164524421594E-2</v>
      </c>
      <c r="I43" s="1">
        <v>8830</v>
      </c>
      <c r="J43" s="1">
        <v>7188</v>
      </c>
      <c r="K43" s="1">
        <v>29799</v>
      </c>
      <c r="L43" s="1">
        <v>23353</v>
      </c>
      <c r="M43" s="18">
        <v>0.9</v>
      </c>
      <c r="N43" s="18">
        <v>0.1</v>
      </c>
      <c r="O43" s="18">
        <v>0.9</v>
      </c>
      <c r="P43" s="18">
        <v>0.73</v>
      </c>
      <c r="Q43" s="193"/>
      <c r="R43" s="173">
        <v>0</v>
      </c>
      <c r="S43" s="173">
        <v>0</v>
      </c>
      <c r="T43" s="173">
        <v>0</v>
      </c>
      <c r="U43" s="268" t="str">
        <f t="shared" si="0"/>
        <v>Normal</v>
      </c>
      <c r="V43" s="268" t="str">
        <f t="shared" si="1"/>
        <v>Normal</v>
      </c>
      <c r="W43" s="270">
        <f t="shared" si="2"/>
        <v>6.8043742405832316E-2</v>
      </c>
      <c r="X43" s="270">
        <f t="shared" si="3"/>
        <v>1.5424164524421594E-2</v>
      </c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N43" s="21">
        <f t="shared" si="5"/>
        <v>44914</v>
      </c>
      <c r="AO43" s="1" cm="1">
        <f t="array" ref="AO43">SUMIFS(calls_off_JAM,period_JAM,"&gt;="&amp;AN43,period_JAM,"&lt;"&amp;AN44)</f>
        <v>7086</v>
      </c>
      <c r="AP43" s="1" cm="1">
        <f t="array" ref="AP43">SUMIFS(calls_ans_JAM,period_JAM,"&gt;="&amp;AN43,period_JAM,"&lt;"&amp;AN44)</f>
        <v>5248</v>
      </c>
    </row>
    <row r="44" spans="1:42">
      <c r="A44" s="23">
        <v>44694</v>
      </c>
      <c r="B44" s="121">
        <f>IF(YEAR(Table9[[#This Row],[Date]]) = 2022, WEEKNUM(Table9[[#This Row],[Date]])-13, WEEKNUM(Table9[[#This Row],[Date]])+40)</f>
        <v>7</v>
      </c>
      <c r="C44" s="1" t="s">
        <v>52</v>
      </c>
      <c r="D44" s="32" t="s">
        <v>59</v>
      </c>
      <c r="E44" s="1">
        <v>764</v>
      </c>
      <c r="F44" s="1">
        <v>720</v>
      </c>
      <c r="G44" s="19">
        <v>-3.6569987389659518E-2</v>
      </c>
      <c r="H44" s="19">
        <v>-3.095558546433378E-2</v>
      </c>
      <c r="I44" s="1">
        <v>9594</v>
      </c>
      <c r="J44" s="1">
        <v>7908</v>
      </c>
      <c r="K44" s="1">
        <v>30563</v>
      </c>
      <c r="L44" s="1">
        <v>24073</v>
      </c>
      <c r="M44" s="18">
        <v>0.95</v>
      </c>
      <c r="N44" s="18">
        <v>0.05</v>
      </c>
      <c r="O44" s="18">
        <v>0.95</v>
      </c>
      <c r="P44" s="18">
        <v>0.67</v>
      </c>
      <c r="Q44" s="193"/>
      <c r="R44" s="173">
        <v>0</v>
      </c>
      <c r="S44" s="173">
        <v>0</v>
      </c>
      <c r="T44" s="173">
        <v>0</v>
      </c>
      <c r="U44" s="268" t="str">
        <f t="shared" si="0"/>
        <v>Normal</v>
      </c>
      <c r="V44" s="268" t="str">
        <f t="shared" si="1"/>
        <v>Normal</v>
      </c>
      <c r="W44" s="270">
        <f t="shared" si="2"/>
        <v>-3.6569987389659518E-2</v>
      </c>
      <c r="X44" s="270">
        <f t="shared" si="3"/>
        <v>-3.095558546433378E-2</v>
      </c>
      <c r="Y44" s="266"/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/>
      <c r="AK44" s="266"/>
      <c r="AL44" s="266"/>
      <c r="AN44" s="21">
        <f t="shared" si="5"/>
        <v>44921</v>
      </c>
      <c r="AO44" s="1" cm="1">
        <f t="array" ref="AO44">SUMIFS(calls_off_JAM,period_JAM,"&gt;="&amp;AN44,period_JAM,"&lt;"&amp;AN45)</f>
        <v>4539</v>
      </c>
      <c r="AP44" s="1" cm="1">
        <f t="array" ref="AP44">SUMIFS(calls_ans_JAM,period_JAM,"&gt;="&amp;AN44,period_JAM,"&lt;"&amp;AN45)</f>
        <v>3110</v>
      </c>
    </row>
    <row r="45" spans="1:42">
      <c r="A45" s="23">
        <v>44695</v>
      </c>
      <c r="B45" s="121">
        <f>IF(YEAR(Table9[[#This Row],[Date]]) = 2022, WEEKNUM(Table9[[#This Row],[Date]])-13, WEEKNUM(Table9[[#This Row],[Date]])+40)</f>
        <v>7</v>
      </c>
      <c r="C45" s="1" t="s">
        <v>53</v>
      </c>
      <c r="D45" s="1" t="s">
        <v>59</v>
      </c>
      <c r="E45" s="1">
        <v>715</v>
      </c>
      <c r="F45" s="1">
        <v>658</v>
      </c>
      <c r="G45" s="19">
        <v>-0.10847880299251871</v>
      </c>
      <c r="H45" s="19">
        <v>-3.6603221083455345E-2</v>
      </c>
      <c r="I45" s="1">
        <v>10309</v>
      </c>
      <c r="J45" s="1">
        <v>8566</v>
      </c>
      <c r="K45" s="1">
        <v>31278</v>
      </c>
      <c r="L45" s="1">
        <v>24731</v>
      </c>
      <c r="M45" s="18">
        <v>0.92</v>
      </c>
      <c r="N45" s="18">
        <v>0.08</v>
      </c>
      <c r="O45" s="18">
        <v>0.92</v>
      </c>
      <c r="P45" s="18">
        <v>0.61</v>
      </c>
      <c r="Q45" s="193"/>
      <c r="R45" s="173">
        <v>0</v>
      </c>
      <c r="S45" s="173">
        <v>0</v>
      </c>
      <c r="T45" s="173">
        <v>0</v>
      </c>
      <c r="U45" s="268" t="str">
        <f t="shared" si="0"/>
        <v>Normal</v>
      </c>
      <c r="V45" s="268" t="str">
        <f t="shared" si="1"/>
        <v>Normal</v>
      </c>
      <c r="W45" s="270">
        <f t="shared" si="2"/>
        <v>-0.10847880299251871</v>
      </c>
      <c r="X45" s="270">
        <f t="shared" si="3"/>
        <v>-3.6603221083455345E-2</v>
      </c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N45" s="21">
        <f t="shared" si="5"/>
        <v>44928</v>
      </c>
      <c r="AO45" s="1" cm="1">
        <f t="array" ref="AO45">SUMIFS(calls_off_JAM,period_JAM,"&gt;="&amp;AN45,period_JAM,"&lt;"&amp;AN46)</f>
        <v>4933</v>
      </c>
      <c r="AP45" s="1" cm="1">
        <f t="array" ref="AP45">SUMIFS(calls_ans_JAM,period_JAM,"&gt;="&amp;AN45,period_JAM,"&lt;"&amp;AN46)</f>
        <v>4322</v>
      </c>
    </row>
    <row r="46" spans="1:42">
      <c r="A46" s="21">
        <v>44696</v>
      </c>
      <c r="B46" s="17">
        <f>IF(YEAR(Table9[[#This Row],[Date]]) = 2022, WEEKNUM(Table9[[#This Row],[Date]])-13, WEEKNUM(Table9[[#This Row],[Date]])+40)</f>
        <v>8</v>
      </c>
      <c r="C46" s="1" t="s">
        <v>47</v>
      </c>
      <c r="D46" s="32" t="s">
        <v>59</v>
      </c>
      <c r="E46" s="1">
        <v>0</v>
      </c>
      <c r="F46" s="1">
        <v>0</v>
      </c>
      <c r="G46" s="19">
        <v>0</v>
      </c>
      <c r="H46" s="19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193"/>
      <c r="R46" s="173">
        <v>0</v>
      </c>
      <c r="S46" s="173">
        <v>0</v>
      </c>
      <c r="T46" s="173">
        <v>0</v>
      </c>
      <c r="U46" s="268" t="str">
        <f t="shared" si="0"/>
        <v>Normal</v>
      </c>
      <c r="V46" s="268" t="str">
        <f t="shared" si="1"/>
        <v>Normal</v>
      </c>
      <c r="W46" s="270">
        <f t="shared" si="2"/>
        <v>0</v>
      </c>
      <c r="X46" s="270">
        <f t="shared" si="3"/>
        <v>0</v>
      </c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N46" s="21">
        <f t="shared" si="5"/>
        <v>44935</v>
      </c>
      <c r="AO46" s="1" cm="1">
        <f t="array" ref="AO46">SUMIFS(calls_off_JAM,period_JAM,"&gt;="&amp;AN46,period_JAM,"&lt;"&amp;AN47)</f>
        <v>5454</v>
      </c>
      <c r="AP46" s="1" cm="1">
        <f t="array" ref="AP46">SUMIFS(calls_ans_JAM,period_JAM,"&gt;="&amp;AN46,period_JAM,"&lt;"&amp;AN47)</f>
        <v>5169</v>
      </c>
    </row>
    <row r="47" spans="1:42">
      <c r="A47" s="23">
        <v>44697</v>
      </c>
      <c r="B47" s="121">
        <f>IF(YEAR(Table9[[#This Row],[Date]]) = 2022, WEEKNUM(Table9[[#This Row],[Date]])-13, WEEKNUM(Table9[[#This Row],[Date]])+40)</f>
        <v>8</v>
      </c>
      <c r="C47" s="1" t="s">
        <v>48</v>
      </c>
      <c r="D47" s="1" t="s">
        <v>59</v>
      </c>
      <c r="E47" s="1">
        <v>961</v>
      </c>
      <c r="F47" s="1">
        <v>881</v>
      </c>
      <c r="G47" s="19">
        <v>-3.4170854271356785E-2</v>
      </c>
      <c r="H47" s="19">
        <v>0.23735955056179775</v>
      </c>
      <c r="I47" s="1">
        <v>11270</v>
      </c>
      <c r="J47" s="1">
        <v>9447</v>
      </c>
      <c r="K47" s="1">
        <v>32239</v>
      </c>
      <c r="L47" s="1">
        <v>25612</v>
      </c>
      <c r="M47" s="18">
        <v>0.75</v>
      </c>
      <c r="N47" s="18">
        <v>0.08</v>
      </c>
      <c r="O47" s="18">
        <v>0.92</v>
      </c>
      <c r="P47" s="18">
        <v>0.82</v>
      </c>
      <c r="Q47" s="193"/>
      <c r="R47" s="173">
        <v>0</v>
      </c>
      <c r="S47" s="173">
        <v>0</v>
      </c>
      <c r="T47" s="173">
        <v>0</v>
      </c>
      <c r="U47" s="268" t="str">
        <f t="shared" si="0"/>
        <v>Normal</v>
      </c>
      <c r="V47" s="268" t="str">
        <f t="shared" si="1"/>
        <v>Normal</v>
      </c>
      <c r="W47" s="270">
        <f t="shared" si="2"/>
        <v>-3.4170854271356785E-2</v>
      </c>
      <c r="X47" s="270">
        <f t="shared" si="3"/>
        <v>0.23735955056179775</v>
      </c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N47" s="21">
        <f t="shared" si="5"/>
        <v>44942</v>
      </c>
      <c r="AO47" s="1" cm="1">
        <f t="array" ref="AO47">SUMIFS(calls_off_JAM,period_JAM,"&gt;="&amp;AN47,period_JAM,"&lt;"&amp;AN48)</f>
        <v>5152</v>
      </c>
      <c r="AP47" s="1" cm="1">
        <f t="array" ref="AP47">SUMIFS(calls_ans_JAM,period_JAM,"&gt;="&amp;AN47,period_JAM,"&lt;"&amp;AN48)</f>
        <v>4942</v>
      </c>
    </row>
    <row r="48" spans="1:42">
      <c r="A48" s="23">
        <v>44698</v>
      </c>
      <c r="B48" s="121">
        <f>IF(YEAR(Table9[[#This Row],[Date]]) = 2022, WEEKNUM(Table9[[#This Row],[Date]])-13, WEEKNUM(Table9[[#This Row],[Date]])+40)</f>
        <v>8</v>
      </c>
      <c r="C48" s="1" t="s">
        <v>49</v>
      </c>
      <c r="D48" s="32" t="s">
        <v>59</v>
      </c>
      <c r="E48" s="1">
        <v>954</v>
      </c>
      <c r="F48" s="1">
        <v>888</v>
      </c>
      <c r="G48" s="19">
        <v>0.15496368038740921</v>
      </c>
      <c r="H48" s="19">
        <v>0.46052631578947367</v>
      </c>
      <c r="I48" s="1">
        <v>12224</v>
      </c>
      <c r="J48" s="1">
        <v>10335</v>
      </c>
      <c r="K48" s="1">
        <v>33193</v>
      </c>
      <c r="L48" s="1">
        <v>26500</v>
      </c>
      <c r="M48" s="18">
        <v>0.79</v>
      </c>
      <c r="N48" s="18">
        <v>7.0000000000000007E-2</v>
      </c>
      <c r="O48" s="18">
        <v>0.92999999999999994</v>
      </c>
      <c r="P48" s="18">
        <v>0.82</v>
      </c>
      <c r="Q48" s="193"/>
      <c r="R48" s="173">
        <v>0</v>
      </c>
      <c r="S48" s="173">
        <v>0</v>
      </c>
      <c r="T48" s="173">
        <v>0</v>
      </c>
      <c r="U48" s="268" t="str">
        <f t="shared" si="0"/>
        <v>Normal</v>
      </c>
      <c r="V48" s="268" t="str">
        <f t="shared" si="1"/>
        <v>Outlier</v>
      </c>
      <c r="W48" s="270">
        <f t="shared" si="2"/>
        <v>0.15496368038740921</v>
      </c>
      <c r="X48" s="270">
        <f t="shared" si="3"/>
        <v>0.46052631578947367</v>
      </c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N48" s="21">
        <f t="shared" si="5"/>
        <v>44949</v>
      </c>
      <c r="AO48" s="1" cm="1">
        <f t="array" ref="AO48">SUMIFS(calls_off_JAM,period_JAM,"&gt;="&amp;AN48,period_JAM,"&lt;"&amp;AN49)</f>
        <v>5456</v>
      </c>
      <c r="AP48" s="1" cm="1">
        <f t="array" ref="AP48">SUMIFS(calls_ans_JAM,period_JAM,"&gt;="&amp;AN48,period_JAM,"&lt;"&amp;AN49)</f>
        <v>5282</v>
      </c>
    </row>
    <row r="49" spans="1:42">
      <c r="A49" s="23">
        <v>44699</v>
      </c>
      <c r="B49" s="121">
        <f>IF(YEAR(Table9[[#This Row],[Date]]) = 2022, WEEKNUM(Table9[[#This Row],[Date]])-13, WEEKNUM(Table9[[#This Row],[Date]])+40)</f>
        <v>8</v>
      </c>
      <c r="C49" s="1" t="s">
        <v>50</v>
      </c>
      <c r="D49" s="1" t="s">
        <v>59</v>
      </c>
      <c r="E49" s="1">
        <v>946</v>
      </c>
      <c r="F49" s="1">
        <v>711</v>
      </c>
      <c r="G49" s="19">
        <v>0.24146981627296588</v>
      </c>
      <c r="H49" s="19">
        <v>-4.1778975741239892E-2</v>
      </c>
      <c r="I49" s="1">
        <v>13170</v>
      </c>
      <c r="J49" s="1">
        <v>11046</v>
      </c>
      <c r="K49" s="1">
        <v>34139</v>
      </c>
      <c r="L49" s="1">
        <v>27211</v>
      </c>
      <c r="M49" s="18">
        <v>0.42</v>
      </c>
      <c r="N49" s="18">
        <v>0.25</v>
      </c>
      <c r="O49" s="18">
        <v>0.75</v>
      </c>
      <c r="P49" s="18">
        <v>0.82</v>
      </c>
      <c r="Q49" s="193"/>
      <c r="R49" s="173">
        <v>0</v>
      </c>
      <c r="S49" s="173">
        <v>0</v>
      </c>
      <c r="T49" s="173">
        <v>0</v>
      </c>
      <c r="U49" s="268" t="str">
        <f t="shared" si="0"/>
        <v>Normal</v>
      </c>
      <c r="V49" s="268" t="str">
        <f t="shared" si="1"/>
        <v>Normal</v>
      </c>
      <c r="W49" s="270">
        <f t="shared" si="2"/>
        <v>0.24146981627296588</v>
      </c>
      <c r="X49" s="270">
        <f t="shared" si="3"/>
        <v>-4.1778975741239892E-2</v>
      </c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N49" s="21">
        <f t="shared" si="5"/>
        <v>44956</v>
      </c>
      <c r="AO49" s="1" cm="1">
        <f t="array" ref="AO49">SUMIFS(calls_off_JAM,period_JAM,"&gt;="&amp;AN49,period_JAM,"&lt;"&amp;AN50)</f>
        <v>5231</v>
      </c>
      <c r="AP49" s="1" cm="1">
        <f t="array" ref="AP49">SUMIFS(calls_ans_JAM,period_JAM,"&gt;="&amp;AN49,period_JAM,"&lt;"&amp;AN50)</f>
        <v>4798</v>
      </c>
    </row>
    <row r="50" spans="1:42">
      <c r="A50" s="23">
        <v>44700</v>
      </c>
      <c r="B50" s="121">
        <f>IF(YEAR(Table9[[#This Row],[Date]]) = 2022, WEEKNUM(Table9[[#This Row],[Date]])-13, WEEKNUM(Table9[[#This Row],[Date]])+40)</f>
        <v>8</v>
      </c>
      <c r="C50" s="1" t="s">
        <v>51</v>
      </c>
      <c r="D50" s="32" t="s">
        <v>59</v>
      </c>
      <c r="E50" s="1">
        <v>890</v>
      </c>
      <c r="F50" s="1">
        <v>815</v>
      </c>
      <c r="G50" s="19">
        <v>1.2514220705346985E-2</v>
      </c>
      <c r="H50" s="19">
        <v>3.1645569620253167E-2</v>
      </c>
      <c r="I50" s="1">
        <v>14060</v>
      </c>
      <c r="J50" s="1">
        <v>11861</v>
      </c>
      <c r="K50" s="1">
        <v>35029</v>
      </c>
      <c r="L50" s="1">
        <v>28026</v>
      </c>
      <c r="M50" s="18">
        <v>0.74</v>
      </c>
      <c r="N50" s="18">
        <v>0.08</v>
      </c>
      <c r="O50" s="18">
        <v>0.92</v>
      </c>
      <c r="P50" s="18">
        <v>0.84</v>
      </c>
      <c r="Q50" s="193"/>
      <c r="R50" s="173">
        <v>0</v>
      </c>
      <c r="S50" s="173">
        <v>0</v>
      </c>
      <c r="T50" s="173">
        <v>0</v>
      </c>
      <c r="U50" s="268" t="str">
        <f t="shared" si="0"/>
        <v>Normal</v>
      </c>
      <c r="V50" s="268" t="str">
        <f t="shared" si="1"/>
        <v>Normal</v>
      </c>
      <c r="W50" s="270">
        <f t="shared" si="2"/>
        <v>1.2514220705346985E-2</v>
      </c>
      <c r="X50" s="270">
        <f t="shared" si="3"/>
        <v>3.1645569620253167E-2</v>
      </c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N50" s="21">
        <f t="shared" si="5"/>
        <v>44963</v>
      </c>
      <c r="AO50" s="1" cm="1">
        <f t="array" ref="AO50">SUMIFS(calls_off_JAM,period_JAM,"&gt;="&amp;AN50,period_JAM,"&lt;"&amp;AN51)</f>
        <v>4704</v>
      </c>
      <c r="AP50" s="1" cm="1">
        <f t="array" ref="AP50">SUMIFS(calls_ans_JAM,period_JAM,"&gt;="&amp;AN50,period_JAM,"&lt;"&amp;AN51)</f>
        <v>4571</v>
      </c>
    </row>
    <row r="51" spans="1:42">
      <c r="A51" s="23">
        <v>44701</v>
      </c>
      <c r="B51" s="121">
        <f>IF(YEAR(Table9[[#This Row],[Date]]) = 2022, WEEKNUM(Table9[[#This Row],[Date]])-13, WEEKNUM(Table9[[#This Row],[Date]])+40)</f>
        <v>8</v>
      </c>
      <c r="C51" s="1" t="s">
        <v>52</v>
      </c>
      <c r="D51" s="1" t="s">
        <v>59</v>
      </c>
      <c r="E51" s="1">
        <v>838</v>
      </c>
      <c r="F51" s="1">
        <v>672</v>
      </c>
      <c r="G51" s="19">
        <v>9.6858638743455502E-2</v>
      </c>
      <c r="H51" s="19">
        <v>-6.6666666666666666E-2</v>
      </c>
      <c r="I51" s="1">
        <v>14898</v>
      </c>
      <c r="J51" s="1">
        <v>12533</v>
      </c>
      <c r="K51" s="1">
        <v>35867</v>
      </c>
      <c r="L51" s="1">
        <v>28698</v>
      </c>
      <c r="M51" s="18">
        <v>0.53</v>
      </c>
      <c r="N51" s="18">
        <v>0.2</v>
      </c>
      <c r="O51" s="18">
        <v>0.8</v>
      </c>
      <c r="P51" s="18">
        <v>0.69</v>
      </c>
      <c r="Q51" s="193"/>
      <c r="R51" s="173">
        <v>0</v>
      </c>
      <c r="S51" s="173">
        <v>0</v>
      </c>
      <c r="T51" s="173">
        <v>0</v>
      </c>
      <c r="U51" s="268" t="str">
        <f t="shared" si="0"/>
        <v>Normal</v>
      </c>
      <c r="V51" s="268" t="str">
        <f t="shared" si="1"/>
        <v>Normal</v>
      </c>
      <c r="W51" s="270">
        <f t="shared" si="2"/>
        <v>9.6858638743455502E-2</v>
      </c>
      <c r="X51" s="270">
        <f t="shared" si="3"/>
        <v>-6.6666666666666666E-2</v>
      </c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N51" s="21">
        <f t="shared" si="5"/>
        <v>44970</v>
      </c>
      <c r="AO51" s="1" cm="1">
        <f t="array" ref="AO51">SUMIFS(calls_off_JAM,period_JAM,"&gt;="&amp;AN51,period_JAM,"&lt;"&amp;AN52)</f>
        <v>4595</v>
      </c>
      <c r="AP51" s="1" cm="1">
        <f t="array" ref="AP51">SUMIFS(calls_ans_JAM,period_JAM,"&gt;="&amp;AN51,period_JAM,"&lt;"&amp;AN52)</f>
        <v>4469</v>
      </c>
    </row>
    <row r="52" spans="1:42">
      <c r="A52" s="23">
        <v>44702</v>
      </c>
      <c r="B52" s="121">
        <f>IF(YEAR(Table9[[#This Row],[Date]]) = 2022, WEEKNUM(Table9[[#This Row],[Date]])-13, WEEKNUM(Table9[[#This Row],[Date]])+40)</f>
        <v>8</v>
      </c>
      <c r="C52" s="1" t="s">
        <v>53</v>
      </c>
      <c r="D52" s="32" t="s">
        <v>59</v>
      </c>
      <c r="E52" s="1">
        <v>677</v>
      </c>
      <c r="F52" s="1">
        <v>636</v>
      </c>
      <c r="G52" s="19">
        <v>-5.3146853146853149E-2</v>
      </c>
      <c r="H52" s="19">
        <v>-3.3434650455927049E-2</v>
      </c>
      <c r="I52" s="1">
        <v>15575</v>
      </c>
      <c r="J52" s="1">
        <v>13169</v>
      </c>
      <c r="K52" s="1">
        <v>36544</v>
      </c>
      <c r="L52" s="1">
        <v>29334</v>
      </c>
      <c r="M52" s="18">
        <v>0.81</v>
      </c>
      <c r="N52" s="18">
        <v>0.06</v>
      </c>
      <c r="O52" s="18">
        <v>0.94</v>
      </c>
      <c r="P52" s="18">
        <v>0.59</v>
      </c>
      <c r="Q52" s="193"/>
      <c r="R52" s="173">
        <v>0</v>
      </c>
      <c r="S52" s="173">
        <v>0</v>
      </c>
      <c r="T52" s="173">
        <v>0</v>
      </c>
      <c r="U52" s="268" t="str">
        <f t="shared" si="0"/>
        <v>Normal</v>
      </c>
      <c r="V52" s="268" t="str">
        <f t="shared" si="1"/>
        <v>Normal</v>
      </c>
      <c r="W52" s="270">
        <f t="shared" si="2"/>
        <v>-5.3146853146853149E-2</v>
      </c>
      <c r="X52" s="270">
        <f t="shared" si="3"/>
        <v>-3.3434650455927049E-2</v>
      </c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N52" s="21">
        <f>AN51+7</f>
        <v>44977</v>
      </c>
      <c r="AO52" s="1" cm="1">
        <f t="array" ref="AO52">SUMIFS(calls_off_JAM,period_JAM,"&gt;="&amp;AN52,period_JAM,"&lt;"&amp;AN53)</f>
        <v>4230</v>
      </c>
      <c r="AP52" s="1" cm="1">
        <f t="array" ref="AP52">SUMIFS(calls_ans_JAM,period_JAM,"&gt;="&amp;AN52,period_JAM,"&lt;"&amp;AN53)</f>
        <v>3957</v>
      </c>
    </row>
    <row r="53" spans="1:42">
      <c r="A53" s="21">
        <v>44703</v>
      </c>
      <c r="B53" s="17">
        <f>IF(YEAR(Table9[[#This Row],[Date]]) = 2022, WEEKNUM(Table9[[#This Row],[Date]])-13, WEEKNUM(Table9[[#This Row],[Date]])+40)</f>
        <v>9</v>
      </c>
      <c r="C53" s="1" t="s">
        <v>47</v>
      </c>
      <c r="D53" s="1" t="s">
        <v>59</v>
      </c>
      <c r="E53" s="1">
        <v>0</v>
      </c>
      <c r="F53" s="1">
        <v>0</v>
      </c>
      <c r="G53" s="19">
        <v>0</v>
      </c>
      <c r="H53" s="19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93"/>
      <c r="R53" s="173">
        <v>0</v>
      </c>
      <c r="S53" s="173">
        <v>0</v>
      </c>
      <c r="T53" s="173">
        <v>0</v>
      </c>
      <c r="U53" s="268" t="str">
        <f t="shared" si="0"/>
        <v>Normal</v>
      </c>
      <c r="V53" s="268" t="str">
        <f t="shared" si="1"/>
        <v>Normal</v>
      </c>
      <c r="W53" s="270">
        <f t="shared" si="2"/>
        <v>0</v>
      </c>
      <c r="X53" s="270">
        <f t="shared" si="3"/>
        <v>0</v>
      </c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N53" s="21">
        <f>AN52+7</f>
        <v>44984</v>
      </c>
      <c r="AO53" s="1" cm="1">
        <f t="array" ref="AO53">SUMIFS(calls_off_JAM,period_JAM,"&gt;="&amp;AN53,period_JAM,"&lt;"&amp;AN54)</f>
        <v>5130</v>
      </c>
      <c r="AP53" s="1" cm="1">
        <f t="array" ref="AP53">SUMIFS(calls_ans_JAM,period_JAM,"&gt;="&amp;AN53,period_JAM,"&lt;"&amp;AN54)</f>
        <v>4916</v>
      </c>
    </row>
    <row r="54" spans="1:42">
      <c r="A54" s="23">
        <v>44704</v>
      </c>
      <c r="B54" s="121">
        <f>IF(YEAR(Table9[[#This Row],[Date]]) = 2022, WEEKNUM(Table9[[#This Row],[Date]])-13, WEEKNUM(Table9[[#This Row],[Date]])+40)</f>
        <v>9</v>
      </c>
      <c r="C54" s="1" t="s">
        <v>63</v>
      </c>
      <c r="D54" s="32" t="s">
        <v>59</v>
      </c>
      <c r="E54" s="1">
        <v>0</v>
      </c>
      <c r="F54" s="1">
        <v>0</v>
      </c>
      <c r="G54" s="19">
        <v>0</v>
      </c>
      <c r="H54" s="19">
        <v>0</v>
      </c>
      <c r="I54" s="1">
        <v>0</v>
      </c>
      <c r="J54" s="1">
        <v>0</v>
      </c>
      <c r="K54" s="1">
        <v>0</v>
      </c>
      <c r="L54" s="1">
        <v>0</v>
      </c>
      <c r="M54" s="18">
        <v>0</v>
      </c>
      <c r="N54" s="18">
        <v>0</v>
      </c>
      <c r="O54" s="18">
        <v>0</v>
      </c>
      <c r="P54" s="18">
        <v>0</v>
      </c>
      <c r="Q54" s="193"/>
      <c r="R54" s="173">
        <v>0</v>
      </c>
      <c r="S54" s="173">
        <v>0</v>
      </c>
      <c r="T54" s="173">
        <v>0</v>
      </c>
      <c r="U54" s="268" t="str">
        <f t="shared" si="0"/>
        <v>Normal</v>
      </c>
      <c r="V54" s="268" t="str">
        <f t="shared" si="1"/>
        <v>Normal</v>
      </c>
      <c r="W54" s="270">
        <f t="shared" si="2"/>
        <v>0</v>
      </c>
      <c r="X54" s="270">
        <f t="shared" si="3"/>
        <v>0</v>
      </c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N54" s="21">
        <f>AN53+7</f>
        <v>44991</v>
      </c>
      <c r="AO54" s="1" cm="1">
        <f t="array" ref="AO54">SUMIFS(calls_off_JAM,period_JAM,"&gt;="&amp;AN54,period_JAM,"&lt;"&amp;AN55)</f>
        <v>5828</v>
      </c>
      <c r="AP54" s="1" cm="1">
        <f t="array" ref="AP54">SUMIFS(calls_ans_JAM,period_JAM,"&gt;="&amp;AN54,period_JAM,"&lt;"&amp;AN55)</f>
        <v>5523</v>
      </c>
    </row>
    <row r="55" spans="1:42">
      <c r="A55" s="23">
        <v>44705</v>
      </c>
      <c r="B55" s="121">
        <f>IF(YEAR(Table9[[#This Row],[Date]]) = 2022, WEEKNUM(Table9[[#This Row],[Date]])-13, WEEKNUM(Table9[[#This Row],[Date]])+40)</f>
        <v>9</v>
      </c>
      <c r="C55" s="1" t="s">
        <v>49</v>
      </c>
      <c r="D55" s="1" t="s">
        <v>59</v>
      </c>
      <c r="E55" s="1">
        <v>954</v>
      </c>
      <c r="F55" s="1">
        <v>906</v>
      </c>
      <c r="G55" s="19">
        <v>0</v>
      </c>
      <c r="H55" s="19">
        <v>2.0270270270270271E-2</v>
      </c>
      <c r="I55" s="1">
        <v>16529</v>
      </c>
      <c r="J55" s="1">
        <v>14075</v>
      </c>
      <c r="K55" s="1">
        <v>37498</v>
      </c>
      <c r="L55" s="1">
        <v>30240</v>
      </c>
      <c r="M55" s="18">
        <v>0.86</v>
      </c>
      <c r="N55" s="18">
        <v>0.05</v>
      </c>
      <c r="O55" s="18">
        <v>0.95</v>
      </c>
      <c r="P55" s="18">
        <v>0.76</v>
      </c>
      <c r="Q55" s="193"/>
      <c r="R55" s="43">
        <v>0</v>
      </c>
      <c r="S55" s="43">
        <v>0</v>
      </c>
      <c r="T55" s="43">
        <v>0</v>
      </c>
      <c r="U55" s="268" t="str">
        <f t="shared" si="0"/>
        <v>Normal</v>
      </c>
      <c r="V55" s="268" t="str">
        <f t="shared" si="1"/>
        <v>Normal</v>
      </c>
      <c r="W55" s="270">
        <f t="shared" si="2"/>
        <v>0</v>
      </c>
      <c r="X55" s="270">
        <f t="shared" si="3"/>
        <v>2.0270270270270271E-2</v>
      </c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N55" s="21">
        <f>AN54+7</f>
        <v>44998</v>
      </c>
      <c r="AO55" s="1" cm="1">
        <f t="array" ref="AO55">SUMIFS(calls_off_JAM,period_JAM,"&gt;="&amp;AN55,period_JAM,"&lt;"&amp;AN56)</f>
        <v>4743</v>
      </c>
      <c r="AP55" s="1" cm="1">
        <f t="array" ref="AP55">SUMIFS(calls_ans_JAM,period_JAM,"&gt;="&amp;AN55,period_JAM,"&lt;"&amp;AN56)</f>
        <v>4466</v>
      </c>
    </row>
    <row r="56" spans="1:42">
      <c r="A56" s="23">
        <v>44706</v>
      </c>
      <c r="B56" s="121">
        <f>IF(YEAR(Table9[[#This Row],[Date]]) = 2022, WEEKNUM(Table9[[#This Row],[Date]])-13, WEEKNUM(Table9[[#This Row],[Date]])+40)</f>
        <v>9</v>
      </c>
      <c r="C56" s="1" t="s">
        <v>50</v>
      </c>
      <c r="D56" s="32" t="s">
        <v>59</v>
      </c>
      <c r="E56" s="1">
        <v>1017</v>
      </c>
      <c r="F56" s="1">
        <v>902</v>
      </c>
      <c r="G56" s="19">
        <v>7.5052854122621568E-2</v>
      </c>
      <c r="H56" s="19">
        <v>0.26863572433192684</v>
      </c>
      <c r="I56" s="1">
        <v>17546</v>
      </c>
      <c r="J56" s="1">
        <v>14977</v>
      </c>
      <c r="K56" s="1">
        <v>38515</v>
      </c>
      <c r="L56" s="1">
        <v>31142</v>
      </c>
      <c r="M56" s="18">
        <v>0.71</v>
      </c>
      <c r="N56" s="18">
        <v>0.11</v>
      </c>
      <c r="O56" s="18">
        <v>0.89</v>
      </c>
      <c r="P56" s="18">
        <v>0.84</v>
      </c>
      <c r="Q56" s="193"/>
      <c r="R56" s="43">
        <v>0</v>
      </c>
      <c r="S56" s="43">
        <v>0</v>
      </c>
      <c r="T56" s="43">
        <v>0</v>
      </c>
      <c r="U56" s="268" t="str">
        <f t="shared" si="0"/>
        <v>Normal</v>
      </c>
      <c r="V56" s="268" t="str">
        <f t="shared" si="1"/>
        <v>Normal</v>
      </c>
      <c r="W56" s="270">
        <f t="shared" si="2"/>
        <v>7.5052854122621568E-2</v>
      </c>
      <c r="X56" s="270">
        <f t="shared" si="3"/>
        <v>0.26863572433192684</v>
      </c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N56" s="21">
        <f t="shared" ref="AN56:AN58" si="6">AN55+7</f>
        <v>45005</v>
      </c>
      <c r="AO56" s="1" cm="1">
        <f t="array" ref="AO56">SUMIFS(calls_off_JAM,period_JAM,"&gt;="&amp;AN56,period_JAM,"&lt;"&amp;AN57)</f>
        <v>5456</v>
      </c>
      <c r="AP56" s="1" cm="1">
        <f t="array" ref="AP56">SUMIFS(calls_ans_JAM,period_JAM,"&gt;="&amp;AN56,period_JAM,"&lt;"&amp;AN57)</f>
        <v>5186</v>
      </c>
    </row>
    <row r="57" spans="1:42">
      <c r="A57" s="23">
        <v>44707</v>
      </c>
      <c r="B57" s="121">
        <f>IF(YEAR(Table9[[#This Row],[Date]]) = 2022, WEEKNUM(Table9[[#This Row],[Date]])-13, WEEKNUM(Table9[[#This Row],[Date]])+40)</f>
        <v>9</v>
      </c>
      <c r="C57" s="1" t="s">
        <v>51</v>
      </c>
      <c r="D57" s="1" t="s">
        <v>59</v>
      </c>
      <c r="E57" s="1">
        <v>1046</v>
      </c>
      <c r="F57" s="1">
        <v>840</v>
      </c>
      <c r="G57" s="19">
        <v>0.1752808988764045</v>
      </c>
      <c r="H57" s="19">
        <v>3.0674846625766871E-2</v>
      </c>
      <c r="I57" s="1">
        <v>18592</v>
      </c>
      <c r="J57" s="1">
        <v>15817</v>
      </c>
      <c r="K57" s="1">
        <v>39561</v>
      </c>
      <c r="L57" s="1">
        <v>31982</v>
      </c>
      <c r="M57" s="18">
        <v>0.4</v>
      </c>
      <c r="N57" s="18">
        <v>0.2</v>
      </c>
      <c r="O57" s="18">
        <v>0.8</v>
      </c>
      <c r="P57" s="18">
        <v>0.86</v>
      </c>
      <c r="Q57" s="193"/>
      <c r="R57" s="43">
        <v>0</v>
      </c>
      <c r="S57" s="43">
        <v>0</v>
      </c>
      <c r="T57" s="43">
        <v>0</v>
      </c>
      <c r="U57" s="268" t="str">
        <f t="shared" si="0"/>
        <v>Normal</v>
      </c>
      <c r="V57" s="268" t="str">
        <f t="shared" si="1"/>
        <v>Normal</v>
      </c>
      <c r="W57" s="270">
        <f t="shared" si="2"/>
        <v>0.1752808988764045</v>
      </c>
      <c r="X57" s="270">
        <f t="shared" si="3"/>
        <v>3.0674846625766871E-2</v>
      </c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65"/>
      <c r="AJ57" s="265"/>
      <c r="AK57" s="265"/>
      <c r="AL57" s="265"/>
      <c r="AN57" s="21">
        <f t="shared" si="6"/>
        <v>45012</v>
      </c>
      <c r="AO57" s="1" cm="1">
        <f t="array" ref="AO57">SUMIFS(calls_off_JAM,period_JAM,"&gt;="&amp;AN57,period_JAM,"&lt;"&amp;AN58)</f>
        <v>4657</v>
      </c>
      <c r="AP57" s="1" cm="1">
        <f t="array" ref="AP57">SUMIFS(calls_ans_JAM,period_JAM,"&gt;="&amp;AN57,period_JAM,"&lt;"&amp;AN58)</f>
        <v>4458</v>
      </c>
    </row>
    <row r="58" spans="1:42">
      <c r="A58" s="23">
        <v>44708</v>
      </c>
      <c r="B58" s="121">
        <f>IF(YEAR(Table9[[#This Row],[Date]]) = 2022, WEEKNUM(Table9[[#This Row],[Date]])-13, WEEKNUM(Table9[[#This Row],[Date]])+40)</f>
        <v>9</v>
      </c>
      <c r="C58" s="1" t="s">
        <v>52</v>
      </c>
      <c r="D58" s="32" t="s">
        <v>59</v>
      </c>
      <c r="E58" s="1">
        <v>991</v>
      </c>
      <c r="F58" s="1">
        <v>803</v>
      </c>
      <c r="G58" s="19">
        <v>0.18257756563245822</v>
      </c>
      <c r="H58" s="19">
        <v>0.19494047619047619</v>
      </c>
      <c r="I58" s="1">
        <v>19583</v>
      </c>
      <c r="J58" s="1">
        <v>16620</v>
      </c>
      <c r="K58" s="1">
        <v>40552</v>
      </c>
      <c r="L58" s="1">
        <v>32785</v>
      </c>
      <c r="M58" s="18">
        <v>0.47</v>
      </c>
      <c r="N58" s="18">
        <v>0.19</v>
      </c>
      <c r="O58" s="18">
        <v>0.81</v>
      </c>
      <c r="P58" s="18">
        <v>0.83</v>
      </c>
      <c r="Q58" s="193"/>
      <c r="R58" s="43">
        <v>0</v>
      </c>
      <c r="S58" s="43">
        <v>0</v>
      </c>
      <c r="T58" s="43">
        <v>0</v>
      </c>
      <c r="U58" s="268" t="str">
        <f t="shared" si="0"/>
        <v>Normal</v>
      </c>
      <c r="V58" s="268" t="str">
        <f t="shared" si="1"/>
        <v>Normal</v>
      </c>
      <c r="W58" s="270">
        <f t="shared" si="2"/>
        <v>0.18257756563245822</v>
      </c>
      <c r="X58" s="270">
        <f t="shared" si="3"/>
        <v>0.19494047619047619</v>
      </c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65"/>
      <c r="AJ58" s="265"/>
      <c r="AK58" s="265"/>
      <c r="AL58" s="265"/>
      <c r="AN58" s="21">
        <f t="shared" si="6"/>
        <v>45019</v>
      </c>
      <c r="AO58" s="1" cm="1">
        <f t="array" ref="AO58">SUMIFS(calls_off_JAM,period_JAM,"&gt;="&amp;AN58,period_JAM,"&lt;"&amp;AN59)</f>
        <v>0</v>
      </c>
      <c r="AP58" s="1" cm="1">
        <f t="array" ref="AP58">SUMIFS(calls_ans_JAM,period_JAM,"&gt;="&amp;AN58,period_JAM,"&lt;"&amp;AN59)</f>
        <v>0</v>
      </c>
    </row>
    <row r="59" spans="1:42">
      <c r="A59" s="23">
        <v>44709</v>
      </c>
      <c r="B59" s="121">
        <f>IF(YEAR(Table9[[#This Row],[Date]]) = 2022, WEEKNUM(Table9[[#This Row],[Date]])-13, WEEKNUM(Table9[[#This Row],[Date]])+40)</f>
        <v>9</v>
      </c>
      <c r="C59" s="1" t="s">
        <v>53</v>
      </c>
      <c r="D59" s="1" t="s">
        <v>59</v>
      </c>
      <c r="E59" s="1">
        <v>784</v>
      </c>
      <c r="F59" s="1">
        <v>608</v>
      </c>
      <c r="G59" s="19">
        <v>0.15805022156573117</v>
      </c>
      <c r="H59" s="19">
        <v>-4.40251572327044E-2</v>
      </c>
      <c r="I59" s="1">
        <v>20367</v>
      </c>
      <c r="J59" s="1">
        <v>17228</v>
      </c>
      <c r="K59" s="1">
        <v>41336</v>
      </c>
      <c r="L59" s="1">
        <v>33393</v>
      </c>
      <c r="M59" s="18">
        <v>0.37</v>
      </c>
      <c r="N59" s="18">
        <v>0.22</v>
      </c>
      <c r="O59" s="18">
        <v>0.78</v>
      </c>
      <c r="P59" s="18">
        <v>0.8</v>
      </c>
      <c r="Q59" s="193"/>
      <c r="R59" s="43">
        <v>0</v>
      </c>
      <c r="S59" s="43">
        <v>0</v>
      </c>
      <c r="T59" s="43">
        <v>0</v>
      </c>
      <c r="U59" s="268" t="str">
        <f t="shared" si="0"/>
        <v>Normal</v>
      </c>
      <c r="V59" s="268" t="str">
        <f t="shared" si="1"/>
        <v>Normal</v>
      </c>
      <c r="W59" s="270">
        <f t="shared" si="2"/>
        <v>0.15805022156573117</v>
      </c>
      <c r="X59" s="270">
        <f t="shared" si="3"/>
        <v>-4.40251572327044E-2</v>
      </c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</row>
    <row r="60" spans="1:42">
      <c r="A60" s="21">
        <v>44710</v>
      </c>
      <c r="B60" s="17">
        <f>IF(YEAR(Table9[[#This Row],[Date]]) = 2022, WEEKNUM(Table9[[#This Row],[Date]])-13, WEEKNUM(Table9[[#This Row],[Date]])+40)</f>
        <v>10</v>
      </c>
      <c r="C60" s="1" t="s">
        <v>47</v>
      </c>
      <c r="D60" s="32" t="s">
        <v>59</v>
      </c>
      <c r="E60" s="1">
        <v>0</v>
      </c>
      <c r="F60" s="1">
        <v>0</v>
      </c>
      <c r="G60" s="19">
        <v>0</v>
      </c>
      <c r="H60" s="19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193"/>
      <c r="R60" s="173">
        <v>0</v>
      </c>
      <c r="S60" s="173">
        <v>0</v>
      </c>
      <c r="T60" s="43">
        <v>0</v>
      </c>
      <c r="U60" s="268" t="str">
        <f t="shared" si="0"/>
        <v>Normal</v>
      </c>
      <c r="V60" s="268" t="str">
        <f t="shared" si="1"/>
        <v>Normal</v>
      </c>
      <c r="W60" s="270">
        <f t="shared" si="2"/>
        <v>0</v>
      </c>
      <c r="X60" s="270">
        <f t="shared" si="3"/>
        <v>0</v>
      </c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</row>
    <row r="61" spans="1:42">
      <c r="A61" s="23">
        <v>44711</v>
      </c>
      <c r="B61" s="121">
        <f>IF(YEAR(Table9[[#This Row],[Date]]) = 2022, WEEKNUM(Table9[[#This Row],[Date]])-13, WEEKNUM(Table9[[#This Row],[Date]])+40)</f>
        <v>10</v>
      </c>
      <c r="C61" s="1" t="s">
        <v>48</v>
      </c>
      <c r="D61" s="1" t="s">
        <v>59</v>
      </c>
      <c r="E61" s="1">
        <v>1306</v>
      </c>
      <c r="F61" s="1">
        <v>927</v>
      </c>
      <c r="G61" s="19">
        <v>0</v>
      </c>
      <c r="H61" s="19">
        <v>0</v>
      </c>
      <c r="I61" s="1">
        <v>21673</v>
      </c>
      <c r="J61" s="1">
        <v>18155</v>
      </c>
      <c r="K61" s="1">
        <v>42642</v>
      </c>
      <c r="L61" s="1">
        <v>34320</v>
      </c>
      <c r="M61" s="18">
        <v>0.28000000000000003</v>
      </c>
      <c r="N61" s="18">
        <v>0.28999999999999998</v>
      </c>
      <c r="O61" s="18">
        <v>0.71</v>
      </c>
      <c r="P61" s="18">
        <v>0.78</v>
      </c>
      <c r="Q61" s="193"/>
      <c r="R61" s="43">
        <v>0</v>
      </c>
      <c r="S61" s="43">
        <v>0</v>
      </c>
      <c r="T61" s="43">
        <v>0</v>
      </c>
      <c r="U61" s="268" t="str">
        <f t="shared" si="0"/>
        <v>Normal</v>
      </c>
      <c r="V61" s="268" t="str">
        <f t="shared" si="1"/>
        <v>Normal</v>
      </c>
      <c r="W61" s="270">
        <f t="shared" si="2"/>
        <v>0</v>
      </c>
      <c r="X61" s="270">
        <f t="shared" si="3"/>
        <v>0</v>
      </c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  <c r="AI61" s="265"/>
      <c r="AJ61" s="265"/>
      <c r="AK61" s="265"/>
      <c r="AL61" s="265"/>
    </row>
    <row r="62" spans="1:42">
      <c r="A62" s="77">
        <v>44712</v>
      </c>
      <c r="B62" s="303">
        <f>IF(YEAR(Table9[[#This Row],[Date]]) = 2022, WEEKNUM(Table9[[#This Row],[Date]])-13, WEEKNUM(Table9[[#This Row],[Date]])+40)</f>
        <v>10</v>
      </c>
      <c r="C62" s="68" t="s">
        <v>49</v>
      </c>
      <c r="D62" s="68" t="s">
        <v>59</v>
      </c>
      <c r="E62" s="68">
        <v>980</v>
      </c>
      <c r="F62" s="68">
        <v>733</v>
      </c>
      <c r="G62" s="148">
        <v>2.7253668763102725E-2</v>
      </c>
      <c r="H62" s="148">
        <v>-0.19094922737306844</v>
      </c>
      <c r="I62" s="68">
        <v>22653</v>
      </c>
      <c r="J62" s="68">
        <v>18888</v>
      </c>
      <c r="K62" s="68">
        <v>43622</v>
      </c>
      <c r="L62" s="68">
        <v>35053</v>
      </c>
      <c r="M62" s="2">
        <v>0.28999999999999998</v>
      </c>
      <c r="N62" s="2">
        <v>0.24</v>
      </c>
      <c r="O62" s="2">
        <v>0.76</v>
      </c>
      <c r="P62" s="2">
        <v>0.75</v>
      </c>
      <c r="Q62" s="193"/>
      <c r="R62" s="146">
        <v>0</v>
      </c>
      <c r="S62" s="146">
        <v>0</v>
      </c>
      <c r="T62" s="43">
        <v>0</v>
      </c>
      <c r="U62" s="268" t="str">
        <f t="shared" si="0"/>
        <v>Normal</v>
      </c>
      <c r="V62" s="268" t="str">
        <f t="shared" si="1"/>
        <v>Normal</v>
      </c>
      <c r="W62" s="270">
        <f t="shared" si="2"/>
        <v>2.7253668763102725E-2</v>
      </c>
      <c r="X62" s="270">
        <f t="shared" si="3"/>
        <v>-0.19094922737306844</v>
      </c>
      <c r="Y62" s="265"/>
      <c r="Z62" s="265"/>
      <c r="AA62" s="265"/>
      <c r="AB62" s="265"/>
      <c r="AC62" s="265"/>
      <c r="AD62" s="265"/>
      <c r="AE62" s="265"/>
      <c r="AF62" s="265"/>
      <c r="AG62" s="265"/>
      <c r="AH62" s="265"/>
      <c r="AI62" s="265"/>
      <c r="AJ62" s="265"/>
      <c r="AK62" s="265"/>
      <c r="AL62" s="265"/>
    </row>
    <row r="63" spans="1:42">
      <c r="A63" s="23">
        <v>44713</v>
      </c>
      <c r="B63" s="121">
        <f>IF(YEAR(Table9[[#This Row],[Date]]) = 2022, WEEKNUM(Table9[[#This Row],[Date]])-13, WEEKNUM(Table9[[#This Row],[Date]])+40)</f>
        <v>10</v>
      </c>
      <c r="C63" s="38" t="s">
        <v>50</v>
      </c>
      <c r="D63" s="1" t="s">
        <v>59</v>
      </c>
      <c r="E63" s="38">
        <v>902</v>
      </c>
      <c r="F63" s="38">
        <v>880</v>
      </c>
      <c r="G63" s="20">
        <v>-0.11307767944936087</v>
      </c>
      <c r="H63" s="20">
        <v>-2.4390243902439025E-2</v>
      </c>
      <c r="I63" s="38">
        <v>902</v>
      </c>
      <c r="J63" s="38">
        <v>880</v>
      </c>
      <c r="K63" s="38">
        <v>44524</v>
      </c>
      <c r="L63" s="38">
        <v>35933</v>
      </c>
      <c r="M63" s="48">
        <v>0.93</v>
      </c>
      <c r="N63" s="48">
        <v>0.02</v>
      </c>
      <c r="O63" s="48">
        <v>0.98</v>
      </c>
      <c r="P63" s="48">
        <v>0.81</v>
      </c>
      <c r="Q63" s="193"/>
      <c r="R63" s="219">
        <v>0</v>
      </c>
      <c r="S63" s="219">
        <v>0</v>
      </c>
      <c r="T63" s="43">
        <v>0</v>
      </c>
      <c r="U63" s="268" t="str">
        <f t="shared" si="0"/>
        <v>Normal</v>
      </c>
      <c r="V63" s="268" t="str">
        <f t="shared" si="1"/>
        <v>Normal</v>
      </c>
      <c r="W63" s="270">
        <f t="shared" si="2"/>
        <v>-0.11307767944936087</v>
      </c>
      <c r="X63" s="270">
        <f t="shared" si="3"/>
        <v>-2.4390243902439025E-2</v>
      </c>
      <c r="Y63" s="265"/>
      <c r="Z63" s="265"/>
      <c r="AA63" s="265"/>
      <c r="AB63" s="265"/>
      <c r="AC63" s="265"/>
      <c r="AD63" s="265"/>
      <c r="AE63" s="265"/>
      <c r="AF63" s="265"/>
      <c r="AG63" s="265"/>
      <c r="AH63" s="265"/>
      <c r="AI63" s="265"/>
      <c r="AJ63" s="265"/>
      <c r="AK63" s="265"/>
      <c r="AL63" s="265"/>
    </row>
    <row r="64" spans="1:42">
      <c r="A64" s="23">
        <v>44714</v>
      </c>
      <c r="B64" s="121">
        <f>IF(YEAR(Table9[[#This Row],[Date]]) = 2022, WEEKNUM(Table9[[#This Row],[Date]])-13, WEEKNUM(Table9[[#This Row],[Date]])+40)</f>
        <v>10</v>
      </c>
      <c r="C64" s="1" t="s">
        <v>51</v>
      </c>
      <c r="D64" s="32" t="s">
        <v>59</v>
      </c>
      <c r="E64" s="1">
        <v>940</v>
      </c>
      <c r="F64" s="1">
        <v>776</v>
      </c>
      <c r="G64" s="20">
        <v>-0.10133843212237094</v>
      </c>
      <c r="H64" s="20">
        <v>-7.6190476190476197E-2</v>
      </c>
      <c r="I64" s="38">
        <v>1842</v>
      </c>
      <c r="J64" s="38">
        <v>1656</v>
      </c>
      <c r="K64" s="38">
        <v>45464</v>
      </c>
      <c r="L64" s="38">
        <v>36709</v>
      </c>
      <c r="M64" s="18">
        <v>0.56999999999999995</v>
      </c>
      <c r="N64" s="18">
        <v>0.17</v>
      </c>
      <c r="O64" s="18">
        <v>0.83</v>
      </c>
      <c r="P64" s="18">
        <v>0.6</v>
      </c>
      <c r="Q64" s="193"/>
      <c r="R64" s="173">
        <v>0</v>
      </c>
      <c r="S64" s="173">
        <v>0</v>
      </c>
      <c r="T64" s="43">
        <v>0</v>
      </c>
      <c r="U64" s="268" t="str">
        <f t="shared" si="0"/>
        <v>Normal</v>
      </c>
      <c r="V64" s="268" t="str">
        <f t="shared" si="1"/>
        <v>Normal</v>
      </c>
      <c r="W64" s="270">
        <f t="shared" si="2"/>
        <v>-0.10133843212237094</v>
      </c>
      <c r="X64" s="270">
        <f t="shared" si="3"/>
        <v>-7.6190476190476197E-2</v>
      </c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</row>
    <row r="65" spans="1:38">
      <c r="A65" s="23">
        <v>44715</v>
      </c>
      <c r="B65" s="121">
        <f>IF(YEAR(Table9[[#This Row],[Date]]) = 2022, WEEKNUM(Table9[[#This Row],[Date]])-13, WEEKNUM(Table9[[#This Row],[Date]])+40)</f>
        <v>10</v>
      </c>
      <c r="C65" s="1" t="s">
        <v>52</v>
      </c>
      <c r="D65" s="1" t="s">
        <v>59</v>
      </c>
      <c r="E65" s="1">
        <v>833</v>
      </c>
      <c r="F65" s="1">
        <v>769</v>
      </c>
      <c r="G65" s="20">
        <v>-0.15943491422805248</v>
      </c>
      <c r="H65" s="20">
        <v>-4.2341220423412207E-2</v>
      </c>
      <c r="I65" s="38">
        <v>2675</v>
      </c>
      <c r="J65" s="38">
        <v>2425</v>
      </c>
      <c r="K65" s="38">
        <v>46297</v>
      </c>
      <c r="L65" s="38">
        <v>37478</v>
      </c>
      <c r="M65" s="18">
        <v>0.81</v>
      </c>
      <c r="N65" s="18">
        <v>0.08</v>
      </c>
      <c r="O65" s="18">
        <v>0.92</v>
      </c>
      <c r="P65" s="18">
        <v>0.59</v>
      </c>
      <c r="Q65" s="193"/>
      <c r="R65" s="173">
        <v>0</v>
      </c>
      <c r="S65" s="173">
        <v>0</v>
      </c>
      <c r="T65" s="43">
        <v>0</v>
      </c>
      <c r="U65" s="268" t="str">
        <f t="shared" si="0"/>
        <v>Normal</v>
      </c>
      <c r="V65" s="268" t="str">
        <f t="shared" si="1"/>
        <v>Normal</v>
      </c>
      <c r="W65" s="270">
        <f t="shared" si="2"/>
        <v>-0.15943491422805248</v>
      </c>
      <c r="X65" s="270">
        <f t="shared" si="3"/>
        <v>-4.2341220423412207E-2</v>
      </c>
      <c r="Y65" s="265"/>
      <c r="Z65" s="265"/>
      <c r="AA65" s="265"/>
      <c r="AB65" s="265"/>
      <c r="AC65" s="265"/>
      <c r="AD65" s="265"/>
      <c r="AE65" s="265"/>
      <c r="AF65" s="265"/>
      <c r="AG65" s="265"/>
      <c r="AH65" s="265"/>
      <c r="AI65" s="265"/>
      <c r="AJ65" s="265"/>
      <c r="AK65" s="265"/>
      <c r="AL65" s="265"/>
    </row>
    <row r="66" spans="1:38">
      <c r="A66" s="23">
        <v>44716</v>
      </c>
      <c r="B66" s="121">
        <f>IF(YEAR(Table9[[#This Row],[Date]]) = 2022, WEEKNUM(Table9[[#This Row],[Date]])-13, WEEKNUM(Table9[[#This Row],[Date]])+40)</f>
        <v>10</v>
      </c>
      <c r="C66" s="1" t="s">
        <v>53</v>
      </c>
      <c r="D66" s="32" t="s">
        <v>59</v>
      </c>
      <c r="E66" s="1">
        <v>734</v>
      </c>
      <c r="F66" s="1">
        <v>606</v>
      </c>
      <c r="G66" s="20">
        <v>-6.3775510204081634E-2</v>
      </c>
      <c r="H66" s="20">
        <v>-3.2894736842105261E-3</v>
      </c>
      <c r="I66" s="38">
        <v>3409</v>
      </c>
      <c r="J66" s="38">
        <v>3031</v>
      </c>
      <c r="K66" s="38">
        <v>47031</v>
      </c>
      <c r="L66" s="38">
        <v>38084</v>
      </c>
      <c r="M66" s="18">
        <v>0.55000000000000004</v>
      </c>
      <c r="N66" s="18">
        <v>0.17</v>
      </c>
      <c r="O66" s="18">
        <v>0.83</v>
      </c>
      <c r="P66" s="18">
        <v>0.7</v>
      </c>
      <c r="Q66" s="193"/>
      <c r="R66" s="173">
        <v>0</v>
      </c>
      <c r="S66" s="173">
        <v>0</v>
      </c>
      <c r="T66" s="43">
        <v>0</v>
      </c>
      <c r="U66" s="268" t="str">
        <f t="shared" si="0"/>
        <v>Normal</v>
      </c>
      <c r="V66" s="268" t="str">
        <f t="shared" si="1"/>
        <v>Normal</v>
      </c>
      <c r="W66" s="270">
        <f t="shared" si="2"/>
        <v>-6.3775510204081634E-2</v>
      </c>
      <c r="X66" s="270">
        <f t="shared" si="3"/>
        <v>-3.2894736842105261E-3</v>
      </c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</row>
    <row r="67" spans="1:38">
      <c r="A67" s="21">
        <v>44717</v>
      </c>
      <c r="B67" s="17">
        <f>IF(YEAR(Table9[[#This Row],[Date]]) = 2022, WEEKNUM(Table9[[#This Row],[Date]])-13, WEEKNUM(Table9[[#This Row],[Date]])+40)</f>
        <v>11</v>
      </c>
      <c r="C67" s="1" t="s">
        <v>47</v>
      </c>
      <c r="D67" s="1" t="s">
        <v>59</v>
      </c>
      <c r="E67" s="1">
        <v>0</v>
      </c>
      <c r="F67" s="1">
        <v>0</v>
      </c>
      <c r="G67" s="19">
        <v>0</v>
      </c>
      <c r="H67" s="19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93"/>
      <c r="R67" s="173">
        <v>0</v>
      </c>
      <c r="S67" s="173">
        <v>0</v>
      </c>
      <c r="T67" s="43">
        <v>0</v>
      </c>
      <c r="U67" s="268" t="str">
        <f t="shared" ref="U67:U130" si="7">IF(OR(G67&lt;$AA$5,G67&gt;$AB$5), "Outlier", "Normal")</f>
        <v>Normal</v>
      </c>
      <c r="V67" s="268" t="str">
        <f t="shared" ref="V67:V130" si="8">IF(OR(H67&lt;$AA$6,H67&gt;$AB$6), "Outlier", "Normal")</f>
        <v>Normal</v>
      </c>
      <c r="W67" s="270">
        <f t="shared" ref="W67:W130" si="9">IF(U67="Normal",$G67,IF($G67&lt;150%, $G67, $AA$9))</f>
        <v>0</v>
      </c>
      <c r="X67" s="270">
        <f t="shared" ref="X67:X130" si="10">IF(V67="Normal",$H67,IF($H67&lt;150%, $H67, $AE$9))</f>
        <v>0</v>
      </c>
      <c r="Y67" s="265"/>
      <c r="Z67" s="265"/>
      <c r="AA67" s="265"/>
      <c r="AB67" s="265"/>
      <c r="AC67" s="265"/>
      <c r="AD67" s="265"/>
      <c r="AE67" s="265"/>
      <c r="AF67" s="265"/>
      <c r="AG67" s="265"/>
      <c r="AH67" s="265"/>
      <c r="AI67" s="265"/>
      <c r="AJ67" s="265"/>
      <c r="AK67" s="265"/>
      <c r="AL67" s="265"/>
    </row>
    <row r="68" spans="1:38">
      <c r="A68" s="23">
        <v>44718</v>
      </c>
      <c r="B68" s="121">
        <f>IF(YEAR(Table9[[#This Row],[Date]]) = 2022, WEEKNUM(Table9[[#This Row],[Date]])-13, WEEKNUM(Table9[[#This Row],[Date]])+40)</f>
        <v>11</v>
      </c>
      <c r="C68" s="1" t="s">
        <v>48</v>
      </c>
      <c r="D68" s="32" t="s">
        <v>59</v>
      </c>
      <c r="E68" s="1">
        <v>977</v>
      </c>
      <c r="F68" s="1">
        <v>948</v>
      </c>
      <c r="G68" s="20">
        <v>-0.25191424196018375</v>
      </c>
      <c r="H68" s="20">
        <v>2.2653721682847898E-2</v>
      </c>
      <c r="I68" s="38">
        <v>4386</v>
      </c>
      <c r="J68" s="38">
        <v>3979</v>
      </c>
      <c r="K68" s="38">
        <v>48008</v>
      </c>
      <c r="L68" s="38">
        <v>39032</v>
      </c>
      <c r="M68" s="18">
        <v>0.91579999999999995</v>
      </c>
      <c r="N68" s="18">
        <v>2.9682702149437051E-2</v>
      </c>
      <c r="O68" s="18">
        <v>0.97031729785056298</v>
      </c>
      <c r="P68" s="18">
        <v>0.67521367521367515</v>
      </c>
      <c r="Q68" s="193"/>
      <c r="R68" s="173">
        <v>0</v>
      </c>
      <c r="S68" s="173">
        <v>0</v>
      </c>
      <c r="T68" s="43">
        <v>0</v>
      </c>
      <c r="U68" s="268" t="str">
        <f t="shared" si="7"/>
        <v>Normal</v>
      </c>
      <c r="V68" s="268" t="str">
        <f t="shared" si="8"/>
        <v>Normal</v>
      </c>
      <c r="W68" s="270">
        <f t="shared" si="9"/>
        <v>-0.25191424196018375</v>
      </c>
      <c r="X68" s="270">
        <f t="shared" si="10"/>
        <v>2.2653721682847898E-2</v>
      </c>
      <c r="Y68" s="265"/>
      <c r="Z68" s="265"/>
      <c r="AA68" s="265"/>
      <c r="AB68" s="265"/>
      <c r="AC68" s="265"/>
      <c r="AD68" s="265"/>
      <c r="AE68" s="265"/>
      <c r="AF68" s="265"/>
      <c r="AG68" s="265"/>
      <c r="AH68" s="265"/>
      <c r="AI68" s="265"/>
      <c r="AJ68" s="265"/>
      <c r="AK68" s="265"/>
      <c r="AL68" s="265"/>
    </row>
    <row r="69" spans="1:38">
      <c r="A69" s="23">
        <v>44719</v>
      </c>
      <c r="B69" s="121">
        <f>IF(YEAR(Table9[[#This Row],[Date]]) = 2022, WEEKNUM(Table9[[#This Row],[Date]])-13, WEEKNUM(Table9[[#This Row],[Date]])+40)</f>
        <v>11</v>
      </c>
      <c r="C69" s="1" t="s">
        <v>49</v>
      </c>
      <c r="D69" s="1" t="s">
        <v>59</v>
      </c>
      <c r="E69" s="1">
        <v>1003</v>
      </c>
      <c r="F69" s="1">
        <v>966</v>
      </c>
      <c r="G69" s="20">
        <v>2.3469387755102041E-2</v>
      </c>
      <c r="H69" s="20">
        <v>0.31787175989085947</v>
      </c>
      <c r="I69" s="38">
        <v>5389</v>
      </c>
      <c r="J69" s="38">
        <v>4945</v>
      </c>
      <c r="K69" s="38">
        <v>49011</v>
      </c>
      <c r="L69" s="38">
        <v>39998</v>
      </c>
      <c r="M69" s="18">
        <v>0.9173</v>
      </c>
      <c r="N69" s="18">
        <v>3.589232303090728E-2</v>
      </c>
      <c r="O69" s="18">
        <v>0.96311066799601197</v>
      </c>
      <c r="P69" s="18">
        <v>0.63888888888888884</v>
      </c>
      <c r="Q69" s="193"/>
      <c r="R69" s="173">
        <v>0</v>
      </c>
      <c r="S69" s="173">
        <v>0</v>
      </c>
      <c r="T69" s="43">
        <v>0</v>
      </c>
      <c r="U69" s="268" t="str">
        <f t="shared" si="7"/>
        <v>Normal</v>
      </c>
      <c r="V69" s="268" t="str">
        <f t="shared" si="8"/>
        <v>Normal</v>
      </c>
      <c r="W69" s="270">
        <f t="shared" si="9"/>
        <v>2.3469387755102041E-2</v>
      </c>
      <c r="X69" s="270">
        <f t="shared" si="10"/>
        <v>0.31787175989085947</v>
      </c>
      <c r="Y69" s="265"/>
      <c r="Z69" s="265"/>
      <c r="AA69" s="265"/>
      <c r="AB69" s="265"/>
      <c r="AC69" s="265"/>
      <c r="AD69" s="265"/>
      <c r="AE69" s="265"/>
      <c r="AF69" s="265"/>
      <c r="AG69" s="265"/>
      <c r="AH69" s="265"/>
      <c r="AI69" s="265"/>
      <c r="AJ69" s="265"/>
      <c r="AK69" s="265"/>
      <c r="AL69" s="265"/>
    </row>
    <row r="70" spans="1:38">
      <c r="A70" s="23">
        <v>44720</v>
      </c>
      <c r="B70" s="121">
        <f>IF(YEAR(Table9[[#This Row],[Date]]) = 2022, WEEKNUM(Table9[[#This Row],[Date]])-13, WEEKNUM(Table9[[#This Row],[Date]])+40)</f>
        <v>11</v>
      </c>
      <c r="C70" s="1" t="s">
        <v>50</v>
      </c>
      <c r="D70" s="32" t="s">
        <v>59</v>
      </c>
      <c r="E70" s="1">
        <v>1073</v>
      </c>
      <c r="F70" s="1">
        <v>878</v>
      </c>
      <c r="G70" s="20">
        <v>0.18957871396895787</v>
      </c>
      <c r="H70" s="20">
        <v>-2.2727272727272726E-3</v>
      </c>
      <c r="I70" s="38">
        <v>6462</v>
      </c>
      <c r="J70" s="38">
        <v>5823</v>
      </c>
      <c r="K70" s="38">
        <v>50084</v>
      </c>
      <c r="L70" s="38">
        <v>40876</v>
      </c>
      <c r="M70" s="18">
        <v>0.47049999999999997</v>
      </c>
      <c r="N70" s="18">
        <v>0.18080149114631874</v>
      </c>
      <c r="O70" s="18">
        <v>0.81826654240447338</v>
      </c>
      <c r="P70" s="18">
        <v>0.62535612535612528</v>
      </c>
      <c r="Q70" s="193"/>
      <c r="R70" s="173">
        <v>0</v>
      </c>
      <c r="S70" s="173">
        <v>0</v>
      </c>
      <c r="T70" s="43">
        <v>0</v>
      </c>
      <c r="U70" s="268" t="str">
        <f t="shared" si="7"/>
        <v>Normal</v>
      </c>
      <c r="V70" s="268" t="str">
        <f t="shared" si="8"/>
        <v>Normal</v>
      </c>
      <c r="W70" s="270">
        <f t="shared" si="9"/>
        <v>0.18957871396895787</v>
      </c>
      <c r="X70" s="270">
        <f t="shared" si="10"/>
        <v>-2.2727272727272726E-3</v>
      </c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  <c r="AI70" s="265"/>
      <c r="AJ70" s="265"/>
      <c r="AK70" s="265"/>
      <c r="AL70" s="265"/>
    </row>
    <row r="71" spans="1:38">
      <c r="A71" s="23">
        <v>44721</v>
      </c>
      <c r="B71" s="121">
        <f>IF(YEAR(Table9[[#This Row],[Date]]) = 2022, WEEKNUM(Table9[[#This Row],[Date]])-13, WEEKNUM(Table9[[#This Row],[Date]])+40)</f>
        <v>11</v>
      </c>
      <c r="C71" s="1" t="s">
        <v>51</v>
      </c>
      <c r="D71" s="1" t="s">
        <v>59</v>
      </c>
      <c r="E71" s="1">
        <v>868</v>
      </c>
      <c r="F71" s="1">
        <v>809</v>
      </c>
      <c r="G71" s="20">
        <v>-7.6595744680851063E-2</v>
      </c>
      <c r="H71" s="20">
        <v>4.252577319587629E-2</v>
      </c>
      <c r="I71" s="38">
        <v>7330</v>
      </c>
      <c r="J71" s="38">
        <v>6632</v>
      </c>
      <c r="K71" s="38">
        <v>50952</v>
      </c>
      <c r="L71" s="38">
        <v>41685</v>
      </c>
      <c r="M71" s="18">
        <v>0.83435000000000004</v>
      </c>
      <c r="N71" s="18">
        <v>6.6820276497695855E-2</v>
      </c>
      <c r="O71" s="18">
        <v>0.9320276497695853</v>
      </c>
      <c r="P71" s="18">
        <v>0.5762108262108262</v>
      </c>
      <c r="Q71" s="193"/>
      <c r="R71" s="173">
        <v>0</v>
      </c>
      <c r="S71" s="173">
        <v>0</v>
      </c>
      <c r="T71" s="43">
        <v>0</v>
      </c>
      <c r="U71" s="268" t="str">
        <f t="shared" si="7"/>
        <v>Normal</v>
      </c>
      <c r="V71" s="268" t="str">
        <f t="shared" si="8"/>
        <v>Normal</v>
      </c>
      <c r="W71" s="270">
        <f t="shared" si="9"/>
        <v>-7.6595744680851063E-2</v>
      </c>
      <c r="X71" s="270">
        <f t="shared" si="10"/>
        <v>4.252577319587629E-2</v>
      </c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</row>
    <row r="72" spans="1:38">
      <c r="A72" s="23">
        <v>44722</v>
      </c>
      <c r="B72" s="121">
        <f>IF(YEAR(Table9[[#This Row],[Date]]) = 2022, WEEKNUM(Table9[[#This Row],[Date]])-13, WEEKNUM(Table9[[#This Row],[Date]])+40)</f>
        <v>11</v>
      </c>
      <c r="C72" s="1" t="s">
        <v>52</v>
      </c>
      <c r="D72" s="32" t="s">
        <v>59</v>
      </c>
      <c r="E72" s="1">
        <v>927</v>
      </c>
      <c r="F72" s="1">
        <v>806</v>
      </c>
      <c r="G72" s="20">
        <v>0.11284513805522209</v>
      </c>
      <c r="H72" s="20">
        <v>4.8114434330299091E-2</v>
      </c>
      <c r="I72" s="38">
        <v>8257</v>
      </c>
      <c r="J72" s="38">
        <v>7438</v>
      </c>
      <c r="K72" s="38">
        <v>51879</v>
      </c>
      <c r="L72" s="38">
        <v>42491</v>
      </c>
      <c r="M72" s="18">
        <v>0.64300000000000002</v>
      </c>
      <c r="N72" s="18">
        <v>0.12513484358144553</v>
      </c>
      <c r="O72" s="18">
        <v>0.86947141316073351</v>
      </c>
      <c r="P72" s="18">
        <v>0.93287037037037035</v>
      </c>
      <c r="Q72" s="193"/>
      <c r="R72" s="173">
        <v>0</v>
      </c>
      <c r="S72" s="173">
        <v>0</v>
      </c>
      <c r="T72" s="43">
        <v>0</v>
      </c>
      <c r="U72" s="268" t="str">
        <f t="shared" si="7"/>
        <v>Normal</v>
      </c>
      <c r="V72" s="268" t="str">
        <f t="shared" si="8"/>
        <v>Normal</v>
      </c>
      <c r="W72" s="270">
        <f t="shared" si="9"/>
        <v>0.11284513805522209</v>
      </c>
      <c r="X72" s="270">
        <f t="shared" si="10"/>
        <v>4.8114434330299091E-2</v>
      </c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</row>
    <row r="73" spans="1:38">
      <c r="A73" s="23">
        <v>44723</v>
      </c>
      <c r="B73" s="121">
        <f>IF(YEAR(Table9[[#This Row],[Date]]) = 2022, WEEKNUM(Table9[[#This Row],[Date]])-13, WEEKNUM(Table9[[#This Row],[Date]])+40)</f>
        <v>11</v>
      </c>
      <c r="C73" s="1" t="s">
        <v>53</v>
      </c>
      <c r="D73" s="1" t="s">
        <v>59</v>
      </c>
      <c r="E73" s="1">
        <v>685</v>
      </c>
      <c r="F73" s="1">
        <v>610</v>
      </c>
      <c r="G73" s="19">
        <v>-6.67574931880109E-2</v>
      </c>
      <c r="H73" s="19">
        <v>6.6006600660066007E-3</v>
      </c>
      <c r="I73" s="1">
        <v>8942</v>
      </c>
      <c r="J73" s="1">
        <v>8048</v>
      </c>
      <c r="K73" s="1">
        <v>52564</v>
      </c>
      <c r="L73" s="1">
        <v>43101</v>
      </c>
      <c r="M73" s="18">
        <v>0.78139999999999998</v>
      </c>
      <c r="N73" s="18">
        <v>0.10072992700729927</v>
      </c>
      <c r="O73" s="18">
        <v>0.89051094890510951</v>
      </c>
      <c r="P73" s="18">
        <v>0.70601851851851849</v>
      </c>
      <c r="Q73" s="193"/>
      <c r="R73" s="173">
        <v>0</v>
      </c>
      <c r="S73" s="173">
        <v>0</v>
      </c>
      <c r="T73" s="43">
        <v>0</v>
      </c>
      <c r="U73" s="268" t="str">
        <f t="shared" si="7"/>
        <v>Normal</v>
      </c>
      <c r="V73" s="268" t="str">
        <f t="shared" si="8"/>
        <v>Normal</v>
      </c>
      <c r="W73" s="270">
        <f t="shared" si="9"/>
        <v>-6.67574931880109E-2</v>
      </c>
      <c r="X73" s="270">
        <f t="shared" si="10"/>
        <v>6.6006600660066007E-3</v>
      </c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</row>
    <row r="74" spans="1:38">
      <c r="A74" s="21">
        <v>44724</v>
      </c>
      <c r="B74" s="17">
        <f>IF(YEAR(Table9[[#This Row],[Date]]) = 2022, WEEKNUM(Table9[[#This Row],[Date]])-13, WEEKNUM(Table9[[#This Row],[Date]])+40)</f>
        <v>12</v>
      </c>
      <c r="C74" s="1" t="s">
        <v>47</v>
      </c>
      <c r="D74" s="32" t="s">
        <v>59</v>
      </c>
      <c r="E74" s="1">
        <v>0</v>
      </c>
      <c r="F74" s="1">
        <v>0</v>
      </c>
      <c r="G74" s="19">
        <v>0</v>
      </c>
      <c r="H74" s="19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193"/>
      <c r="R74" s="173">
        <v>0</v>
      </c>
      <c r="S74" s="173">
        <v>0</v>
      </c>
      <c r="T74" s="43">
        <v>0</v>
      </c>
      <c r="U74" s="268" t="str">
        <f t="shared" si="7"/>
        <v>Normal</v>
      </c>
      <c r="V74" s="268" t="str">
        <f t="shared" si="8"/>
        <v>Normal</v>
      </c>
      <c r="W74" s="270">
        <f t="shared" si="9"/>
        <v>0</v>
      </c>
      <c r="X74" s="270">
        <f t="shared" si="10"/>
        <v>0</v>
      </c>
      <c r="Y74" s="265"/>
      <c r="Z74" s="265"/>
      <c r="AA74" s="265"/>
      <c r="AB74" s="265"/>
      <c r="AC74" s="265"/>
      <c r="AD74" s="265"/>
      <c r="AE74" s="265"/>
      <c r="AF74" s="265"/>
      <c r="AG74" s="265"/>
      <c r="AH74" s="265"/>
      <c r="AI74" s="265"/>
      <c r="AJ74" s="265"/>
      <c r="AK74" s="265"/>
      <c r="AL74" s="265"/>
    </row>
    <row r="75" spans="1:38">
      <c r="A75" s="23">
        <v>44725</v>
      </c>
      <c r="B75" s="121">
        <f>IF(YEAR(Table9[[#This Row],[Date]]) = 2022, WEEKNUM(Table9[[#This Row],[Date]])-13, WEEKNUM(Table9[[#This Row],[Date]])+40)</f>
        <v>12</v>
      </c>
      <c r="C75" s="1" t="s">
        <v>48</v>
      </c>
      <c r="D75" s="1" t="s">
        <v>59</v>
      </c>
      <c r="E75" s="1">
        <v>987</v>
      </c>
      <c r="F75" s="1">
        <v>721</v>
      </c>
      <c r="G75" s="19">
        <v>1.0235414534288639E-2</v>
      </c>
      <c r="H75" s="19">
        <v>-0.23945147679324894</v>
      </c>
      <c r="I75" s="1">
        <v>9929</v>
      </c>
      <c r="J75" s="1">
        <v>8769</v>
      </c>
      <c r="K75" s="1">
        <v>53551</v>
      </c>
      <c r="L75" s="1">
        <v>43822</v>
      </c>
      <c r="M75" s="18">
        <v>0.37</v>
      </c>
      <c r="N75" s="18">
        <v>0.26</v>
      </c>
      <c r="O75" s="18">
        <v>0.74</v>
      </c>
      <c r="P75" s="18">
        <v>0.61</v>
      </c>
      <c r="Q75" s="193"/>
      <c r="R75" s="173">
        <v>0</v>
      </c>
      <c r="S75" s="173">
        <v>0</v>
      </c>
      <c r="T75" s="43">
        <v>0</v>
      </c>
      <c r="U75" s="268" t="str">
        <f t="shared" si="7"/>
        <v>Normal</v>
      </c>
      <c r="V75" s="268" t="str">
        <f t="shared" si="8"/>
        <v>Normal</v>
      </c>
      <c r="W75" s="270">
        <f t="shared" si="9"/>
        <v>1.0235414534288639E-2</v>
      </c>
      <c r="X75" s="270">
        <f t="shared" si="10"/>
        <v>-0.23945147679324894</v>
      </c>
      <c r="Y75" s="265"/>
      <c r="Z75" s="265"/>
      <c r="AA75" s="265"/>
      <c r="AB75" s="265"/>
      <c r="AC75" s="265"/>
      <c r="AD75" s="265"/>
      <c r="AE75" s="265"/>
      <c r="AF75" s="265"/>
      <c r="AG75" s="265"/>
      <c r="AH75" s="265"/>
      <c r="AI75" s="265"/>
      <c r="AJ75" s="265"/>
      <c r="AK75" s="265"/>
      <c r="AL75" s="265"/>
    </row>
    <row r="76" spans="1:38">
      <c r="A76" s="23">
        <v>44726</v>
      </c>
      <c r="B76" s="121">
        <f>IF(YEAR(Table9[[#This Row],[Date]]) = 2022, WEEKNUM(Table9[[#This Row],[Date]])-13, WEEKNUM(Table9[[#This Row],[Date]])+40)</f>
        <v>12</v>
      </c>
      <c r="C76" s="1" t="s">
        <v>49</v>
      </c>
      <c r="D76" s="32" t="s">
        <v>59</v>
      </c>
      <c r="E76" s="1">
        <v>953</v>
      </c>
      <c r="F76" s="1">
        <v>735</v>
      </c>
      <c r="G76" s="19">
        <v>-4.9850448654037885E-2</v>
      </c>
      <c r="H76" s="19">
        <v>-0.2391304347826087</v>
      </c>
      <c r="I76" s="1">
        <v>10882</v>
      </c>
      <c r="J76" s="1">
        <v>9504</v>
      </c>
      <c r="K76" s="1">
        <v>54504</v>
      </c>
      <c r="L76" s="1">
        <v>44557</v>
      </c>
      <c r="M76" s="18">
        <v>0.36</v>
      </c>
      <c r="N76" s="18">
        <v>0.23</v>
      </c>
      <c r="O76" s="18">
        <v>0.77</v>
      </c>
      <c r="P76" s="18">
        <v>0.56999999999999995</v>
      </c>
      <c r="Q76" s="193"/>
      <c r="R76" s="173">
        <v>0</v>
      </c>
      <c r="S76" s="173">
        <v>0</v>
      </c>
      <c r="T76" s="43">
        <v>0</v>
      </c>
      <c r="U76" s="268" t="str">
        <f t="shared" si="7"/>
        <v>Normal</v>
      </c>
      <c r="V76" s="268" t="str">
        <f t="shared" si="8"/>
        <v>Normal</v>
      </c>
      <c r="W76" s="270">
        <f t="shared" si="9"/>
        <v>-4.9850448654037885E-2</v>
      </c>
      <c r="X76" s="270">
        <f t="shared" si="10"/>
        <v>-0.2391304347826087</v>
      </c>
      <c r="Y76" s="265"/>
      <c r="Z76" s="265"/>
      <c r="AA76" s="265"/>
      <c r="AB76" s="265"/>
      <c r="AC76" s="265"/>
      <c r="AD76" s="265"/>
      <c r="AE76" s="265"/>
      <c r="AF76" s="265"/>
      <c r="AG76" s="265"/>
      <c r="AH76" s="265"/>
      <c r="AI76" s="265"/>
      <c r="AJ76" s="265"/>
      <c r="AK76" s="265"/>
      <c r="AL76" s="265"/>
    </row>
    <row r="77" spans="1:38">
      <c r="A77" s="23">
        <v>44727</v>
      </c>
      <c r="B77" s="121">
        <f>IF(YEAR(Table9[[#This Row],[Date]]) = 2022, WEEKNUM(Table9[[#This Row],[Date]])-13, WEEKNUM(Table9[[#This Row],[Date]])+40)</f>
        <v>12</v>
      </c>
      <c r="C77" s="1" t="s">
        <v>50</v>
      </c>
      <c r="D77" s="1" t="s">
        <v>59</v>
      </c>
      <c r="E77" s="1">
        <v>984</v>
      </c>
      <c r="F77" s="1">
        <v>635</v>
      </c>
      <c r="G77" s="19">
        <v>-8.2945013979496732E-2</v>
      </c>
      <c r="H77" s="19">
        <v>-0.27676537585421412</v>
      </c>
      <c r="I77" s="1">
        <v>11866</v>
      </c>
      <c r="J77" s="1">
        <v>10139</v>
      </c>
      <c r="K77" s="1">
        <v>55488</v>
      </c>
      <c r="L77" s="1">
        <v>45192</v>
      </c>
      <c r="M77" s="18">
        <v>0.21</v>
      </c>
      <c r="N77" s="18">
        <v>0.34</v>
      </c>
      <c r="O77" s="18">
        <v>0.66</v>
      </c>
      <c r="P77" s="18">
        <v>0.73</v>
      </c>
      <c r="Q77" s="193"/>
      <c r="R77" s="173">
        <v>0</v>
      </c>
      <c r="S77" s="173">
        <v>0</v>
      </c>
      <c r="T77" s="43">
        <v>0</v>
      </c>
      <c r="U77" s="268" t="str">
        <f t="shared" si="7"/>
        <v>Normal</v>
      </c>
      <c r="V77" s="268" t="str">
        <f t="shared" si="8"/>
        <v>Normal</v>
      </c>
      <c r="W77" s="270">
        <f t="shared" si="9"/>
        <v>-8.2945013979496732E-2</v>
      </c>
      <c r="X77" s="270">
        <f t="shared" si="10"/>
        <v>-0.27676537585421412</v>
      </c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  <c r="AI77" s="265"/>
      <c r="AJ77" s="265"/>
      <c r="AK77" s="265"/>
      <c r="AL77" s="265"/>
    </row>
    <row r="78" spans="1:38">
      <c r="A78" s="23">
        <v>44728</v>
      </c>
      <c r="B78" s="121">
        <f>IF(YEAR(Table9[[#This Row],[Date]]) = 2022, WEEKNUM(Table9[[#This Row],[Date]])-13, WEEKNUM(Table9[[#This Row],[Date]])+40)</f>
        <v>12</v>
      </c>
      <c r="C78" s="1" t="s">
        <v>51</v>
      </c>
      <c r="D78" s="32" t="s">
        <v>59</v>
      </c>
      <c r="E78" s="1">
        <v>866</v>
      </c>
      <c r="F78" s="1">
        <v>728</v>
      </c>
      <c r="G78" s="19">
        <v>-2.304147465437788E-3</v>
      </c>
      <c r="H78" s="19">
        <v>-0.10012360939431397</v>
      </c>
      <c r="I78" s="1">
        <v>12732</v>
      </c>
      <c r="J78" s="1">
        <v>10867</v>
      </c>
      <c r="K78" s="1">
        <v>56354</v>
      </c>
      <c r="L78" s="1">
        <v>45920</v>
      </c>
      <c r="M78" s="18">
        <v>0.61</v>
      </c>
      <c r="N78" s="18">
        <v>0.15</v>
      </c>
      <c r="O78" s="18">
        <v>0.85</v>
      </c>
      <c r="P78" s="18">
        <v>0.67</v>
      </c>
      <c r="Q78" s="193"/>
      <c r="R78" s="173">
        <v>0</v>
      </c>
      <c r="S78" s="173">
        <v>0</v>
      </c>
      <c r="T78" s="43">
        <v>0</v>
      </c>
      <c r="U78" s="268" t="str">
        <f t="shared" si="7"/>
        <v>Normal</v>
      </c>
      <c r="V78" s="268" t="str">
        <f t="shared" si="8"/>
        <v>Normal</v>
      </c>
      <c r="W78" s="270">
        <f t="shared" si="9"/>
        <v>-2.304147465437788E-3</v>
      </c>
      <c r="X78" s="270">
        <f t="shared" si="10"/>
        <v>-0.10012360939431397</v>
      </c>
      <c r="Y78" s="265"/>
      <c r="Z78" s="265"/>
      <c r="AA78" s="265"/>
      <c r="AB78" s="265"/>
      <c r="AC78" s="265"/>
      <c r="AD78" s="265"/>
      <c r="AE78" s="265"/>
      <c r="AF78" s="265"/>
      <c r="AG78" s="265"/>
      <c r="AH78" s="265"/>
      <c r="AI78" s="265"/>
      <c r="AJ78" s="265"/>
      <c r="AK78" s="265"/>
      <c r="AL78" s="265"/>
    </row>
    <row r="79" spans="1:38">
      <c r="A79" s="23">
        <v>44729</v>
      </c>
      <c r="B79" s="121">
        <f>IF(YEAR(Table9[[#This Row],[Date]]) = 2022, WEEKNUM(Table9[[#This Row],[Date]])-13, WEEKNUM(Table9[[#This Row],[Date]])+40)</f>
        <v>12</v>
      </c>
      <c r="C79" s="1" t="s">
        <v>52</v>
      </c>
      <c r="D79" s="1" t="s">
        <v>59</v>
      </c>
      <c r="E79" s="1">
        <v>927</v>
      </c>
      <c r="F79" s="1">
        <v>734</v>
      </c>
      <c r="G79" s="19">
        <v>0</v>
      </c>
      <c r="H79" s="19">
        <v>-8.9330024813895778E-2</v>
      </c>
      <c r="I79" s="1">
        <v>13659</v>
      </c>
      <c r="J79" s="1">
        <v>11601</v>
      </c>
      <c r="K79" s="1">
        <v>57281</v>
      </c>
      <c r="L79" s="1">
        <v>46654</v>
      </c>
      <c r="M79" s="18">
        <v>0.52</v>
      </c>
      <c r="N79" s="18">
        <v>0.2</v>
      </c>
      <c r="O79" s="18">
        <v>0.79</v>
      </c>
      <c r="P79" s="18">
        <v>0.76</v>
      </c>
      <c r="Q79" s="193"/>
      <c r="R79" s="173">
        <v>0</v>
      </c>
      <c r="S79" s="173">
        <v>0</v>
      </c>
      <c r="T79" s="43">
        <v>0</v>
      </c>
      <c r="U79" s="268" t="str">
        <f t="shared" si="7"/>
        <v>Normal</v>
      </c>
      <c r="V79" s="268" t="str">
        <f t="shared" si="8"/>
        <v>Normal</v>
      </c>
      <c r="W79" s="270">
        <f t="shared" si="9"/>
        <v>0</v>
      </c>
      <c r="X79" s="270">
        <f t="shared" si="10"/>
        <v>-8.9330024813895778E-2</v>
      </c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</row>
    <row r="80" spans="1:38">
      <c r="A80" s="23">
        <v>44730</v>
      </c>
      <c r="B80" s="121">
        <f>IF(YEAR(Table9[[#This Row],[Date]]) = 2022, WEEKNUM(Table9[[#This Row],[Date]])-13, WEEKNUM(Table9[[#This Row],[Date]])+40)</f>
        <v>12</v>
      </c>
      <c r="C80" s="1" t="s">
        <v>53</v>
      </c>
      <c r="D80" s="32" t="s">
        <v>59</v>
      </c>
      <c r="E80" s="1">
        <v>709</v>
      </c>
      <c r="F80" s="1">
        <v>469</v>
      </c>
      <c r="G80" s="19">
        <v>3.5036496350364967E-2</v>
      </c>
      <c r="H80" s="19">
        <v>-0.23114754098360657</v>
      </c>
      <c r="I80" s="1">
        <v>14368</v>
      </c>
      <c r="J80" s="1">
        <v>12070</v>
      </c>
      <c r="K80" s="1">
        <v>57990</v>
      </c>
      <c r="L80" s="1">
        <v>47123</v>
      </c>
      <c r="M80" s="18">
        <v>0.28999999999999998</v>
      </c>
      <c r="N80" s="18">
        <v>0.33</v>
      </c>
      <c r="O80" s="18">
        <v>0.66</v>
      </c>
      <c r="P80" s="18">
        <v>0.87</v>
      </c>
      <c r="Q80" s="193"/>
      <c r="R80" s="173">
        <v>0</v>
      </c>
      <c r="S80" s="173">
        <v>0</v>
      </c>
      <c r="T80" s="43">
        <v>0</v>
      </c>
      <c r="U80" s="268" t="str">
        <f t="shared" si="7"/>
        <v>Normal</v>
      </c>
      <c r="V80" s="268" t="str">
        <f t="shared" si="8"/>
        <v>Normal</v>
      </c>
      <c r="W80" s="270">
        <f t="shared" si="9"/>
        <v>3.5036496350364967E-2</v>
      </c>
      <c r="X80" s="270">
        <f t="shared" si="10"/>
        <v>-0.23114754098360657</v>
      </c>
      <c r="Y80" s="265"/>
      <c r="Z80" s="265"/>
      <c r="AA80" s="265"/>
      <c r="AB80" s="265"/>
      <c r="AC80" s="265"/>
      <c r="AD80" s="265"/>
      <c r="AE80" s="265"/>
      <c r="AF80" s="265"/>
      <c r="AG80" s="265"/>
      <c r="AH80" s="265"/>
      <c r="AI80" s="265"/>
      <c r="AJ80" s="265"/>
      <c r="AK80" s="265"/>
      <c r="AL80" s="265"/>
    </row>
    <row r="81" spans="1:38">
      <c r="A81" s="21">
        <v>44731</v>
      </c>
      <c r="B81" s="17">
        <f>IF(YEAR(Table9[[#This Row],[Date]]) = 2022, WEEKNUM(Table9[[#This Row],[Date]])-13, WEEKNUM(Table9[[#This Row],[Date]])+40)</f>
        <v>13</v>
      </c>
      <c r="C81" s="1" t="s">
        <v>47</v>
      </c>
      <c r="D81" s="1" t="s">
        <v>59</v>
      </c>
      <c r="E81" s="1">
        <v>0</v>
      </c>
      <c r="F81" s="1">
        <v>0</v>
      </c>
      <c r="G81" s="19">
        <v>0</v>
      </c>
      <c r="H81" s="19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93"/>
      <c r="R81" s="173">
        <v>0</v>
      </c>
      <c r="S81" s="173">
        <v>0</v>
      </c>
      <c r="T81" s="43">
        <v>0</v>
      </c>
      <c r="U81" s="268" t="str">
        <f t="shared" si="7"/>
        <v>Normal</v>
      </c>
      <c r="V81" s="268" t="str">
        <f t="shared" si="8"/>
        <v>Normal</v>
      </c>
      <c r="W81" s="270">
        <f t="shared" si="9"/>
        <v>0</v>
      </c>
      <c r="X81" s="270">
        <f t="shared" si="10"/>
        <v>0</v>
      </c>
      <c r="Y81" s="265"/>
      <c r="Z81" s="265"/>
      <c r="AA81" s="265"/>
      <c r="AB81" s="265"/>
      <c r="AC81" s="265"/>
      <c r="AD81" s="265"/>
      <c r="AE81" s="265"/>
      <c r="AF81" s="265"/>
      <c r="AG81" s="265"/>
      <c r="AH81" s="265"/>
      <c r="AI81" s="265"/>
      <c r="AJ81" s="265"/>
      <c r="AK81" s="265"/>
      <c r="AL81" s="265"/>
    </row>
    <row r="82" spans="1:38">
      <c r="A82" s="23">
        <v>44732</v>
      </c>
      <c r="B82" s="121">
        <f>IF(YEAR(Table9[[#This Row],[Date]]) = 2022, WEEKNUM(Table9[[#This Row],[Date]])-13, WEEKNUM(Table9[[#This Row],[Date]])+40)</f>
        <v>13</v>
      </c>
      <c r="C82" s="1" t="s">
        <v>48</v>
      </c>
      <c r="D82" s="32" t="s">
        <v>59</v>
      </c>
      <c r="E82" s="1">
        <v>917</v>
      </c>
      <c r="F82" s="1">
        <v>807</v>
      </c>
      <c r="G82" s="19">
        <v>-7.0921985815602842E-2</v>
      </c>
      <c r="H82" s="19">
        <v>0.11927877947295423</v>
      </c>
      <c r="I82" s="1">
        <v>15285</v>
      </c>
      <c r="J82" s="1">
        <v>12877</v>
      </c>
      <c r="K82" s="1">
        <v>58907</v>
      </c>
      <c r="L82" s="1">
        <v>47930</v>
      </c>
      <c r="M82" s="18">
        <v>0.62</v>
      </c>
      <c r="N82" s="18">
        <v>0.11</v>
      </c>
      <c r="O82" s="18">
        <v>0.89</v>
      </c>
      <c r="P82" s="18">
        <v>0.75</v>
      </c>
      <c r="Q82" s="193"/>
      <c r="R82" s="173">
        <v>0</v>
      </c>
      <c r="S82" s="173">
        <v>0</v>
      </c>
      <c r="T82" s="43">
        <v>0</v>
      </c>
      <c r="U82" s="268" t="str">
        <f t="shared" si="7"/>
        <v>Normal</v>
      </c>
      <c r="V82" s="268" t="str">
        <f t="shared" si="8"/>
        <v>Normal</v>
      </c>
      <c r="W82" s="270">
        <f t="shared" si="9"/>
        <v>-7.0921985815602842E-2</v>
      </c>
      <c r="X82" s="270">
        <f t="shared" si="10"/>
        <v>0.11927877947295423</v>
      </c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5"/>
    </row>
    <row r="83" spans="1:38">
      <c r="A83" s="23">
        <v>44733</v>
      </c>
      <c r="B83" s="121">
        <f>IF(YEAR(Table9[[#This Row],[Date]]) = 2022, WEEKNUM(Table9[[#This Row],[Date]])-13, WEEKNUM(Table9[[#This Row],[Date]])+40)</f>
        <v>13</v>
      </c>
      <c r="C83" s="1" t="s">
        <v>49</v>
      </c>
      <c r="D83" s="1" t="s">
        <v>59</v>
      </c>
      <c r="E83" s="1">
        <v>840</v>
      </c>
      <c r="F83" s="1">
        <v>753</v>
      </c>
      <c r="G83" s="19">
        <v>-0.11857292759706191</v>
      </c>
      <c r="H83" s="19">
        <v>2.4489795918367346E-2</v>
      </c>
      <c r="I83" s="1">
        <v>16125</v>
      </c>
      <c r="J83" s="1">
        <v>13630</v>
      </c>
      <c r="K83" s="1">
        <v>59747</v>
      </c>
      <c r="L83" s="1">
        <v>48683</v>
      </c>
      <c r="M83" s="18">
        <v>0.71</v>
      </c>
      <c r="N83" s="18">
        <v>0.1</v>
      </c>
      <c r="O83" s="18">
        <v>0.9</v>
      </c>
      <c r="P83" s="18">
        <v>0.7</v>
      </c>
      <c r="Q83" s="193"/>
      <c r="R83" s="173">
        <v>0</v>
      </c>
      <c r="S83" s="173">
        <v>0</v>
      </c>
      <c r="T83" s="43">
        <v>0</v>
      </c>
      <c r="U83" s="268" t="str">
        <f t="shared" si="7"/>
        <v>Normal</v>
      </c>
      <c r="V83" s="268" t="str">
        <f t="shared" si="8"/>
        <v>Normal</v>
      </c>
      <c r="W83" s="270">
        <f t="shared" si="9"/>
        <v>-0.11857292759706191</v>
      </c>
      <c r="X83" s="270">
        <f t="shared" si="10"/>
        <v>2.4489795918367346E-2</v>
      </c>
      <c r="Y83" s="265"/>
      <c r="Z83" s="265"/>
      <c r="AA83" s="265"/>
      <c r="AB83" s="265"/>
      <c r="AC83" s="265"/>
      <c r="AD83" s="265"/>
      <c r="AE83" s="265"/>
      <c r="AF83" s="265"/>
      <c r="AG83" s="265"/>
      <c r="AH83" s="265"/>
      <c r="AI83" s="265"/>
      <c r="AJ83" s="265"/>
      <c r="AK83" s="265"/>
      <c r="AL83" s="265"/>
    </row>
    <row r="84" spans="1:38">
      <c r="A84" s="23">
        <v>44734</v>
      </c>
      <c r="B84" s="121">
        <f>IF(YEAR(Table9[[#This Row],[Date]]) = 2022, WEEKNUM(Table9[[#This Row],[Date]])-13, WEEKNUM(Table9[[#This Row],[Date]])+40)</f>
        <v>13</v>
      </c>
      <c r="C84" s="1" t="s">
        <v>50</v>
      </c>
      <c r="D84" s="32" t="s">
        <v>59</v>
      </c>
      <c r="E84" s="1">
        <v>895</v>
      </c>
      <c r="F84" s="1">
        <v>821</v>
      </c>
      <c r="G84" s="19">
        <v>-9.0447154471544722E-2</v>
      </c>
      <c r="H84" s="19">
        <v>0.29291338582677168</v>
      </c>
      <c r="I84" s="1">
        <v>17020</v>
      </c>
      <c r="J84" s="1">
        <v>14451</v>
      </c>
      <c r="K84" s="1">
        <v>60642</v>
      </c>
      <c r="L84" s="1">
        <v>49504</v>
      </c>
      <c r="M84" s="18">
        <v>0.8</v>
      </c>
      <c r="N84" s="18">
        <v>0.08</v>
      </c>
      <c r="O84" s="18">
        <v>0.92</v>
      </c>
      <c r="P84" s="18">
        <v>0.76</v>
      </c>
      <c r="Q84" s="193"/>
      <c r="R84" s="173">
        <v>0</v>
      </c>
      <c r="S84" s="173">
        <v>0</v>
      </c>
      <c r="T84" s="43">
        <v>0</v>
      </c>
      <c r="U84" s="268" t="str">
        <f t="shared" si="7"/>
        <v>Normal</v>
      </c>
      <c r="V84" s="268" t="str">
        <f t="shared" si="8"/>
        <v>Normal</v>
      </c>
      <c r="W84" s="270">
        <f t="shared" si="9"/>
        <v>-9.0447154471544722E-2</v>
      </c>
      <c r="X84" s="270">
        <f t="shared" si="10"/>
        <v>0.29291338582677168</v>
      </c>
      <c r="Y84" s="265"/>
      <c r="Z84" s="265"/>
      <c r="AA84" s="265"/>
      <c r="AB84" s="265"/>
      <c r="AC84" s="265"/>
      <c r="AD84" s="265"/>
      <c r="AE84" s="265"/>
      <c r="AF84" s="265"/>
      <c r="AG84" s="265"/>
      <c r="AH84" s="265"/>
      <c r="AI84" s="265"/>
      <c r="AJ84" s="265"/>
      <c r="AK84" s="265"/>
      <c r="AL84" s="265"/>
    </row>
    <row r="85" spans="1:38">
      <c r="A85" s="23">
        <v>44735</v>
      </c>
      <c r="B85" s="121">
        <f>IF(YEAR(Table9[[#This Row],[Date]]) = 2022, WEEKNUM(Table9[[#This Row],[Date]])-13, WEEKNUM(Table9[[#This Row],[Date]])+40)</f>
        <v>13</v>
      </c>
      <c r="C85" s="1" t="s">
        <v>51</v>
      </c>
      <c r="D85" s="1" t="s">
        <v>59</v>
      </c>
      <c r="E85" s="1">
        <v>687</v>
      </c>
      <c r="F85" s="1">
        <v>590</v>
      </c>
      <c r="G85" s="19">
        <v>-0.20669745958429561</v>
      </c>
      <c r="H85" s="19">
        <v>-0.18956043956043955</v>
      </c>
      <c r="I85" s="1">
        <v>17707</v>
      </c>
      <c r="J85" s="1">
        <v>15041</v>
      </c>
      <c r="K85" s="1">
        <v>61329</v>
      </c>
      <c r="L85" s="1">
        <v>50094</v>
      </c>
      <c r="M85" s="18">
        <v>0.56000000000000005</v>
      </c>
      <c r="N85" s="18">
        <v>0.14000000000000001</v>
      </c>
      <c r="O85" s="18">
        <v>0.86</v>
      </c>
      <c r="P85" s="18">
        <v>0.5</v>
      </c>
      <c r="Q85" s="193"/>
      <c r="R85" s="173">
        <v>0</v>
      </c>
      <c r="S85" s="173">
        <v>0</v>
      </c>
      <c r="T85" s="43">
        <v>0</v>
      </c>
      <c r="U85" s="268" t="str">
        <f t="shared" si="7"/>
        <v>Normal</v>
      </c>
      <c r="V85" s="268" t="str">
        <f t="shared" si="8"/>
        <v>Normal</v>
      </c>
      <c r="W85" s="270">
        <f t="shared" si="9"/>
        <v>-0.20669745958429561</v>
      </c>
      <c r="X85" s="270">
        <f t="shared" si="10"/>
        <v>-0.18956043956043955</v>
      </c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</row>
    <row r="86" spans="1:38">
      <c r="A86" s="23">
        <v>44736</v>
      </c>
      <c r="B86" s="121">
        <f>IF(YEAR(Table9[[#This Row],[Date]]) = 2022, WEEKNUM(Table9[[#This Row],[Date]])-13, WEEKNUM(Table9[[#This Row],[Date]])+40)</f>
        <v>13</v>
      </c>
      <c r="C86" s="1" t="s">
        <v>52</v>
      </c>
      <c r="D86" s="32" t="s">
        <v>59</v>
      </c>
      <c r="E86" s="1">
        <v>858</v>
      </c>
      <c r="F86" s="1">
        <v>742</v>
      </c>
      <c r="G86" s="19">
        <v>-7.4433656957928807E-2</v>
      </c>
      <c r="H86" s="19">
        <v>1.0899182561307902E-2</v>
      </c>
      <c r="I86" s="1">
        <v>18565</v>
      </c>
      <c r="J86" s="1">
        <v>15783</v>
      </c>
      <c r="K86" s="1">
        <v>62187</v>
      </c>
      <c r="L86" s="1">
        <v>50836</v>
      </c>
      <c r="M86" s="18">
        <v>0.57999999999999996</v>
      </c>
      <c r="N86" s="18">
        <v>0.13</v>
      </c>
      <c r="O86" s="18">
        <v>0.87</v>
      </c>
      <c r="P86" s="18">
        <v>0.76</v>
      </c>
      <c r="Q86" s="193"/>
      <c r="R86" s="173">
        <v>0</v>
      </c>
      <c r="S86" s="173">
        <v>0</v>
      </c>
      <c r="T86" s="43">
        <v>0</v>
      </c>
      <c r="U86" s="268" t="str">
        <f t="shared" si="7"/>
        <v>Normal</v>
      </c>
      <c r="V86" s="268" t="str">
        <f t="shared" si="8"/>
        <v>Normal</v>
      </c>
      <c r="W86" s="270">
        <f t="shared" si="9"/>
        <v>-7.4433656957928807E-2</v>
      </c>
      <c r="X86" s="270">
        <f t="shared" si="10"/>
        <v>1.0899182561307902E-2</v>
      </c>
      <c r="Y86" s="265"/>
      <c r="Z86" s="265"/>
      <c r="AA86" s="265"/>
      <c r="AB86" s="265"/>
      <c r="AC86" s="265"/>
      <c r="AD86" s="265"/>
      <c r="AE86" s="265"/>
      <c r="AF86" s="265"/>
      <c r="AG86" s="265"/>
      <c r="AH86" s="265"/>
      <c r="AI86" s="265"/>
      <c r="AJ86" s="265"/>
      <c r="AK86" s="265"/>
      <c r="AL86" s="265"/>
    </row>
    <row r="87" spans="1:38">
      <c r="A87" s="23">
        <v>44737</v>
      </c>
      <c r="B87" s="121">
        <f>IF(YEAR(Table9[[#This Row],[Date]]) = 2022, WEEKNUM(Table9[[#This Row],[Date]])-13, WEEKNUM(Table9[[#This Row],[Date]])+40)</f>
        <v>13</v>
      </c>
      <c r="C87" s="1" t="s">
        <v>53</v>
      </c>
      <c r="D87" s="1" t="s">
        <v>59</v>
      </c>
      <c r="E87" s="1">
        <v>765</v>
      </c>
      <c r="F87" s="1">
        <v>643</v>
      </c>
      <c r="G87" s="19">
        <v>7.8984485190409029E-2</v>
      </c>
      <c r="H87" s="19">
        <v>0.37100213219616207</v>
      </c>
      <c r="I87" s="1">
        <v>19330</v>
      </c>
      <c r="J87" s="1">
        <v>16426</v>
      </c>
      <c r="K87" s="1">
        <v>62952</v>
      </c>
      <c r="L87" s="1">
        <v>51479</v>
      </c>
      <c r="M87" s="18">
        <v>0.48</v>
      </c>
      <c r="N87" s="18">
        <v>0.15</v>
      </c>
      <c r="O87" s="18">
        <v>0.85</v>
      </c>
      <c r="P87" s="18">
        <v>0.74</v>
      </c>
      <c r="Q87" s="193"/>
      <c r="R87" s="173">
        <v>0</v>
      </c>
      <c r="S87" s="173">
        <v>0</v>
      </c>
      <c r="T87" s="43">
        <v>0</v>
      </c>
      <c r="U87" s="268" t="str">
        <f t="shared" si="7"/>
        <v>Normal</v>
      </c>
      <c r="V87" s="268" t="str">
        <f t="shared" si="8"/>
        <v>Outlier</v>
      </c>
      <c r="W87" s="270">
        <f t="shared" si="9"/>
        <v>7.8984485190409029E-2</v>
      </c>
      <c r="X87" s="270">
        <f t="shared" si="10"/>
        <v>0.37100213219616207</v>
      </c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</row>
    <row r="88" spans="1:38">
      <c r="A88" s="23">
        <v>44738</v>
      </c>
      <c r="B88" s="121">
        <f>IF(YEAR(Table9[[#This Row],[Date]]) = 2022, WEEKNUM(Table9[[#This Row],[Date]])-13, WEEKNUM(Table9[[#This Row],[Date]])+40)</f>
        <v>14</v>
      </c>
      <c r="C88" s="1" t="s">
        <v>47</v>
      </c>
      <c r="D88" s="32" t="s">
        <v>59</v>
      </c>
      <c r="E88" s="1">
        <v>0</v>
      </c>
      <c r="F88" s="1">
        <v>0</v>
      </c>
      <c r="G88" s="19">
        <v>0</v>
      </c>
      <c r="H88" s="19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193"/>
      <c r="R88" s="173">
        <v>0</v>
      </c>
      <c r="S88" s="173">
        <v>0</v>
      </c>
      <c r="T88" s="43">
        <v>0</v>
      </c>
      <c r="U88" s="268" t="str">
        <f t="shared" si="7"/>
        <v>Normal</v>
      </c>
      <c r="V88" s="268" t="str">
        <f t="shared" si="8"/>
        <v>Normal</v>
      </c>
      <c r="W88" s="270">
        <f t="shared" si="9"/>
        <v>0</v>
      </c>
      <c r="X88" s="270">
        <f t="shared" si="10"/>
        <v>0</v>
      </c>
      <c r="Y88" s="265"/>
      <c r="Z88" s="265"/>
      <c r="AA88" s="265"/>
      <c r="AB88" s="265"/>
      <c r="AC88" s="265"/>
      <c r="AD88" s="265"/>
      <c r="AE88" s="265"/>
      <c r="AF88" s="265"/>
      <c r="AG88" s="265"/>
      <c r="AH88" s="265"/>
      <c r="AI88" s="265"/>
      <c r="AJ88" s="265"/>
      <c r="AK88" s="265"/>
      <c r="AL88" s="265"/>
    </row>
    <row r="89" spans="1:38">
      <c r="A89" s="23">
        <v>44739</v>
      </c>
      <c r="B89" s="121">
        <f>IF(YEAR(Table9[[#This Row],[Date]]) = 2022, WEEKNUM(Table9[[#This Row],[Date]])-13, WEEKNUM(Table9[[#This Row],[Date]])+40)</f>
        <v>14</v>
      </c>
      <c r="C89" s="1" t="s">
        <v>48</v>
      </c>
      <c r="D89" s="1" t="s">
        <v>59</v>
      </c>
      <c r="E89" s="1">
        <v>1081</v>
      </c>
      <c r="F89" s="1">
        <v>891</v>
      </c>
      <c r="G89" s="19">
        <v>0.17884405670665213</v>
      </c>
      <c r="H89" s="19">
        <v>0.10408921933085502</v>
      </c>
      <c r="I89" s="1">
        <v>20411</v>
      </c>
      <c r="J89" s="1">
        <v>17317</v>
      </c>
      <c r="K89" s="1">
        <v>64033</v>
      </c>
      <c r="L89" s="1">
        <v>52370</v>
      </c>
      <c r="M89" s="18">
        <v>0.59</v>
      </c>
      <c r="N89" s="18">
        <v>0.18</v>
      </c>
      <c r="O89" s="18">
        <v>0.82</v>
      </c>
      <c r="P89" s="18">
        <v>0.69</v>
      </c>
      <c r="Q89" s="193"/>
      <c r="R89" s="173">
        <v>0</v>
      </c>
      <c r="S89" s="173">
        <v>0</v>
      </c>
      <c r="T89" s="43">
        <v>0</v>
      </c>
      <c r="U89" s="268" t="str">
        <f t="shared" si="7"/>
        <v>Normal</v>
      </c>
      <c r="V89" s="268" t="str">
        <f t="shared" si="8"/>
        <v>Normal</v>
      </c>
      <c r="W89" s="270">
        <f t="shared" si="9"/>
        <v>0.17884405670665213</v>
      </c>
      <c r="X89" s="270">
        <f t="shared" si="10"/>
        <v>0.10408921933085502</v>
      </c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  <c r="AI89" s="265"/>
      <c r="AJ89" s="265"/>
      <c r="AK89" s="265"/>
      <c r="AL89" s="265"/>
    </row>
    <row r="90" spans="1:38">
      <c r="A90" s="23">
        <v>44740</v>
      </c>
      <c r="B90" s="121">
        <f>IF(YEAR(Table9[[#This Row],[Date]]) = 2022, WEEKNUM(Table9[[#This Row],[Date]])-13, WEEKNUM(Table9[[#This Row],[Date]])+40)</f>
        <v>14</v>
      </c>
      <c r="C90" s="1" t="s">
        <v>49</v>
      </c>
      <c r="D90" s="32" t="s">
        <v>59</v>
      </c>
      <c r="E90" s="1">
        <v>1107</v>
      </c>
      <c r="F90" s="1">
        <v>914</v>
      </c>
      <c r="G90" s="19">
        <v>0.31785714285714284</v>
      </c>
      <c r="H90" s="19">
        <v>0.21381142098273573</v>
      </c>
      <c r="I90" s="1">
        <v>21518</v>
      </c>
      <c r="J90" s="1">
        <v>18231</v>
      </c>
      <c r="K90" s="1">
        <v>65140</v>
      </c>
      <c r="L90" s="1">
        <v>53284</v>
      </c>
      <c r="M90" s="18">
        <v>0.53</v>
      </c>
      <c r="N90" s="18">
        <v>0.17</v>
      </c>
      <c r="O90" s="18">
        <v>0.83</v>
      </c>
      <c r="P90" s="18">
        <v>0.85</v>
      </c>
      <c r="Q90" s="193"/>
      <c r="R90" s="173">
        <v>0</v>
      </c>
      <c r="S90" s="173">
        <v>0</v>
      </c>
      <c r="T90" s="43">
        <v>0</v>
      </c>
      <c r="U90" s="268" t="str">
        <f t="shared" si="7"/>
        <v>Outlier</v>
      </c>
      <c r="V90" s="268" t="str">
        <f t="shared" si="8"/>
        <v>Normal</v>
      </c>
      <c r="W90" s="270">
        <f t="shared" si="9"/>
        <v>0.31785714285714284</v>
      </c>
      <c r="X90" s="270">
        <f t="shared" si="10"/>
        <v>0.21381142098273573</v>
      </c>
      <c r="Y90" s="265"/>
      <c r="Z90" s="265"/>
      <c r="AA90" s="265"/>
      <c r="AB90" s="265"/>
      <c r="AC90" s="265"/>
      <c r="AD90" s="265"/>
      <c r="AE90" s="265"/>
      <c r="AF90" s="265"/>
      <c r="AG90" s="265"/>
      <c r="AH90" s="265"/>
      <c r="AI90" s="265"/>
      <c r="AJ90" s="265"/>
      <c r="AK90" s="265"/>
      <c r="AL90" s="265"/>
    </row>
    <row r="91" spans="1:38">
      <c r="A91" s="23">
        <v>44741</v>
      </c>
      <c r="B91" s="121">
        <f>IF(YEAR(Table9[[#This Row],[Date]]) = 2022, WEEKNUM(Table9[[#This Row],[Date]])-13, WEEKNUM(Table9[[#This Row],[Date]])+40)</f>
        <v>14</v>
      </c>
      <c r="C91" s="1" t="s">
        <v>50</v>
      </c>
      <c r="D91" s="1" t="s">
        <v>59</v>
      </c>
      <c r="E91" s="1">
        <v>1033</v>
      </c>
      <c r="F91" s="1">
        <v>759</v>
      </c>
      <c r="G91" s="19">
        <v>0.15418994413407822</v>
      </c>
      <c r="H91" s="19">
        <v>-7.5517661388550553E-2</v>
      </c>
      <c r="I91" s="1">
        <v>21444</v>
      </c>
      <c r="J91" s="1">
        <v>18076</v>
      </c>
      <c r="K91" s="1">
        <v>65066</v>
      </c>
      <c r="L91" s="1">
        <v>53129</v>
      </c>
      <c r="M91" s="18">
        <v>0.34</v>
      </c>
      <c r="N91" s="18">
        <v>0.26</v>
      </c>
      <c r="O91" s="18">
        <v>0.74</v>
      </c>
      <c r="P91" s="18">
        <v>0.78</v>
      </c>
      <c r="Q91" s="193"/>
      <c r="R91" s="173">
        <v>0</v>
      </c>
      <c r="S91" s="173">
        <v>0</v>
      </c>
      <c r="T91" s="43">
        <v>0</v>
      </c>
      <c r="U91" s="268" t="str">
        <f t="shared" si="7"/>
        <v>Normal</v>
      </c>
      <c r="V91" s="268" t="str">
        <f t="shared" si="8"/>
        <v>Normal</v>
      </c>
      <c r="W91" s="270">
        <f t="shared" si="9"/>
        <v>0.15418994413407822</v>
      </c>
      <c r="X91" s="270">
        <f t="shared" si="10"/>
        <v>-7.5517661388550553E-2</v>
      </c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  <c r="AI91" s="265"/>
      <c r="AJ91" s="265"/>
      <c r="AK91" s="265"/>
      <c r="AL91" s="265"/>
    </row>
    <row r="92" spans="1:38">
      <c r="A92" s="77">
        <v>44742</v>
      </c>
      <c r="B92" s="303">
        <f>IF(YEAR(Table9[[#This Row],[Date]]) = 2022, WEEKNUM(Table9[[#This Row],[Date]])-13, WEEKNUM(Table9[[#This Row],[Date]])+40)</f>
        <v>14</v>
      </c>
      <c r="C92" s="68" t="s">
        <v>51</v>
      </c>
      <c r="D92" s="68" t="s">
        <v>59</v>
      </c>
      <c r="E92" s="68">
        <v>1145</v>
      </c>
      <c r="F92" s="68">
        <v>786</v>
      </c>
      <c r="G92" s="148">
        <v>0.66666666666666663</v>
      </c>
      <c r="H92" s="148">
        <v>0.33220338983050846</v>
      </c>
      <c r="I92" s="68">
        <v>22663</v>
      </c>
      <c r="J92" s="68">
        <v>19017</v>
      </c>
      <c r="K92" s="68">
        <v>66285</v>
      </c>
      <c r="L92" s="68">
        <v>54070</v>
      </c>
      <c r="M92" s="2">
        <v>0.3</v>
      </c>
      <c r="N92" s="2">
        <v>0.3</v>
      </c>
      <c r="O92" s="2">
        <v>0.7</v>
      </c>
      <c r="P92" s="2">
        <v>0.73</v>
      </c>
      <c r="Q92" s="193"/>
      <c r="R92" s="209">
        <v>0</v>
      </c>
      <c r="S92" s="209">
        <v>0</v>
      </c>
      <c r="T92" s="43">
        <v>0</v>
      </c>
      <c r="U92" s="268" t="str">
        <f t="shared" si="7"/>
        <v>Outlier</v>
      </c>
      <c r="V92" s="268" t="str">
        <f t="shared" si="8"/>
        <v>Normal</v>
      </c>
      <c r="W92" s="270">
        <f t="shared" si="9"/>
        <v>0.66666666666666663</v>
      </c>
      <c r="X92" s="270">
        <f t="shared" si="10"/>
        <v>0.33220338983050846</v>
      </c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</row>
    <row r="93" spans="1:38">
      <c r="A93" s="23">
        <v>44743</v>
      </c>
      <c r="B93" s="121">
        <f>IF(YEAR(Table9[[#This Row],[Date]]) = 2022, WEEKNUM(Table9[[#This Row],[Date]])-13, WEEKNUM(Table9[[#This Row],[Date]])+40)</f>
        <v>14</v>
      </c>
      <c r="C93" s="1" t="s">
        <v>52</v>
      </c>
      <c r="D93" s="1" t="s">
        <v>59</v>
      </c>
      <c r="E93" s="1">
        <v>887</v>
      </c>
      <c r="F93" s="1">
        <v>817</v>
      </c>
      <c r="G93" s="19">
        <v>3.37995337995338E-2</v>
      </c>
      <c r="H93" s="19">
        <v>0.10107816711590296</v>
      </c>
      <c r="I93" s="1">
        <v>887</v>
      </c>
      <c r="J93" s="1">
        <v>817</v>
      </c>
      <c r="K93" s="1">
        <v>65953</v>
      </c>
      <c r="L93" s="1">
        <v>53946</v>
      </c>
      <c r="M93" s="18">
        <v>0.79</v>
      </c>
      <c r="N93" s="18">
        <v>0.08</v>
      </c>
      <c r="O93" s="18">
        <v>0.92</v>
      </c>
      <c r="P93" s="18">
        <v>0.69</v>
      </c>
      <c r="Q93" s="193"/>
      <c r="R93" s="173">
        <v>0</v>
      </c>
      <c r="S93" s="173">
        <v>0</v>
      </c>
      <c r="T93" s="43">
        <v>0</v>
      </c>
      <c r="U93" s="268" t="str">
        <f t="shared" si="7"/>
        <v>Normal</v>
      </c>
      <c r="V93" s="268" t="str">
        <f t="shared" si="8"/>
        <v>Normal</v>
      </c>
      <c r="W93" s="270">
        <f t="shared" si="9"/>
        <v>3.37995337995338E-2</v>
      </c>
      <c r="X93" s="270">
        <f t="shared" si="10"/>
        <v>0.10107816711590296</v>
      </c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5"/>
      <c r="AK93" s="265"/>
      <c r="AL93" s="265"/>
    </row>
    <row r="94" spans="1:38">
      <c r="A94" s="23">
        <v>44744</v>
      </c>
      <c r="B94" s="121">
        <f>IF(YEAR(Table9[[#This Row],[Date]]) = 2022, WEEKNUM(Table9[[#This Row],[Date]])-13, WEEKNUM(Table9[[#This Row],[Date]])+40)</f>
        <v>14</v>
      </c>
      <c r="C94" s="1" t="s">
        <v>53</v>
      </c>
      <c r="D94" s="32" t="s">
        <v>59</v>
      </c>
      <c r="E94" s="1">
        <v>684</v>
      </c>
      <c r="F94" s="1">
        <v>619</v>
      </c>
      <c r="G94" s="19">
        <v>-0.10588235294117647</v>
      </c>
      <c r="H94" s="19">
        <v>-3.7325038880248837E-2</v>
      </c>
      <c r="I94" s="1">
        <v>1571</v>
      </c>
      <c r="J94" s="1">
        <v>1436</v>
      </c>
      <c r="K94" s="1">
        <v>66969</v>
      </c>
      <c r="L94" s="1">
        <v>54689</v>
      </c>
      <c r="M94" s="18">
        <v>0.74</v>
      </c>
      <c r="N94" s="18">
        <v>0.1</v>
      </c>
      <c r="O94" s="18">
        <v>0.9</v>
      </c>
      <c r="P94" s="18">
        <v>0.72</v>
      </c>
      <c r="Q94" s="193"/>
      <c r="R94" s="173">
        <v>0</v>
      </c>
      <c r="S94" s="173">
        <v>0</v>
      </c>
      <c r="T94" s="43">
        <v>0</v>
      </c>
      <c r="U94" s="268" t="str">
        <f t="shared" si="7"/>
        <v>Normal</v>
      </c>
      <c r="V94" s="268" t="str">
        <f t="shared" si="8"/>
        <v>Normal</v>
      </c>
      <c r="W94" s="270">
        <f t="shared" si="9"/>
        <v>-0.10588235294117647</v>
      </c>
      <c r="X94" s="270">
        <f t="shared" si="10"/>
        <v>-3.7325038880248837E-2</v>
      </c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</row>
    <row r="95" spans="1:38">
      <c r="A95" s="23">
        <v>44745</v>
      </c>
      <c r="B95" s="121">
        <f>IF(YEAR(Table9[[#This Row],[Date]]) = 2022, WEEKNUM(Table9[[#This Row],[Date]])-13, WEEKNUM(Table9[[#This Row],[Date]])+40)</f>
        <v>15</v>
      </c>
      <c r="C95" s="1" t="s">
        <v>47</v>
      </c>
      <c r="D95" s="1" t="s">
        <v>59</v>
      </c>
      <c r="E95" s="1">
        <v>0</v>
      </c>
      <c r="F95" s="1">
        <v>0</v>
      </c>
      <c r="G95" s="19">
        <v>0</v>
      </c>
      <c r="H95" s="19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93"/>
      <c r="R95" s="173">
        <v>0</v>
      </c>
      <c r="S95" s="173">
        <v>0</v>
      </c>
      <c r="T95" s="43">
        <v>0</v>
      </c>
      <c r="U95" s="268" t="str">
        <f t="shared" si="7"/>
        <v>Normal</v>
      </c>
      <c r="V95" s="268" t="str">
        <f t="shared" si="8"/>
        <v>Normal</v>
      </c>
      <c r="W95" s="270">
        <f t="shared" si="9"/>
        <v>0</v>
      </c>
      <c r="X95" s="270">
        <f t="shared" si="10"/>
        <v>0</v>
      </c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</row>
    <row r="96" spans="1:38">
      <c r="A96" s="23">
        <v>44746</v>
      </c>
      <c r="B96" s="121">
        <f>IF(YEAR(Table9[[#This Row],[Date]]) = 2022, WEEKNUM(Table9[[#This Row],[Date]])-13, WEEKNUM(Table9[[#This Row],[Date]])+40)</f>
        <v>15</v>
      </c>
      <c r="C96" s="1" t="s">
        <v>48</v>
      </c>
      <c r="D96" s="32" t="s">
        <v>59</v>
      </c>
      <c r="E96" s="1">
        <v>1106</v>
      </c>
      <c r="F96" s="1">
        <v>823</v>
      </c>
      <c r="G96" s="19">
        <v>2.3126734505087881E-2</v>
      </c>
      <c r="H96" s="19">
        <v>-7.6318742985409652E-2</v>
      </c>
      <c r="I96" s="1">
        <v>2677</v>
      </c>
      <c r="J96" s="1">
        <v>2259</v>
      </c>
      <c r="K96" s="1">
        <v>68075</v>
      </c>
      <c r="L96" s="1">
        <v>55512</v>
      </c>
      <c r="M96" s="18">
        <v>0.39</v>
      </c>
      <c r="N96" s="18">
        <v>0.24</v>
      </c>
      <c r="O96" s="18">
        <v>0.76</v>
      </c>
      <c r="P96" s="18">
        <v>0.76</v>
      </c>
      <c r="Q96" s="193"/>
      <c r="R96" s="173">
        <v>0</v>
      </c>
      <c r="S96" s="173">
        <v>0</v>
      </c>
      <c r="T96" s="43">
        <v>0</v>
      </c>
      <c r="U96" s="268" t="str">
        <f t="shared" si="7"/>
        <v>Normal</v>
      </c>
      <c r="V96" s="268" t="str">
        <f t="shared" si="8"/>
        <v>Normal</v>
      </c>
      <c r="W96" s="270">
        <f t="shared" si="9"/>
        <v>2.3126734505087881E-2</v>
      </c>
      <c r="X96" s="270">
        <f t="shared" si="10"/>
        <v>-7.6318742985409652E-2</v>
      </c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  <c r="AI96" s="265"/>
      <c r="AJ96" s="265"/>
      <c r="AK96" s="265"/>
      <c r="AL96" s="265"/>
    </row>
    <row r="97" spans="1:42">
      <c r="A97" s="23">
        <v>44747</v>
      </c>
      <c r="B97" s="121">
        <f>IF(YEAR(Table9[[#This Row],[Date]]) = 2022, WEEKNUM(Table9[[#This Row],[Date]])-13, WEEKNUM(Table9[[#This Row],[Date]])+40)</f>
        <v>15</v>
      </c>
      <c r="C97" s="1" t="s">
        <v>49</v>
      </c>
      <c r="D97" s="1" t="s">
        <v>59</v>
      </c>
      <c r="E97" s="1">
        <v>941</v>
      </c>
      <c r="F97" s="1">
        <v>859</v>
      </c>
      <c r="G97" s="19">
        <v>-0.14995483288166214</v>
      </c>
      <c r="H97" s="19">
        <v>-6.0175054704595186E-2</v>
      </c>
      <c r="I97" s="1">
        <v>3618</v>
      </c>
      <c r="J97" s="1">
        <v>3118</v>
      </c>
      <c r="K97" s="1">
        <v>69016</v>
      </c>
      <c r="L97" s="1">
        <v>56371</v>
      </c>
      <c r="M97" s="18">
        <v>0.73</v>
      </c>
      <c r="N97" s="18">
        <v>0.09</v>
      </c>
      <c r="O97" s="18">
        <v>0.91</v>
      </c>
      <c r="P97" s="18">
        <v>0.8</v>
      </c>
      <c r="Q97" s="193"/>
      <c r="R97" s="173">
        <v>0</v>
      </c>
      <c r="S97" s="173">
        <v>0</v>
      </c>
      <c r="T97" s="43">
        <v>0</v>
      </c>
      <c r="U97" s="268" t="str">
        <f t="shared" si="7"/>
        <v>Normal</v>
      </c>
      <c r="V97" s="268" t="str">
        <f t="shared" si="8"/>
        <v>Normal</v>
      </c>
      <c r="W97" s="270">
        <f t="shared" si="9"/>
        <v>-0.14995483288166214</v>
      </c>
      <c r="X97" s="270">
        <f t="shared" si="10"/>
        <v>-6.0175054704595186E-2</v>
      </c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  <c r="AI97" s="265"/>
      <c r="AJ97" s="265"/>
      <c r="AK97" s="265"/>
      <c r="AL97" s="265"/>
    </row>
    <row r="98" spans="1:42">
      <c r="A98" s="23">
        <v>44748</v>
      </c>
      <c r="B98" s="121">
        <f>IF(YEAR(Table9[[#This Row],[Date]]) = 2022, WEEKNUM(Table9[[#This Row],[Date]])-13, WEEKNUM(Table9[[#This Row],[Date]])+40)</f>
        <v>15</v>
      </c>
      <c r="C98" s="1" t="s">
        <v>50</v>
      </c>
      <c r="D98" s="32" t="s">
        <v>59</v>
      </c>
      <c r="E98" s="1">
        <v>852</v>
      </c>
      <c r="F98" s="1">
        <v>755</v>
      </c>
      <c r="G98" s="19">
        <v>-0.17521781219748306</v>
      </c>
      <c r="H98" s="19">
        <v>-5.270092226613966E-3</v>
      </c>
      <c r="I98" s="1">
        <v>4470</v>
      </c>
      <c r="J98" s="1">
        <v>3873</v>
      </c>
      <c r="K98" s="1">
        <v>69868</v>
      </c>
      <c r="L98" s="1">
        <v>57126</v>
      </c>
      <c r="M98" s="18">
        <v>0.6</v>
      </c>
      <c r="N98" s="18">
        <v>0.11</v>
      </c>
      <c r="O98" s="18">
        <v>0.89</v>
      </c>
      <c r="P98" s="18">
        <v>0.78</v>
      </c>
      <c r="Q98" s="193"/>
      <c r="R98" s="173">
        <v>0</v>
      </c>
      <c r="S98" s="173">
        <v>0</v>
      </c>
      <c r="T98" s="43">
        <v>0</v>
      </c>
      <c r="U98" s="268" t="str">
        <f t="shared" si="7"/>
        <v>Normal</v>
      </c>
      <c r="V98" s="268" t="str">
        <f t="shared" si="8"/>
        <v>Normal</v>
      </c>
      <c r="W98" s="270">
        <f t="shared" si="9"/>
        <v>-0.17521781219748306</v>
      </c>
      <c r="X98" s="270">
        <f t="shared" si="10"/>
        <v>-5.270092226613966E-3</v>
      </c>
      <c r="Y98" s="265"/>
      <c r="Z98" s="265"/>
      <c r="AA98" s="265"/>
      <c r="AB98" s="265"/>
      <c r="AC98" s="265"/>
      <c r="AD98" s="265"/>
      <c r="AE98" s="265"/>
      <c r="AF98" s="265"/>
      <c r="AG98" s="265"/>
      <c r="AH98" s="265"/>
      <c r="AI98" s="265"/>
      <c r="AJ98" s="265"/>
      <c r="AK98" s="265"/>
      <c r="AL98" s="265"/>
    </row>
    <row r="99" spans="1:42">
      <c r="A99" s="23">
        <v>44749</v>
      </c>
      <c r="B99" s="121">
        <f>IF(YEAR(Table9[[#This Row],[Date]]) = 2022, WEEKNUM(Table9[[#This Row],[Date]])-13, WEEKNUM(Table9[[#This Row],[Date]])+40)</f>
        <v>15</v>
      </c>
      <c r="C99" s="1" t="s">
        <v>51</v>
      </c>
      <c r="D99" s="1" t="s">
        <v>59</v>
      </c>
      <c r="E99" s="1">
        <v>916</v>
      </c>
      <c r="F99" s="1">
        <v>725</v>
      </c>
      <c r="G99" s="19">
        <v>-0.2</v>
      </c>
      <c r="H99" s="19">
        <v>-7.7608142493638677E-2</v>
      </c>
      <c r="I99" s="1">
        <v>5386</v>
      </c>
      <c r="J99" s="1">
        <v>4598</v>
      </c>
      <c r="K99" s="1">
        <v>70784</v>
      </c>
      <c r="L99" s="1">
        <v>57851</v>
      </c>
      <c r="M99" s="18">
        <v>0.35</v>
      </c>
      <c r="N99" s="18">
        <v>0.2</v>
      </c>
      <c r="O99" s="18">
        <v>0.8</v>
      </c>
      <c r="P99" s="18">
        <v>0.96</v>
      </c>
      <c r="Q99" s="193"/>
      <c r="R99" s="173">
        <v>0</v>
      </c>
      <c r="S99" s="173">
        <v>0</v>
      </c>
      <c r="T99" s="43">
        <v>0</v>
      </c>
      <c r="U99" s="268" t="str">
        <f t="shared" si="7"/>
        <v>Normal</v>
      </c>
      <c r="V99" s="268" t="str">
        <f t="shared" si="8"/>
        <v>Normal</v>
      </c>
      <c r="W99" s="270">
        <f t="shared" si="9"/>
        <v>-0.2</v>
      </c>
      <c r="X99" s="270">
        <f t="shared" si="10"/>
        <v>-7.7608142493638677E-2</v>
      </c>
      <c r="Y99" s="265"/>
      <c r="Z99" s="265"/>
      <c r="AA99" s="265"/>
      <c r="AB99" s="265"/>
      <c r="AC99" s="265"/>
      <c r="AD99" s="265"/>
      <c r="AE99" s="265"/>
      <c r="AF99" s="265"/>
      <c r="AG99" s="265"/>
      <c r="AH99" s="265"/>
      <c r="AI99" s="265"/>
      <c r="AJ99" s="265"/>
      <c r="AK99" s="265"/>
      <c r="AL99" s="265"/>
    </row>
    <row r="100" spans="1:42">
      <c r="A100" s="23">
        <v>44750</v>
      </c>
      <c r="B100" s="121">
        <f>IF(YEAR(Table9[[#This Row],[Date]]) = 2022, WEEKNUM(Table9[[#This Row],[Date]])-13, WEEKNUM(Table9[[#This Row],[Date]])+40)</f>
        <v>15</v>
      </c>
      <c r="C100" s="1" t="s">
        <v>52</v>
      </c>
      <c r="D100" s="32" t="s">
        <v>59</v>
      </c>
      <c r="E100" s="1">
        <v>910</v>
      </c>
      <c r="F100" s="1">
        <v>743</v>
      </c>
      <c r="G100" s="19">
        <v>2.5930101465614429E-2</v>
      </c>
      <c r="H100" s="19">
        <v>-9.057527539779682E-2</v>
      </c>
      <c r="I100" s="1">
        <v>6296</v>
      </c>
      <c r="J100" s="1">
        <v>5341</v>
      </c>
      <c r="K100" s="1">
        <v>71694</v>
      </c>
      <c r="L100" s="1">
        <v>58594</v>
      </c>
      <c r="M100" s="18">
        <v>0.53</v>
      </c>
      <c r="N100" s="18">
        <v>0.17</v>
      </c>
      <c r="O100" s="18">
        <v>0.83</v>
      </c>
      <c r="P100" s="18">
        <v>0.76</v>
      </c>
      <c r="Q100" s="193"/>
      <c r="R100" s="173">
        <v>0</v>
      </c>
      <c r="S100" s="173">
        <v>0</v>
      </c>
      <c r="T100" s="43">
        <v>0</v>
      </c>
      <c r="U100" s="268" t="str">
        <f t="shared" si="7"/>
        <v>Normal</v>
      </c>
      <c r="V100" s="268" t="str">
        <f t="shared" si="8"/>
        <v>Normal</v>
      </c>
      <c r="W100" s="270">
        <f t="shared" si="9"/>
        <v>2.5930101465614429E-2</v>
      </c>
      <c r="X100" s="270">
        <f t="shared" si="10"/>
        <v>-9.057527539779682E-2</v>
      </c>
      <c r="Y100" s="265"/>
      <c r="Z100" s="265"/>
      <c r="AA100" s="265"/>
      <c r="AB100" s="265"/>
      <c r="AC100" s="265"/>
      <c r="AD100" s="265"/>
      <c r="AE100" s="265"/>
      <c r="AF100" s="265"/>
      <c r="AG100" s="265"/>
      <c r="AH100" s="265"/>
      <c r="AI100" s="265"/>
      <c r="AJ100" s="265"/>
      <c r="AK100" s="265"/>
      <c r="AL100" s="265"/>
    </row>
    <row r="101" spans="1:42">
      <c r="A101" s="23">
        <v>44751</v>
      </c>
      <c r="B101" s="121">
        <f>IF(YEAR(Table9[[#This Row],[Date]]) = 2022, WEEKNUM(Table9[[#This Row],[Date]])-13, WEEKNUM(Table9[[#This Row],[Date]])+40)</f>
        <v>15</v>
      </c>
      <c r="C101" s="1" t="s">
        <v>53</v>
      </c>
      <c r="D101" s="1" t="s">
        <v>59</v>
      </c>
      <c r="E101" s="1">
        <v>765</v>
      </c>
      <c r="F101" s="1">
        <v>698</v>
      </c>
      <c r="G101" s="19">
        <v>0.11842105263157894</v>
      </c>
      <c r="H101" s="19">
        <v>0.12762520193861066</v>
      </c>
      <c r="I101" s="1">
        <v>7061</v>
      </c>
      <c r="J101" s="1">
        <v>6039</v>
      </c>
      <c r="K101" s="1">
        <v>72459</v>
      </c>
      <c r="L101" s="1">
        <v>59292</v>
      </c>
      <c r="M101" s="18">
        <v>0.82</v>
      </c>
      <c r="N101" s="18">
        <v>0.09</v>
      </c>
      <c r="O101" s="18">
        <v>0.91</v>
      </c>
      <c r="P101" s="18">
        <v>0.81</v>
      </c>
      <c r="Q101" s="193"/>
      <c r="R101" s="173">
        <v>0</v>
      </c>
      <c r="S101" s="173">
        <v>0</v>
      </c>
      <c r="T101" s="43">
        <v>0</v>
      </c>
      <c r="U101" s="268" t="str">
        <f t="shared" si="7"/>
        <v>Normal</v>
      </c>
      <c r="V101" s="268" t="str">
        <f t="shared" si="8"/>
        <v>Normal</v>
      </c>
      <c r="W101" s="270">
        <f t="shared" si="9"/>
        <v>0.11842105263157894</v>
      </c>
      <c r="X101" s="270">
        <f t="shared" si="10"/>
        <v>0.12762520193861066</v>
      </c>
      <c r="Y101" s="265"/>
      <c r="Z101" s="265"/>
      <c r="AA101" s="265"/>
      <c r="AB101" s="265"/>
      <c r="AC101" s="265"/>
      <c r="AD101" s="265"/>
      <c r="AE101" s="265"/>
      <c r="AF101" s="265"/>
      <c r="AG101" s="265"/>
      <c r="AH101" s="265"/>
      <c r="AI101" s="265"/>
      <c r="AJ101" s="265"/>
      <c r="AK101" s="265"/>
      <c r="AL101" s="265"/>
    </row>
    <row r="102" spans="1:42">
      <c r="A102" s="23">
        <v>44752</v>
      </c>
      <c r="B102" s="121">
        <f>IF(YEAR(Table9[[#This Row],[Date]]) = 2022, WEEKNUM(Table9[[#This Row],[Date]])-13, WEEKNUM(Table9[[#This Row],[Date]])+40)</f>
        <v>16</v>
      </c>
      <c r="C102" s="1" t="s">
        <v>47</v>
      </c>
      <c r="D102" s="32" t="s">
        <v>59</v>
      </c>
      <c r="E102" s="1">
        <v>0</v>
      </c>
      <c r="F102" s="1">
        <v>0</v>
      </c>
      <c r="G102" s="19">
        <v>0</v>
      </c>
      <c r="H102" s="19">
        <v>0</v>
      </c>
      <c r="I102" s="1">
        <v>7061</v>
      </c>
      <c r="J102" s="1">
        <v>6039</v>
      </c>
      <c r="K102" s="1">
        <v>72459</v>
      </c>
      <c r="L102" s="1">
        <v>59292</v>
      </c>
      <c r="M102" s="18">
        <v>0</v>
      </c>
      <c r="N102" s="18">
        <v>0</v>
      </c>
      <c r="O102" s="18">
        <v>0</v>
      </c>
      <c r="P102" s="18">
        <v>0</v>
      </c>
      <c r="Q102" s="193"/>
      <c r="R102" s="173">
        <v>0</v>
      </c>
      <c r="S102" s="173">
        <v>0</v>
      </c>
      <c r="T102" s="43">
        <v>0</v>
      </c>
      <c r="U102" s="268" t="str">
        <f t="shared" si="7"/>
        <v>Normal</v>
      </c>
      <c r="V102" s="268" t="str">
        <f t="shared" si="8"/>
        <v>Normal</v>
      </c>
      <c r="W102" s="270">
        <f t="shared" si="9"/>
        <v>0</v>
      </c>
      <c r="X102" s="270">
        <f t="shared" si="10"/>
        <v>0</v>
      </c>
      <c r="Y102" s="265"/>
      <c r="Z102" s="265"/>
      <c r="AA102" s="265"/>
      <c r="AB102" s="265"/>
      <c r="AC102" s="265"/>
      <c r="AD102" s="265"/>
      <c r="AE102" s="265"/>
      <c r="AF102" s="265"/>
      <c r="AG102" s="265"/>
      <c r="AH102" s="265"/>
      <c r="AI102" s="265"/>
      <c r="AJ102" s="265"/>
      <c r="AK102" s="265"/>
      <c r="AL102" s="265"/>
    </row>
    <row r="103" spans="1:42">
      <c r="A103" s="23">
        <v>44753</v>
      </c>
      <c r="B103" s="121">
        <f>IF(YEAR(Table9[[#This Row],[Date]]) = 2022, WEEKNUM(Table9[[#This Row],[Date]])-13, WEEKNUM(Table9[[#This Row],[Date]])+40)</f>
        <v>16</v>
      </c>
      <c r="C103" s="1" t="s">
        <v>48</v>
      </c>
      <c r="D103" s="1" t="s">
        <v>59</v>
      </c>
      <c r="E103" s="1">
        <v>1023</v>
      </c>
      <c r="F103" s="1">
        <v>869</v>
      </c>
      <c r="G103" s="19">
        <v>-7.5045207956600357E-2</v>
      </c>
      <c r="H103" s="19">
        <v>5.5893074119076548E-2</v>
      </c>
      <c r="I103" s="1">
        <v>8084</v>
      </c>
      <c r="J103" s="1">
        <v>6908</v>
      </c>
      <c r="K103" s="1">
        <v>73482</v>
      </c>
      <c r="L103" s="1">
        <v>60161</v>
      </c>
      <c r="M103" s="18">
        <v>0.5</v>
      </c>
      <c r="N103" s="18">
        <v>0.15</v>
      </c>
      <c r="O103" s="18">
        <v>0.85</v>
      </c>
      <c r="P103" s="18">
        <v>0.8</v>
      </c>
      <c r="Q103" s="193"/>
      <c r="R103" s="173">
        <v>0</v>
      </c>
      <c r="S103" s="173">
        <v>0</v>
      </c>
      <c r="T103" s="43">
        <v>0</v>
      </c>
      <c r="U103" s="268" t="str">
        <f t="shared" si="7"/>
        <v>Normal</v>
      </c>
      <c r="V103" s="268" t="str">
        <f t="shared" si="8"/>
        <v>Normal</v>
      </c>
      <c r="W103" s="270">
        <f t="shared" si="9"/>
        <v>-7.5045207956600357E-2</v>
      </c>
      <c r="X103" s="270">
        <f t="shared" si="10"/>
        <v>5.5893074119076548E-2</v>
      </c>
      <c r="Y103" s="265"/>
      <c r="Z103" s="265"/>
      <c r="AA103" s="265"/>
      <c r="AB103" s="265"/>
      <c r="AC103" s="265"/>
      <c r="AD103" s="265"/>
      <c r="AE103" s="265"/>
      <c r="AF103" s="265"/>
      <c r="AG103" s="265"/>
      <c r="AH103" s="265"/>
      <c r="AI103" s="265"/>
      <c r="AJ103" s="265"/>
      <c r="AK103" s="265"/>
      <c r="AL103" s="265"/>
    </row>
    <row r="104" spans="1:42">
      <c r="A104" s="23">
        <v>44754</v>
      </c>
      <c r="B104" s="121">
        <f>IF(YEAR(Table9[[#This Row],[Date]]) = 2022, WEEKNUM(Table9[[#This Row],[Date]])-13, WEEKNUM(Table9[[#This Row],[Date]])+40)</f>
        <v>16</v>
      </c>
      <c r="C104" s="1" t="s">
        <v>49</v>
      </c>
      <c r="D104" s="32" t="s">
        <v>59</v>
      </c>
      <c r="E104" s="1">
        <v>1035</v>
      </c>
      <c r="F104" s="1">
        <v>797</v>
      </c>
      <c r="G104" s="19">
        <v>9.9893730074388953E-2</v>
      </c>
      <c r="H104" s="19">
        <v>-7.2176949941792787E-2</v>
      </c>
      <c r="I104" s="1">
        <v>9119</v>
      </c>
      <c r="J104" s="1">
        <v>7705</v>
      </c>
      <c r="K104" s="1">
        <v>74517</v>
      </c>
      <c r="L104" s="1">
        <v>60958</v>
      </c>
      <c r="M104" s="18">
        <v>0.33</v>
      </c>
      <c r="N104" s="18">
        <v>0.23</v>
      </c>
      <c r="O104" s="18">
        <v>0.77</v>
      </c>
      <c r="P104" s="18">
        <v>0.74</v>
      </c>
      <c r="Q104" s="193"/>
      <c r="R104" s="173">
        <v>0</v>
      </c>
      <c r="S104" s="173">
        <v>0</v>
      </c>
      <c r="T104" s="43">
        <v>0</v>
      </c>
      <c r="U104" s="268" t="str">
        <f t="shared" si="7"/>
        <v>Normal</v>
      </c>
      <c r="V104" s="268" t="str">
        <f t="shared" si="8"/>
        <v>Normal</v>
      </c>
      <c r="W104" s="270">
        <f t="shared" si="9"/>
        <v>9.9893730074388953E-2</v>
      </c>
      <c r="X104" s="270">
        <f t="shared" si="10"/>
        <v>-7.2176949941792787E-2</v>
      </c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</row>
    <row r="105" spans="1:42">
      <c r="A105" s="23">
        <v>44755</v>
      </c>
      <c r="B105" s="121">
        <f>IF(YEAR(Table9[[#This Row],[Date]]) = 2022, WEEKNUM(Table9[[#This Row],[Date]])-13, WEEKNUM(Table9[[#This Row],[Date]])+40)</f>
        <v>16</v>
      </c>
      <c r="C105" s="1" t="s">
        <v>50</v>
      </c>
      <c r="D105" s="1" t="s">
        <v>59</v>
      </c>
      <c r="E105" s="1">
        <v>1025</v>
      </c>
      <c r="F105" s="1">
        <v>750</v>
      </c>
      <c r="G105" s="19">
        <v>0.20305164319248825</v>
      </c>
      <c r="H105" s="19">
        <v>-6.6225165562913907E-3</v>
      </c>
      <c r="I105" s="1">
        <v>10144</v>
      </c>
      <c r="J105" s="1">
        <v>8455</v>
      </c>
      <c r="K105" s="1">
        <v>75542</v>
      </c>
      <c r="L105" s="1">
        <v>61708</v>
      </c>
      <c r="M105" s="18">
        <v>0.21</v>
      </c>
      <c r="N105" s="18">
        <v>0.26</v>
      </c>
      <c r="O105" s="18">
        <v>0.74</v>
      </c>
      <c r="P105" s="18">
        <v>0.87</v>
      </c>
      <c r="Q105" s="193"/>
      <c r="R105" s="173">
        <v>0</v>
      </c>
      <c r="S105" s="173">
        <v>0</v>
      </c>
      <c r="T105" s="43">
        <v>0</v>
      </c>
      <c r="U105" s="268" t="str">
        <f t="shared" si="7"/>
        <v>Normal</v>
      </c>
      <c r="V105" s="268" t="str">
        <f t="shared" si="8"/>
        <v>Normal</v>
      </c>
      <c r="W105" s="270">
        <f t="shared" si="9"/>
        <v>0.20305164319248825</v>
      </c>
      <c r="X105" s="270">
        <f t="shared" si="10"/>
        <v>-6.6225165562913907E-3</v>
      </c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</row>
    <row r="106" spans="1:42">
      <c r="A106" s="23">
        <v>44756</v>
      </c>
      <c r="B106" s="121">
        <f>IF(YEAR(Table9[[#This Row],[Date]]) = 2022, WEEKNUM(Table9[[#This Row],[Date]])-13, WEEKNUM(Table9[[#This Row],[Date]])+40)</f>
        <v>16</v>
      </c>
      <c r="C106" s="1" t="s">
        <v>51</v>
      </c>
      <c r="D106" s="32" t="s">
        <v>59</v>
      </c>
      <c r="E106" s="1">
        <v>983</v>
      </c>
      <c r="F106" s="1">
        <v>691</v>
      </c>
      <c r="G106" s="19">
        <v>7.3144104803493454E-2</v>
      </c>
      <c r="H106" s="19">
        <v>-4.6896551724137932E-2</v>
      </c>
      <c r="I106" s="1">
        <v>11127</v>
      </c>
      <c r="J106" s="1">
        <v>9146</v>
      </c>
      <c r="K106" s="1">
        <v>76525</v>
      </c>
      <c r="L106" s="1">
        <v>62399</v>
      </c>
      <c r="M106" s="18">
        <v>0.25</v>
      </c>
      <c r="N106" s="18">
        <v>0.27</v>
      </c>
      <c r="O106" s="18">
        <v>0.73</v>
      </c>
      <c r="P106" s="18">
        <v>0.91</v>
      </c>
      <c r="Q106" s="193"/>
      <c r="R106" s="173">
        <v>0</v>
      </c>
      <c r="S106" s="173">
        <v>0</v>
      </c>
      <c r="T106" s="43">
        <v>0</v>
      </c>
      <c r="U106" s="268" t="str">
        <f t="shared" si="7"/>
        <v>Normal</v>
      </c>
      <c r="V106" s="268" t="str">
        <f t="shared" si="8"/>
        <v>Normal</v>
      </c>
      <c r="W106" s="270">
        <f t="shared" si="9"/>
        <v>7.3144104803493454E-2</v>
      </c>
      <c r="X106" s="270">
        <f t="shared" si="10"/>
        <v>-4.6896551724137932E-2</v>
      </c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  <c r="AI106" s="265"/>
      <c r="AJ106" s="265"/>
      <c r="AK106" s="265"/>
      <c r="AL106" s="265"/>
    </row>
    <row r="107" spans="1:42">
      <c r="A107" s="23">
        <v>44757</v>
      </c>
      <c r="B107" s="121">
        <f>IF(YEAR(Table9[[#This Row],[Date]]) = 2022, WEEKNUM(Table9[[#This Row],[Date]])-13, WEEKNUM(Table9[[#This Row],[Date]])+40)</f>
        <v>16</v>
      </c>
      <c r="C107" s="1" t="s">
        <v>52</v>
      </c>
      <c r="D107" s="1" t="s">
        <v>59</v>
      </c>
      <c r="E107" s="1">
        <v>963</v>
      </c>
      <c r="F107" s="1">
        <v>609</v>
      </c>
      <c r="G107" s="19">
        <v>5.8241758241758243E-2</v>
      </c>
      <c r="H107" s="19">
        <v>-0.18034993270524899</v>
      </c>
      <c r="I107" s="1">
        <v>12090</v>
      </c>
      <c r="J107" s="1">
        <v>9755</v>
      </c>
      <c r="K107" s="1">
        <v>77488</v>
      </c>
      <c r="L107" s="1">
        <v>63008</v>
      </c>
      <c r="M107" s="18">
        <v>0.15</v>
      </c>
      <c r="N107" s="18">
        <v>0.35</v>
      </c>
      <c r="O107" s="18">
        <v>0.65</v>
      </c>
      <c r="P107" s="18">
        <v>0.81</v>
      </c>
      <c r="Q107" s="193"/>
      <c r="R107" s="173">
        <v>0</v>
      </c>
      <c r="S107" s="173">
        <v>0</v>
      </c>
      <c r="T107" s="43">
        <v>0</v>
      </c>
      <c r="U107" s="268" t="str">
        <f t="shared" si="7"/>
        <v>Normal</v>
      </c>
      <c r="V107" s="268" t="str">
        <f t="shared" si="8"/>
        <v>Normal</v>
      </c>
      <c r="W107" s="270">
        <f t="shared" si="9"/>
        <v>5.8241758241758243E-2</v>
      </c>
      <c r="X107" s="270">
        <f t="shared" si="10"/>
        <v>-0.18034993270524899</v>
      </c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</row>
    <row r="108" spans="1:42">
      <c r="A108" s="23">
        <v>44758</v>
      </c>
      <c r="B108" s="121">
        <f>IF(YEAR(Table9[[#This Row],[Date]]) = 2022, WEEKNUM(Table9[[#This Row],[Date]])-13, WEEKNUM(Table9[[#This Row],[Date]])+40)</f>
        <v>16</v>
      </c>
      <c r="C108" s="1" t="s">
        <v>53</v>
      </c>
      <c r="D108" s="32" t="s">
        <v>59</v>
      </c>
      <c r="E108" s="1">
        <v>807</v>
      </c>
      <c r="F108" s="1">
        <v>710</v>
      </c>
      <c r="G108" s="19">
        <v>5.4901960784313725E-2</v>
      </c>
      <c r="H108" s="19">
        <v>1.7191977077363897E-2</v>
      </c>
      <c r="I108" s="1">
        <v>12897</v>
      </c>
      <c r="J108" s="1">
        <v>10465</v>
      </c>
      <c r="K108" s="1">
        <v>78295</v>
      </c>
      <c r="L108" s="1">
        <v>63718</v>
      </c>
      <c r="M108" s="18">
        <v>0.66</v>
      </c>
      <c r="N108" s="18">
        <v>0.12</v>
      </c>
      <c r="O108" s="18">
        <v>0.88</v>
      </c>
      <c r="P108" s="18">
        <v>0.66</v>
      </c>
      <c r="Q108" s="193"/>
      <c r="R108" s="173">
        <v>0</v>
      </c>
      <c r="S108" s="173">
        <v>0</v>
      </c>
      <c r="T108" s="43">
        <v>0</v>
      </c>
      <c r="U108" s="268" t="str">
        <f t="shared" si="7"/>
        <v>Normal</v>
      </c>
      <c r="V108" s="268" t="str">
        <f t="shared" si="8"/>
        <v>Normal</v>
      </c>
      <c r="W108" s="270">
        <f t="shared" si="9"/>
        <v>5.4901960784313725E-2</v>
      </c>
      <c r="X108" s="270">
        <f t="shared" si="10"/>
        <v>1.7191977077363897E-2</v>
      </c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N108" t="s">
        <v>61</v>
      </c>
      <c r="AO108" s="16">
        <v>44986</v>
      </c>
    </row>
    <row r="109" spans="1:42">
      <c r="A109" s="23">
        <v>44759</v>
      </c>
      <c r="B109" s="121">
        <f>IF(YEAR(Table9[[#This Row],[Date]]) = 2022, WEEKNUM(Table9[[#This Row],[Date]])-13, WEEKNUM(Table9[[#This Row],[Date]])+40)</f>
        <v>17</v>
      </c>
      <c r="C109" s="1" t="s">
        <v>47</v>
      </c>
      <c r="D109" s="1" t="s">
        <v>59</v>
      </c>
      <c r="E109" s="1">
        <v>0</v>
      </c>
      <c r="F109" s="1">
        <v>0</v>
      </c>
      <c r="G109" s="19">
        <v>0</v>
      </c>
      <c r="H109" s="19">
        <v>0</v>
      </c>
      <c r="I109" s="1">
        <v>0</v>
      </c>
      <c r="J109" s="1">
        <v>0</v>
      </c>
      <c r="K109" s="1">
        <v>0</v>
      </c>
      <c r="L109" s="1">
        <v>0</v>
      </c>
      <c r="M109" s="18">
        <v>0</v>
      </c>
      <c r="N109" s="18">
        <v>0</v>
      </c>
      <c r="O109" s="18">
        <v>0</v>
      </c>
      <c r="P109" s="18">
        <v>0</v>
      </c>
      <c r="Q109" s="193"/>
      <c r="R109" s="173">
        <v>0</v>
      </c>
      <c r="S109" s="173">
        <v>0</v>
      </c>
      <c r="T109" s="43">
        <v>0</v>
      </c>
      <c r="U109" s="268" t="str">
        <f t="shared" si="7"/>
        <v>Normal</v>
      </c>
      <c r="V109" s="268" t="str">
        <f t="shared" si="8"/>
        <v>Normal</v>
      </c>
      <c r="W109" s="270">
        <f t="shared" si="9"/>
        <v>0</v>
      </c>
      <c r="X109" s="270">
        <f t="shared" si="10"/>
        <v>0</v>
      </c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  <c r="AI109" s="265"/>
      <c r="AJ109" s="265"/>
      <c r="AK109" s="265"/>
      <c r="AL109" s="265"/>
      <c r="AN109" t="s">
        <v>62</v>
      </c>
      <c r="AO109" s="16">
        <v>45016</v>
      </c>
    </row>
    <row r="110" spans="1:42" s="49" customFormat="1">
      <c r="A110" s="23">
        <v>44760</v>
      </c>
      <c r="B110" s="121">
        <f>IF(YEAR(Table9[[#This Row],[Date]]) = 2022, WEEKNUM(Table9[[#This Row],[Date]])-13, WEEKNUM(Table9[[#This Row],[Date]])+40)</f>
        <v>17</v>
      </c>
      <c r="C110" s="1" t="s">
        <v>48</v>
      </c>
      <c r="D110" s="32" t="s">
        <v>59</v>
      </c>
      <c r="E110" s="1">
        <v>1140</v>
      </c>
      <c r="F110" s="1">
        <v>779</v>
      </c>
      <c r="G110" s="19">
        <v>0.11436950146627566</v>
      </c>
      <c r="H110" s="19">
        <v>-0.10356731875719218</v>
      </c>
      <c r="I110" s="1">
        <v>14037</v>
      </c>
      <c r="J110" s="1">
        <v>11244</v>
      </c>
      <c r="K110" s="1">
        <v>79435</v>
      </c>
      <c r="L110" s="1">
        <v>64497</v>
      </c>
      <c r="M110" s="18">
        <v>0.24</v>
      </c>
      <c r="N110" s="18">
        <v>0.32</v>
      </c>
      <c r="O110" s="18">
        <v>0.68</v>
      </c>
      <c r="P110" s="18">
        <v>0.9</v>
      </c>
      <c r="Q110" s="193"/>
      <c r="R110" s="173">
        <v>0</v>
      </c>
      <c r="S110" s="173">
        <v>0</v>
      </c>
      <c r="T110" s="43">
        <v>0</v>
      </c>
      <c r="U110" s="268" t="str">
        <f t="shared" si="7"/>
        <v>Normal</v>
      </c>
      <c r="V110" s="268" t="str">
        <f t="shared" si="8"/>
        <v>Normal</v>
      </c>
      <c r="W110" s="270">
        <f t="shared" si="9"/>
        <v>0.11436950146627566</v>
      </c>
      <c r="X110" s="270">
        <f t="shared" si="10"/>
        <v>-0.10356731875719218</v>
      </c>
      <c r="Y110" s="265"/>
      <c r="Z110" s="265"/>
      <c r="AA110" s="265"/>
      <c r="AB110" s="265"/>
      <c r="AC110" s="265"/>
      <c r="AD110" s="265"/>
      <c r="AE110" s="265"/>
      <c r="AF110" s="265"/>
      <c r="AG110" s="265"/>
      <c r="AH110" s="265"/>
      <c r="AI110" s="265"/>
      <c r="AJ110" s="265"/>
      <c r="AK110" s="265"/>
      <c r="AL110" s="265"/>
      <c r="AN110"/>
      <c r="AO110"/>
      <c r="AP110"/>
    </row>
    <row r="111" spans="1:42">
      <c r="A111" s="23">
        <v>44761</v>
      </c>
      <c r="B111" s="121">
        <f>IF(YEAR(Table9[[#This Row],[Date]]) = 2022, WEEKNUM(Table9[[#This Row],[Date]])-13, WEEKNUM(Table9[[#This Row],[Date]])+40)</f>
        <v>17</v>
      </c>
      <c r="C111" s="1" t="s">
        <v>49</v>
      </c>
      <c r="D111" s="1" t="s">
        <v>59</v>
      </c>
      <c r="E111" s="1">
        <v>1028</v>
      </c>
      <c r="F111" s="1">
        <v>751</v>
      </c>
      <c r="G111" s="19">
        <v>-6.7632850241545897E-3</v>
      </c>
      <c r="H111" s="19">
        <v>-5.7716436637390213E-2</v>
      </c>
      <c r="I111" s="1">
        <v>15065</v>
      </c>
      <c r="J111" s="1">
        <v>11995</v>
      </c>
      <c r="K111" s="1">
        <v>80463</v>
      </c>
      <c r="L111" s="1">
        <v>65248</v>
      </c>
      <c r="M111" s="18">
        <v>0.25</v>
      </c>
      <c r="N111" s="18">
        <v>0.26</v>
      </c>
      <c r="O111" s="18">
        <v>0.74</v>
      </c>
      <c r="P111" s="18">
        <v>0.77</v>
      </c>
      <c r="Q111" s="193"/>
      <c r="R111" s="173">
        <v>0</v>
      </c>
      <c r="S111" s="173">
        <v>0</v>
      </c>
      <c r="T111" s="43">
        <v>0</v>
      </c>
      <c r="U111" s="268" t="str">
        <f t="shared" si="7"/>
        <v>Normal</v>
      </c>
      <c r="V111" s="268" t="str">
        <f t="shared" si="8"/>
        <v>Normal</v>
      </c>
      <c r="W111" s="270">
        <f t="shared" si="9"/>
        <v>-6.7632850241545897E-3</v>
      </c>
      <c r="X111" s="270">
        <f t="shared" si="10"/>
        <v>-5.7716436637390213E-2</v>
      </c>
      <c r="Y111" s="265"/>
      <c r="Z111" s="265"/>
      <c r="AA111" s="265"/>
      <c r="AB111" s="265"/>
      <c r="AC111" s="265"/>
      <c r="AD111" s="265"/>
      <c r="AE111" s="265"/>
      <c r="AF111" s="265"/>
      <c r="AG111" s="265"/>
      <c r="AH111" s="265"/>
      <c r="AI111" s="265"/>
      <c r="AJ111" s="265"/>
      <c r="AK111" s="265"/>
      <c r="AL111" s="265"/>
    </row>
    <row r="112" spans="1:42">
      <c r="A112" s="23">
        <v>44762</v>
      </c>
      <c r="B112" s="121">
        <f>IF(YEAR(Table9[[#This Row],[Date]]) = 2022, WEEKNUM(Table9[[#This Row],[Date]])-13, WEEKNUM(Table9[[#This Row],[Date]])+40)</f>
        <v>17</v>
      </c>
      <c r="C112" s="1" t="s">
        <v>50</v>
      </c>
      <c r="D112" s="32" t="s">
        <v>59</v>
      </c>
      <c r="E112" s="1">
        <v>996</v>
      </c>
      <c r="F112" s="1">
        <v>780</v>
      </c>
      <c r="G112" s="19">
        <v>-2.8292682926829269E-2</v>
      </c>
      <c r="H112" s="19">
        <v>0.04</v>
      </c>
      <c r="I112" s="1">
        <v>16061</v>
      </c>
      <c r="J112" s="1">
        <v>12775</v>
      </c>
      <c r="K112" s="1">
        <v>81459</v>
      </c>
      <c r="L112" s="1">
        <v>66028</v>
      </c>
      <c r="M112" s="18">
        <v>0.5</v>
      </c>
      <c r="N112" s="18">
        <v>0.21</v>
      </c>
      <c r="O112" s="18">
        <v>0.79</v>
      </c>
      <c r="P112" s="18">
        <v>0.9</v>
      </c>
      <c r="Q112" s="193"/>
      <c r="R112" s="173">
        <v>0</v>
      </c>
      <c r="S112" s="173">
        <v>0</v>
      </c>
      <c r="T112" s="43">
        <v>0</v>
      </c>
      <c r="U112" s="268" t="str">
        <f t="shared" si="7"/>
        <v>Normal</v>
      </c>
      <c r="V112" s="268" t="str">
        <f t="shared" si="8"/>
        <v>Normal</v>
      </c>
      <c r="W112" s="270">
        <f t="shared" si="9"/>
        <v>-2.8292682926829269E-2</v>
      </c>
      <c r="X112" s="270">
        <f t="shared" si="10"/>
        <v>0.04</v>
      </c>
      <c r="Y112" s="265"/>
      <c r="Z112" s="265"/>
      <c r="AA112" s="265"/>
      <c r="AB112" s="265"/>
      <c r="AC112" s="265"/>
      <c r="AD112" s="265"/>
      <c r="AE112" s="265"/>
      <c r="AF112" s="265"/>
      <c r="AG112" s="265"/>
      <c r="AH112" s="265"/>
      <c r="AI112" s="265"/>
      <c r="AJ112" s="265"/>
      <c r="AK112" s="265"/>
      <c r="AL112" s="265"/>
    </row>
    <row r="113" spans="1:38">
      <c r="A113" s="23">
        <v>44763</v>
      </c>
      <c r="B113" s="121">
        <f>IF(YEAR(Table9[[#This Row],[Date]]) = 2022, WEEKNUM(Table9[[#This Row],[Date]])-13, WEEKNUM(Table9[[#This Row],[Date]])+40)</f>
        <v>17</v>
      </c>
      <c r="C113" s="1" t="s">
        <v>51</v>
      </c>
      <c r="D113" s="1" t="s">
        <v>59</v>
      </c>
      <c r="E113" s="1">
        <v>981</v>
      </c>
      <c r="F113" s="1">
        <v>788</v>
      </c>
      <c r="G113" s="19">
        <v>-2.0345879959308239E-3</v>
      </c>
      <c r="H113" s="19">
        <v>0.14037626628075253</v>
      </c>
      <c r="I113" s="1">
        <v>17042</v>
      </c>
      <c r="J113" s="1">
        <v>13563</v>
      </c>
      <c r="K113" s="1">
        <v>82440</v>
      </c>
      <c r="L113" s="1">
        <v>66816</v>
      </c>
      <c r="M113" s="18">
        <v>0.44</v>
      </c>
      <c r="N113" s="18">
        <v>0.2</v>
      </c>
      <c r="O113" s="18">
        <v>0.8</v>
      </c>
      <c r="P113" s="18">
        <v>0.83</v>
      </c>
      <c r="Q113" s="193"/>
      <c r="R113" s="173">
        <v>0</v>
      </c>
      <c r="S113" s="173">
        <v>0</v>
      </c>
      <c r="T113" s="43">
        <v>0</v>
      </c>
      <c r="U113" s="268" t="str">
        <f t="shared" si="7"/>
        <v>Normal</v>
      </c>
      <c r="V113" s="268" t="str">
        <f t="shared" si="8"/>
        <v>Normal</v>
      </c>
      <c r="W113" s="270">
        <f t="shared" si="9"/>
        <v>-2.0345879959308239E-3</v>
      </c>
      <c r="X113" s="270">
        <f t="shared" si="10"/>
        <v>0.14037626628075253</v>
      </c>
      <c r="Y113" s="265"/>
      <c r="Z113" s="265"/>
      <c r="AA113" s="265"/>
      <c r="AB113" s="265"/>
      <c r="AC113" s="265"/>
      <c r="AD113" s="265"/>
      <c r="AE113" s="265"/>
      <c r="AF113" s="265"/>
      <c r="AG113" s="265"/>
      <c r="AH113" s="265"/>
      <c r="AI113" s="265"/>
      <c r="AJ113" s="265"/>
      <c r="AK113" s="265"/>
      <c r="AL113" s="265"/>
    </row>
    <row r="114" spans="1:38">
      <c r="A114" s="23">
        <v>44764</v>
      </c>
      <c r="B114" s="121">
        <f>IF(YEAR(Table9[[#This Row],[Date]]) = 2022, WEEKNUM(Table9[[#This Row],[Date]])-13, WEEKNUM(Table9[[#This Row],[Date]])+40)</f>
        <v>17</v>
      </c>
      <c r="C114" s="1" t="s">
        <v>52</v>
      </c>
      <c r="D114" s="32" t="s">
        <v>59</v>
      </c>
      <c r="E114" s="1">
        <v>930</v>
      </c>
      <c r="F114" s="1">
        <v>811</v>
      </c>
      <c r="G114" s="19">
        <v>-3.4267912772585667E-2</v>
      </c>
      <c r="H114" s="19">
        <v>0.33169129720853857</v>
      </c>
      <c r="I114" s="1">
        <v>17972</v>
      </c>
      <c r="J114" s="1">
        <v>14374</v>
      </c>
      <c r="K114" s="1">
        <v>83370</v>
      </c>
      <c r="L114" s="1">
        <v>67627</v>
      </c>
      <c r="M114" s="18">
        <v>0.56000000000000005</v>
      </c>
      <c r="N114" s="18">
        <v>0.13</v>
      </c>
      <c r="O114" s="18">
        <v>0.87</v>
      </c>
      <c r="P114" s="18">
        <v>0.83</v>
      </c>
      <c r="Q114" s="193"/>
      <c r="R114" s="173">
        <v>0</v>
      </c>
      <c r="S114" s="173">
        <v>0</v>
      </c>
      <c r="T114" s="43">
        <v>0</v>
      </c>
      <c r="U114" s="268" t="str">
        <f t="shared" si="7"/>
        <v>Normal</v>
      </c>
      <c r="V114" s="268" t="str">
        <f t="shared" si="8"/>
        <v>Normal</v>
      </c>
      <c r="W114" s="270">
        <f t="shared" si="9"/>
        <v>-3.4267912772585667E-2</v>
      </c>
      <c r="X114" s="270">
        <f t="shared" si="10"/>
        <v>0.33169129720853857</v>
      </c>
      <c r="Y114" s="265"/>
      <c r="Z114" s="265"/>
      <c r="AA114" s="265"/>
      <c r="AB114" s="265"/>
      <c r="AC114" s="265"/>
      <c r="AD114" s="265"/>
      <c r="AE114" s="265"/>
      <c r="AF114" s="265"/>
      <c r="AG114" s="265"/>
      <c r="AH114" s="265"/>
      <c r="AI114" s="265"/>
      <c r="AJ114" s="265"/>
      <c r="AK114" s="265"/>
      <c r="AL114" s="265"/>
    </row>
    <row r="115" spans="1:38">
      <c r="A115" s="23">
        <v>44765</v>
      </c>
      <c r="B115" s="121">
        <f>IF(YEAR(Table9[[#This Row],[Date]]) = 2022, WEEKNUM(Table9[[#This Row],[Date]])-13, WEEKNUM(Table9[[#This Row],[Date]])+40)</f>
        <v>17</v>
      </c>
      <c r="C115" s="1" t="s">
        <v>53</v>
      </c>
      <c r="D115" s="1" t="s">
        <v>59</v>
      </c>
      <c r="E115" s="1">
        <v>783</v>
      </c>
      <c r="F115" s="1">
        <v>487</v>
      </c>
      <c r="G115" s="19">
        <v>-2.9739776951672861E-2</v>
      </c>
      <c r="H115" s="19">
        <v>-0.31408450704225355</v>
      </c>
      <c r="I115" s="1">
        <v>18755</v>
      </c>
      <c r="J115" s="1">
        <v>14861</v>
      </c>
      <c r="K115" s="1">
        <v>84153</v>
      </c>
      <c r="L115" s="1">
        <v>68114</v>
      </c>
      <c r="M115" s="18">
        <v>0.19</v>
      </c>
      <c r="N115" s="18">
        <v>0.38</v>
      </c>
      <c r="O115" s="18">
        <v>0.62</v>
      </c>
      <c r="P115" s="18">
        <v>0.75</v>
      </c>
      <c r="Q115" s="193"/>
      <c r="R115" s="173">
        <v>0</v>
      </c>
      <c r="S115" s="173">
        <v>0</v>
      </c>
      <c r="T115" s="43">
        <v>0</v>
      </c>
      <c r="U115" s="268" t="str">
        <f t="shared" si="7"/>
        <v>Normal</v>
      </c>
      <c r="V115" s="268" t="str">
        <f t="shared" si="8"/>
        <v>Normal</v>
      </c>
      <c r="W115" s="270">
        <f t="shared" si="9"/>
        <v>-2.9739776951672861E-2</v>
      </c>
      <c r="X115" s="270">
        <f t="shared" si="10"/>
        <v>-0.31408450704225355</v>
      </c>
      <c r="Y115" s="265"/>
      <c r="Z115" s="265"/>
      <c r="AA115" s="265"/>
      <c r="AB115" s="265"/>
      <c r="AC115" s="265"/>
      <c r="AD115" s="265"/>
      <c r="AE115" s="265"/>
      <c r="AF115" s="265"/>
      <c r="AG115" s="265"/>
      <c r="AH115" s="265"/>
      <c r="AI115" s="265"/>
      <c r="AJ115" s="265"/>
      <c r="AK115" s="265"/>
      <c r="AL115" s="265"/>
    </row>
    <row r="116" spans="1:38">
      <c r="A116" s="23">
        <v>44766</v>
      </c>
      <c r="B116" s="121">
        <f>IF(YEAR(Table9[[#This Row],[Date]]) = 2022, WEEKNUM(Table9[[#This Row],[Date]])-13, WEEKNUM(Table9[[#This Row],[Date]])+40)</f>
        <v>18</v>
      </c>
      <c r="C116" s="1" t="s">
        <v>47</v>
      </c>
      <c r="D116" s="32" t="s">
        <v>59</v>
      </c>
      <c r="E116" s="1">
        <v>0</v>
      </c>
      <c r="F116" s="1">
        <v>0</v>
      </c>
      <c r="G116" s="19">
        <v>0</v>
      </c>
      <c r="H116" s="19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193"/>
      <c r="R116" s="173">
        <v>0</v>
      </c>
      <c r="S116" s="173">
        <v>0</v>
      </c>
      <c r="T116" s="43">
        <v>0</v>
      </c>
      <c r="U116" s="268" t="str">
        <f t="shared" si="7"/>
        <v>Normal</v>
      </c>
      <c r="V116" s="268" t="str">
        <f t="shared" si="8"/>
        <v>Normal</v>
      </c>
      <c r="W116" s="270">
        <f t="shared" si="9"/>
        <v>0</v>
      </c>
      <c r="X116" s="270">
        <f t="shared" si="10"/>
        <v>0</v>
      </c>
      <c r="Y116" s="265"/>
      <c r="Z116" s="265"/>
      <c r="AA116" s="265"/>
      <c r="AB116" s="265"/>
      <c r="AC116" s="265"/>
      <c r="AD116" s="265"/>
      <c r="AE116" s="265"/>
      <c r="AF116" s="265"/>
      <c r="AG116" s="265"/>
      <c r="AH116" s="265"/>
      <c r="AI116" s="265"/>
      <c r="AJ116" s="265"/>
      <c r="AK116" s="265"/>
      <c r="AL116" s="265"/>
    </row>
    <row r="117" spans="1:38">
      <c r="A117" s="23">
        <v>44767</v>
      </c>
      <c r="B117" s="121">
        <f>IF(YEAR(Table9[[#This Row],[Date]]) = 2022, WEEKNUM(Table9[[#This Row],[Date]])-13, WEEKNUM(Table9[[#This Row],[Date]])+40)</f>
        <v>18</v>
      </c>
      <c r="C117" s="1" t="s">
        <v>48</v>
      </c>
      <c r="D117" s="1" t="s">
        <v>59</v>
      </c>
      <c r="E117" s="1">
        <v>1089</v>
      </c>
      <c r="F117" s="1">
        <v>860</v>
      </c>
      <c r="G117" s="19">
        <v>-4.4736842105263158E-2</v>
      </c>
      <c r="H117" s="19">
        <v>0.10397946084724005</v>
      </c>
      <c r="I117" s="1">
        <v>19844</v>
      </c>
      <c r="J117" s="1">
        <v>15721</v>
      </c>
      <c r="K117" s="1">
        <v>85242</v>
      </c>
      <c r="L117" s="1">
        <v>68974</v>
      </c>
      <c r="M117" s="18">
        <v>0.43</v>
      </c>
      <c r="N117" s="18">
        <v>0.2</v>
      </c>
      <c r="O117" s="18">
        <v>0.8</v>
      </c>
      <c r="P117" s="18">
        <v>0.8</v>
      </c>
      <c r="Q117" s="193"/>
      <c r="R117" s="173">
        <v>0</v>
      </c>
      <c r="S117" s="173">
        <v>0</v>
      </c>
      <c r="T117" s="43">
        <v>0</v>
      </c>
      <c r="U117" s="268" t="str">
        <f t="shared" si="7"/>
        <v>Normal</v>
      </c>
      <c r="V117" s="268" t="str">
        <f t="shared" si="8"/>
        <v>Normal</v>
      </c>
      <c r="W117" s="270">
        <f t="shared" si="9"/>
        <v>-4.4736842105263158E-2</v>
      </c>
      <c r="X117" s="270">
        <f t="shared" si="10"/>
        <v>0.10397946084724005</v>
      </c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65"/>
      <c r="AI117" s="265"/>
      <c r="AJ117" s="265"/>
      <c r="AK117" s="265"/>
      <c r="AL117" s="265"/>
    </row>
    <row r="118" spans="1:38">
      <c r="A118" s="23">
        <v>44768</v>
      </c>
      <c r="B118" s="121">
        <f>IF(YEAR(Table9[[#This Row],[Date]]) = 2022, WEEKNUM(Table9[[#This Row],[Date]])-13, WEEKNUM(Table9[[#This Row],[Date]])+40)</f>
        <v>18</v>
      </c>
      <c r="C118" s="1" t="s">
        <v>49</v>
      </c>
      <c r="D118" s="32" t="s">
        <v>59</v>
      </c>
      <c r="E118" s="1">
        <v>1063</v>
      </c>
      <c r="F118" s="1">
        <v>693</v>
      </c>
      <c r="G118" s="19">
        <v>3.4046692607003888E-2</v>
      </c>
      <c r="H118" s="19">
        <v>-7.7230359520639141E-2</v>
      </c>
      <c r="I118" s="1">
        <v>20907</v>
      </c>
      <c r="J118" s="1">
        <v>16414</v>
      </c>
      <c r="K118" s="1">
        <v>86305</v>
      </c>
      <c r="L118" s="1">
        <v>69667</v>
      </c>
      <c r="M118" s="18">
        <v>0.23</v>
      </c>
      <c r="N118" s="18">
        <v>0.35</v>
      </c>
      <c r="O118" s="18">
        <v>0.65</v>
      </c>
      <c r="P118" s="18">
        <v>0.8</v>
      </c>
      <c r="Q118" s="193"/>
      <c r="R118" s="173">
        <v>0</v>
      </c>
      <c r="S118" s="173">
        <v>0</v>
      </c>
      <c r="T118" s="43">
        <v>0</v>
      </c>
      <c r="U118" s="268" t="str">
        <f t="shared" si="7"/>
        <v>Normal</v>
      </c>
      <c r="V118" s="268" t="str">
        <f t="shared" si="8"/>
        <v>Normal</v>
      </c>
      <c r="W118" s="270">
        <f t="shared" si="9"/>
        <v>3.4046692607003888E-2</v>
      </c>
      <c r="X118" s="270">
        <f t="shared" si="10"/>
        <v>-7.7230359520639141E-2</v>
      </c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</row>
    <row r="119" spans="1:38">
      <c r="A119" s="23">
        <v>44769</v>
      </c>
      <c r="B119" s="121">
        <f>IF(YEAR(Table9[[#This Row],[Date]]) = 2022, WEEKNUM(Table9[[#This Row],[Date]])-13, WEEKNUM(Table9[[#This Row],[Date]])+40)</f>
        <v>18</v>
      </c>
      <c r="C119" s="1" t="s">
        <v>50</v>
      </c>
      <c r="D119" s="1" t="s">
        <v>59</v>
      </c>
      <c r="E119" s="1">
        <v>1023</v>
      </c>
      <c r="F119" s="1">
        <v>830</v>
      </c>
      <c r="G119" s="19">
        <v>2.710843373493976E-2</v>
      </c>
      <c r="H119" s="19">
        <v>6.4102564102564097E-2</v>
      </c>
      <c r="I119" s="1">
        <v>21930</v>
      </c>
      <c r="J119" s="1">
        <v>17244</v>
      </c>
      <c r="K119" s="1">
        <v>87328</v>
      </c>
      <c r="L119" s="1">
        <v>70497</v>
      </c>
      <c r="M119" s="18">
        <v>0.51</v>
      </c>
      <c r="N119" s="18">
        <v>0.19</v>
      </c>
      <c r="O119" s="18">
        <v>0.81</v>
      </c>
      <c r="P119" s="18">
        <v>0.85</v>
      </c>
      <c r="Q119" s="193"/>
      <c r="R119" s="173">
        <v>0</v>
      </c>
      <c r="S119" s="173">
        <v>0</v>
      </c>
      <c r="T119" s="43">
        <v>0</v>
      </c>
      <c r="U119" s="268" t="str">
        <f t="shared" si="7"/>
        <v>Normal</v>
      </c>
      <c r="V119" s="268" t="str">
        <f t="shared" si="8"/>
        <v>Normal</v>
      </c>
      <c r="W119" s="270">
        <f t="shared" si="9"/>
        <v>2.710843373493976E-2</v>
      </c>
      <c r="X119" s="270">
        <f t="shared" si="10"/>
        <v>6.4102564102564097E-2</v>
      </c>
      <c r="Y119" s="265"/>
      <c r="Z119" s="265"/>
      <c r="AA119" s="265"/>
      <c r="AB119" s="265"/>
      <c r="AC119" s="265"/>
      <c r="AD119" s="265"/>
      <c r="AE119" s="265"/>
      <c r="AF119" s="265"/>
      <c r="AG119" s="265"/>
      <c r="AH119" s="265"/>
      <c r="AI119" s="265"/>
      <c r="AJ119" s="265"/>
      <c r="AK119" s="265"/>
      <c r="AL119" s="265"/>
    </row>
    <row r="120" spans="1:38">
      <c r="A120" s="23">
        <v>44770</v>
      </c>
      <c r="B120" s="121">
        <f>IF(YEAR(Table9[[#This Row],[Date]]) = 2022, WEEKNUM(Table9[[#This Row],[Date]])-13, WEEKNUM(Table9[[#This Row],[Date]])+40)</f>
        <v>18</v>
      </c>
      <c r="C120" s="1" t="s">
        <v>51</v>
      </c>
      <c r="D120" s="32" t="s">
        <v>59</v>
      </c>
      <c r="E120" s="1">
        <v>1004</v>
      </c>
      <c r="F120" s="1">
        <v>898</v>
      </c>
      <c r="G120" s="19">
        <v>2.3445463812436288E-2</v>
      </c>
      <c r="H120" s="19">
        <v>0.13959390862944163</v>
      </c>
      <c r="I120" s="1">
        <v>22934</v>
      </c>
      <c r="J120" s="1">
        <v>18142</v>
      </c>
      <c r="K120" s="1">
        <v>88332</v>
      </c>
      <c r="L120" s="1">
        <v>71395</v>
      </c>
      <c r="M120" s="18">
        <v>0.68</v>
      </c>
      <c r="N120" s="18">
        <v>0.11</v>
      </c>
      <c r="O120" s="18">
        <v>0.89</v>
      </c>
      <c r="P120" s="18">
        <v>0.83</v>
      </c>
      <c r="Q120" s="193"/>
      <c r="R120" s="43">
        <v>0</v>
      </c>
      <c r="S120" s="43">
        <v>0</v>
      </c>
      <c r="T120" s="43">
        <v>0</v>
      </c>
      <c r="U120" s="268" t="str">
        <f t="shared" si="7"/>
        <v>Normal</v>
      </c>
      <c r="V120" s="268" t="str">
        <f t="shared" si="8"/>
        <v>Normal</v>
      </c>
      <c r="W120" s="270">
        <f t="shared" si="9"/>
        <v>2.3445463812436288E-2</v>
      </c>
      <c r="X120" s="270">
        <f t="shared" si="10"/>
        <v>0.13959390862944163</v>
      </c>
      <c r="Y120" s="265"/>
      <c r="Z120" s="265"/>
      <c r="AA120" s="265"/>
      <c r="AB120" s="265"/>
      <c r="AC120" s="265"/>
      <c r="AD120" s="265"/>
      <c r="AE120" s="265"/>
      <c r="AF120" s="265"/>
      <c r="AG120" s="265"/>
      <c r="AH120" s="265"/>
      <c r="AI120" s="265"/>
      <c r="AJ120" s="265"/>
      <c r="AK120" s="265"/>
      <c r="AL120" s="265"/>
    </row>
    <row r="121" spans="1:38">
      <c r="A121" s="23">
        <v>44771</v>
      </c>
      <c r="B121" s="121">
        <f>IF(YEAR(Table9[[#This Row],[Date]]) = 2022, WEEKNUM(Table9[[#This Row],[Date]])-13, WEEKNUM(Table9[[#This Row],[Date]])+40)</f>
        <v>18</v>
      </c>
      <c r="C121" s="1" t="s">
        <v>52</v>
      </c>
      <c r="D121" s="1" t="s">
        <v>59</v>
      </c>
      <c r="E121" s="1">
        <v>1015</v>
      </c>
      <c r="F121" s="1">
        <v>796</v>
      </c>
      <c r="G121" s="19">
        <v>9.1397849462365593E-2</v>
      </c>
      <c r="H121" s="19">
        <v>-1.8495684340320593E-2</v>
      </c>
      <c r="I121" s="1">
        <v>23949</v>
      </c>
      <c r="J121" s="1">
        <v>18938</v>
      </c>
      <c r="K121" s="1">
        <v>89347</v>
      </c>
      <c r="L121" s="1">
        <v>72191</v>
      </c>
      <c r="M121" s="18">
        <v>0.44</v>
      </c>
      <c r="N121" s="18">
        <v>0.22</v>
      </c>
      <c r="O121" s="18">
        <v>0.78</v>
      </c>
      <c r="P121" s="18">
        <v>0.82</v>
      </c>
      <c r="Q121" s="193"/>
      <c r="R121" s="43">
        <v>0</v>
      </c>
      <c r="S121" s="43">
        <v>0</v>
      </c>
      <c r="T121" s="43">
        <v>0</v>
      </c>
      <c r="U121" s="268" t="str">
        <f t="shared" si="7"/>
        <v>Normal</v>
      </c>
      <c r="V121" s="268" t="str">
        <f t="shared" si="8"/>
        <v>Normal</v>
      </c>
      <c r="W121" s="270">
        <f t="shared" si="9"/>
        <v>9.1397849462365593E-2</v>
      </c>
      <c r="X121" s="270">
        <f t="shared" si="10"/>
        <v>-1.8495684340320593E-2</v>
      </c>
      <c r="Y121" s="265"/>
      <c r="Z121" s="265"/>
      <c r="AA121" s="265"/>
      <c r="AB121" s="265"/>
      <c r="AC121" s="265"/>
      <c r="AD121" s="265"/>
      <c r="AE121" s="265"/>
      <c r="AF121" s="265"/>
      <c r="AG121" s="265"/>
      <c r="AH121" s="265"/>
      <c r="AI121" s="265"/>
      <c r="AJ121" s="265"/>
      <c r="AK121" s="265"/>
      <c r="AL121" s="265"/>
    </row>
    <row r="122" spans="1:38">
      <c r="A122" s="23">
        <v>44772</v>
      </c>
      <c r="B122" s="121">
        <f>IF(YEAR(Table9[[#This Row],[Date]]) = 2022, WEEKNUM(Table9[[#This Row],[Date]])-13, WEEKNUM(Table9[[#This Row],[Date]])+40)</f>
        <v>18</v>
      </c>
      <c r="C122" s="1" t="s">
        <v>53</v>
      </c>
      <c r="D122" s="32" t="s">
        <v>59</v>
      </c>
      <c r="E122" s="1">
        <v>860</v>
      </c>
      <c r="F122" s="1">
        <v>703</v>
      </c>
      <c r="G122" s="19">
        <v>9.8339719029374204E-2</v>
      </c>
      <c r="H122" s="19">
        <v>0.44353182751540043</v>
      </c>
      <c r="I122" s="1">
        <v>24809</v>
      </c>
      <c r="J122" s="1">
        <v>19641</v>
      </c>
      <c r="K122" s="1">
        <v>90207</v>
      </c>
      <c r="L122" s="1">
        <v>72894</v>
      </c>
      <c r="M122" s="18">
        <v>0.48</v>
      </c>
      <c r="N122" s="18">
        <v>0.18</v>
      </c>
      <c r="O122" s="18">
        <v>0.82</v>
      </c>
      <c r="P122" s="18">
        <v>0.81</v>
      </c>
      <c r="Q122" s="193"/>
      <c r="R122" s="43">
        <v>0</v>
      </c>
      <c r="S122" s="43">
        <v>0</v>
      </c>
      <c r="T122" s="43">
        <v>0</v>
      </c>
      <c r="U122" s="268" t="str">
        <f t="shared" si="7"/>
        <v>Normal</v>
      </c>
      <c r="V122" s="268" t="str">
        <f t="shared" si="8"/>
        <v>Outlier</v>
      </c>
      <c r="W122" s="270">
        <f t="shared" si="9"/>
        <v>9.8339719029374204E-2</v>
      </c>
      <c r="X122" s="270">
        <f t="shared" si="10"/>
        <v>0.44353182751540043</v>
      </c>
      <c r="Y122" s="265"/>
      <c r="Z122" s="265"/>
      <c r="AA122" s="265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5"/>
    </row>
    <row r="123" spans="1:38">
      <c r="A123" s="23">
        <v>44773</v>
      </c>
      <c r="B123" s="121">
        <f>IF(YEAR(Table9[[#This Row],[Date]]) = 2022, WEEKNUM(Table9[[#This Row],[Date]])-13, WEEKNUM(Table9[[#This Row],[Date]])+40)</f>
        <v>19</v>
      </c>
      <c r="C123" s="1" t="s">
        <v>47</v>
      </c>
      <c r="D123" s="1" t="s">
        <v>59</v>
      </c>
      <c r="E123" s="1">
        <v>0</v>
      </c>
      <c r="F123" s="1">
        <v>0</v>
      </c>
      <c r="G123" s="19">
        <v>0</v>
      </c>
      <c r="H123" s="19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193"/>
      <c r="R123" s="173">
        <v>0</v>
      </c>
      <c r="S123" s="173">
        <v>0</v>
      </c>
      <c r="T123" s="43">
        <v>0</v>
      </c>
      <c r="U123" s="268" t="str">
        <f t="shared" si="7"/>
        <v>Normal</v>
      </c>
      <c r="V123" s="268" t="str">
        <f t="shared" si="8"/>
        <v>Normal</v>
      </c>
      <c r="W123" s="270">
        <f t="shared" si="9"/>
        <v>0</v>
      </c>
      <c r="X123" s="270">
        <f t="shared" si="10"/>
        <v>0</v>
      </c>
      <c r="Y123" s="265"/>
      <c r="Z123" s="265"/>
      <c r="AA123" s="265"/>
      <c r="AB123" s="265"/>
      <c r="AC123" s="265"/>
      <c r="AD123" s="265"/>
      <c r="AE123" s="265"/>
      <c r="AF123" s="265"/>
      <c r="AG123" s="265"/>
      <c r="AH123" s="265"/>
      <c r="AI123" s="265"/>
      <c r="AJ123" s="265"/>
      <c r="AK123" s="265"/>
      <c r="AL123" s="265"/>
    </row>
    <row r="124" spans="1:38">
      <c r="A124" s="104">
        <v>44774</v>
      </c>
      <c r="B124" s="304">
        <f>IF(YEAR(Table9[[#This Row],[Date]]) = 2022, WEEKNUM(Table9[[#This Row],[Date]])-13, WEEKNUM(Table9[[#This Row],[Date]])+40)</f>
        <v>19</v>
      </c>
      <c r="C124" s="52" t="s">
        <v>63</v>
      </c>
      <c r="D124" s="52" t="s">
        <v>59</v>
      </c>
      <c r="E124" s="52">
        <v>0</v>
      </c>
      <c r="F124" s="52">
        <v>0</v>
      </c>
      <c r="G124" s="143">
        <v>0</v>
      </c>
      <c r="H124" s="143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193"/>
      <c r="R124" s="220">
        <v>0</v>
      </c>
      <c r="S124" s="220">
        <v>0</v>
      </c>
      <c r="T124" s="43">
        <v>0</v>
      </c>
      <c r="U124" s="268" t="str">
        <f t="shared" si="7"/>
        <v>Normal</v>
      </c>
      <c r="V124" s="268" t="str">
        <f t="shared" si="8"/>
        <v>Normal</v>
      </c>
      <c r="W124" s="270">
        <f t="shared" si="9"/>
        <v>0</v>
      </c>
      <c r="X124" s="270">
        <f t="shared" si="10"/>
        <v>0</v>
      </c>
      <c r="Y124" s="265"/>
      <c r="Z124" s="265"/>
      <c r="AA124" s="265"/>
      <c r="AB124" s="265"/>
      <c r="AC124" s="265"/>
      <c r="AD124" s="265"/>
      <c r="AE124" s="265"/>
      <c r="AF124" s="265"/>
      <c r="AG124" s="265"/>
      <c r="AH124" s="265"/>
      <c r="AI124" s="265"/>
      <c r="AJ124" s="265"/>
      <c r="AK124" s="265"/>
      <c r="AL124" s="265"/>
    </row>
    <row r="125" spans="1:38">
      <c r="A125" s="23">
        <v>44775</v>
      </c>
      <c r="B125" s="121">
        <f>IF(YEAR(Table9[[#This Row],[Date]]) = 2022, WEEKNUM(Table9[[#This Row],[Date]])-13, WEEKNUM(Table9[[#This Row],[Date]])+40)</f>
        <v>19</v>
      </c>
      <c r="C125" s="1" t="s">
        <v>49</v>
      </c>
      <c r="D125" s="1" t="s">
        <v>59</v>
      </c>
      <c r="E125" s="1">
        <v>1352</v>
      </c>
      <c r="F125" s="1">
        <v>695</v>
      </c>
      <c r="G125" s="19">
        <v>0.27187206020696142</v>
      </c>
      <c r="H125" s="19">
        <v>2.886002886002886E-3</v>
      </c>
      <c r="I125" s="1">
        <v>1352</v>
      </c>
      <c r="J125" s="1">
        <v>695</v>
      </c>
      <c r="K125" s="1">
        <v>91559</v>
      </c>
      <c r="L125" s="1">
        <v>73589</v>
      </c>
      <c r="M125" s="18">
        <v>0.05</v>
      </c>
      <c r="N125" s="18">
        <v>0.49</v>
      </c>
      <c r="O125" s="18">
        <v>0.51</v>
      </c>
      <c r="P125" s="18">
        <v>0.64</v>
      </c>
      <c r="Q125" s="193"/>
      <c r="R125" s="173">
        <v>0</v>
      </c>
      <c r="S125" s="173">
        <v>0</v>
      </c>
      <c r="T125" s="1">
        <v>10</v>
      </c>
      <c r="U125" s="268" t="str">
        <f t="shared" si="7"/>
        <v>Normal</v>
      </c>
      <c r="V125" s="268" t="str">
        <f t="shared" si="8"/>
        <v>Normal</v>
      </c>
      <c r="W125" s="270">
        <f t="shared" si="9"/>
        <v>0.27187206020696142</v>
      </c>
      <c r="X125" s="270">
        <f t="shared" si="10"/>
        <v>2.886002886002886E-3</v>
      </c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49"/>
      <c r="AJ125" s="249"/>
      <c r="AK125" s="249"/>
      <c r="AL125" s="249"/>
    </row>
    <row r="126" spans="1:38">
      <c r="A126" s="23">
        <v>44776</v>
      </c>
      <c r="B126" s="121">
        <f>IF(YEAR(Table9[[#This Row],[Date]]) = 2022, WEEKNUM(Table9[[#This Row],[Date]])-13, WEEKNUM(Table9[[#This Row],[Date]])+40)</f>
        <v>19</v>
      </c>
      <c r="C126" s="1" t="s">
        <v>50</v>
      </c>
      <c r="D126" s="32" t="s">
        <v>59</v>
      </c>
      <c r="E126" s="1">
        <v>1337</v>
      </c>
      <c r="F126" s="1">
        <v>550</v>
      </c>
      <c r="G126" s="19">
        <v>0.30694037145650049</v>
      </c>
      <c r="H126" s="19">
        <v>-0.33734939759036142</v>
      </c>
      <c r="I126" s="1">
        <v>2689</v>
      </c>
      <c r="J126" s="1">
        <v>1245</v>
      </c>
      <c r="K126" s="1">
        <v>92896</v>
      </c>
      <c r="L126" s="1">
        <v>74139</v>
      </c>
      <c r="M126" s="18">
        <v>0.01</v>
      </c>
      <c r="N126" s="18">
        <v>0.59</v>
      </c>
      <c r="O126" s="18">
        <v>0.41</v>
      </c>
      <c r="P126" s="18">
        <v>0.73</v>
      </c>
      <c r="Q126" s="193"/>
      <c r="R126" s="173">
        <v>0</v>
      </c>
      <c r="S126" s="173">
        <v>0</v>
      </c>
      <c r="T126" s="1">
        <v>7</v>
      </c>
      <c r="U126" s="268" t="str">
        <f t="shared" si="7"/>
        <v>Outlier</v>
      </c>
      <c r="V126" s="268" t="str">
        <f t="shared" si="8"/>
        <v>Outlier</v>
      </c>
      <c r="W126" s="270">
        <f t="shared" si="9"/>
        <v>0.30694037145650049</v>
      </c>
      <c r="X126" s="270">
        <f t="shared" si="10"/>
        <v>-0.33734939759036142</v>
      </c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49"/>
      <c r="AJ126" s="249"/>
      <c r="AK126" s="249"/>
      <c r="AL126" s="249"/>
    </row>
    <row r="127" spans="1:38">
      <c r="A127" s="23">
        <v>44777</v>
      </c>
      <c r="B127" s="121">
        <f>IF(YEAR(Table9[[#This Row],[Date]]) = 2022, WEEKNUM(Table9[[#This Row],[Date]])-13, WEEKNUM(Table9[[#This Row],[Date]])+40)</f>
        <v>19</v>
      </c>
      <c r="C127" s="1" t="s">
        <v>51</v>
      </c>
      <c r="D127" s="1" t="s">
        <v>59</v>
      </c>
      <c r="E127" s="1">
        <v>1215</v>
      </c>
      <c r="F127" s="1">
        <v>511</v>
      </c>
      <c r="G127" s="19">
        <v>0.2101593625498008</v>
      </c>
      <c r="H127" s="19">
        <v>-0.43095768374164811</v>
      </c>
      <c r="I127" s="1">
        <v>3904</v>
      </c>
      <c r="J127" s="1">
        <v>1756</v>
      </c>
      <c r="K127" s="1">
        <v>94111</v>
      </c>
      <c r="L127" s="1">
        <v>74650</v>
      </c>
      <c r="M127" s="18">
        <v>0.05</v>
      </c>
      <c r="N127" s="18">
        <v>0.57999999999999996</v>
      </c>
      <c r="O127" s="18">
        <v>0.42</v>
      </c>
      <c r="P127" s="18">
        <v>0.68</v>
      </c>
      <c r="Q127" s="193"/>
      <c r="R127" s="173">
        <v>0</v>
      </c>
      <c r="S127" s="173">
        <v>0</v>
      </c>
      <c r="T127" s="1">
        <v>7</v>
      </c>
      <c r="U127" s="268" t="str">
        <f t="shared" si="7"/>
        <v>Normal</v>
      </c>
      <c r="V127" s="268" t="str">
        <f t="shared" si="8"/>
        <v>Outlier</v>
      </c>
      <c r="W127" s="270">
        <f t="shared" si="9"/>
        <v>0.2101593625498008</v>
      </c>
      <c r="X127" s="270">
        <f t="shared" si="10"/>
        <v>-0.43095768374164811</v>
      </c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</row>
    <row r="128" spans="1:38">
      <c r="A128" s="23">
        <v>44778</v>
      </c>
      <c r="B128" s="121">
        <f>IF(YEAR(Table9[[#This Row],[Date]]) = 2022, WEEKNUM(Table9[[#This Row],[Date]])-13, WEEKNUM(Table9[[#This Row],[Date]])+40)</f>
        <v>19</v>
      </c>
      <c r="C128" s="1" t="s">
        <v>52</v>
      </c>
      <c r="D128" s="32" t="s">
        <v>59</v>
      </c>
      <c r="E128" s="1">
        <v>1138</v>
      </c>
      <c r="F128" s="1">
        <v>517</v>
      </c>
      <c r="G128" s="19">
        <v>0.12118226600985221</v>
      </c>
      <c r="H128" s="19">
        <v>-0.35050251256281406</v>
      </c>
      <c r="I128" s="1">
        <v>5042</v>
      </c>
      <c r="J128" s="1">
        <v>2273</v>
      </c>
      <c r="K128" s="1">
        <v>95249</v>
      </c>
      <c r="L128" s="1">
        <v>75167</v>
      </c>
      <c r="M128" s="18">
        <v>0.03</v>
      </c>
      <c r="N128" s="18">
        <v>0.55000000000000004</v>
      </c>
      <c r="O128" s="18">
        <v>0.45</v>
      </c>
      <c r="P128" s="18">
        <v>0.48</v>
      </c>
      <c r="Q128" s="193"/>
      <c r="R128" s="173">
        <v>0</v>
      </c>
      <c r="S128" s="173">
        <v>0</v>
      </c>
      <c r="T128" s="1">
        <v>10</v>
      </c>
      <c r="U128" s="268" t="str">
        <f t="shared" si="7"/>
        <v>Normal</v>
      </c>
      <c r="V128" s="268" t="str">
        <f t="shared" si="8"/>
        <v>Outlier</v>
      </c>
      <c r="W128" s="270">
        <f t="shared" si="9"/>
        <v>0.12118226600985221</v>
      </c>
      <c r="X128" s="270">
        <f t="shared" si="10"/>
        <v>-0.35050251256281406</v>
      </c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</row>
    <row r="129" spans="1:40">
      <c r="A129" s="23">
        <v>44779</v>
      </c>
      <c r="B129" s="121">
        <f>IF(YEAR(Table9[[#This Row],[Date]]) = 2022, WEEKNUM(Table9[[#This Row],[Date]])-13, WEEKNUM(Table9[[#This Row],[Date]])+40)</f>
        <v>19</v>
      </c>
      <c r="C129" s="1" t="s">
        <v>63</v>
      </c>
      <c r="D129" s="1" t="s">
        <v>59</v>
      </c>
      <c r="E129" s="1">
        <v>0</v>
      </c>
      <c r="F129" s="1">
        <v>0</v>
      </c>
      <c r="G129" s="19">
        <v>0</v>
      </c>
      <c r="H129" s="19">
        <v>0</v>
      </c>
      <c r="I129" s="1">
        <v>0</v>
      </c>
      <c r="J129" s="1">
        <v>0</v>
      </c>
      <c r="K129" s="1">
        <v>0</v>
      </c>
      <c r="L129" s="1">
        <v>0</v>
      </c>
      <c r="M129" s="18">
        <v>0</v>
      </c>
      <c r="N129" s="18">
        <v>0</v>
      </c>
      <c r="O129" s="18">
        <v>0</v>
      </c>
      <c r="P129" s="18">
        <v>0</v>
      </c>
      <c r="Q129" s="193"/>
      <c r="R129" s="173">
        <v>0</v>
      </c>
      <c r="S129" s="173">
        <v>0</v>
      </c>
      <c r="T129" s="173">
        <v>0</v>
      </c>
      <c r="U129" s="268" t="str">
        <f t="shared" si="7"/>
        <v>Normal</v>
      </c>
      <c r="V129" s="268" t="str">
        <f t="shared" si="8"/>
        <v>Normal</v>
      </c>
      <c r="W129" s="270">
        <f t="shared" si="9"/>
        <v>0</v>
      </c>
      <c r="X129" s="270">
        <f t="shared" si="10"/>
        <v>0</v>
      </c>
      <c r="Y129" s="266"/>
      <c r="Z129" s="266"/>
      <c r="AA129" s="266"/>
      <c r="AB129" s="266"/>
      <c r="AC129" s="266"/>
      <c r="AD129" s="266"/>
      <c r="AE129" s="266"/>
      <c r="AF129" s="266"/>
      <c r="AG129" s="266"/>
      <c r="AH129" s="266"/>
      <c r="AI129" s="266"/>
      <c r="AJ129" s="266"/>
      <c r="AK129" s="266"/>
      <c r="AL129" s="266"/>
    </row>
    <row r="130" spans="1:40">
      <c r="A130" s="23">
        <v>44780</v>
      </c>
      <c r="B130" s="121">
        <f>IF(YEAR(Table9[[#This Row],[Date]]) = 2022, WEEKNUM(Table9[[#This Row],[Date]])-13, WEEKNUM(Table9[[#This Row],[Date]])+40)</f>
        <v>20</v>
      </c>
      <c r="C130" s="1" t="s">
        <v>47</v>
      </c>
      <c r="D130" s="32" t="s">
        <v>59</v>
      </c>
      <c r="E130" s="1">
        <v>0</v>
      </c>
      <c r="F130" s="1">
        <v>0</v>
      </c>
      <c r="G130" s="19">
        <v>0</v>
      </c>
      <c r="H130" s="19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193"/>
      <c r="R130" s="173">
        <v>0</v>
      </c>
      <c r="S130" s="173">
        <v>0</v>
      </c>
      <c r="T130" s="173">
        <v>0</v>
      </c>
      <c r="U130" s="268" t="str">
        <f t="shared" si="7"/>
        <v>Normal</v>
      </c>
      <c r="V130" s="268" t="str">
        <f t="shared" si="8"/>
        <v>Normal</v>
      </c>
      <c r="W130" s="270">
        <f t="shared" si="9"/>
        <v>0</v>
      </c>
      <c r="X130" s="270">
        <f t="shared" si="10"/>
        <v>0</v>
      </c>
      <c r="Y130" s="266"/>
      <c r="Z130" s="266"/>
      <c r="AA130" s="266"/>
      <c r="AB130" s="266"/>
      <c r="AC130" s="266"/>
      <c r="AD130" s="266"/>
      <c r="AE130" s="266"/>
      <c r="AF130" s="266"/>
      <c r="AG130" s="266"/>
      <c r="AH130" s="266"/>
      <c r="AI130" s="266"/>
      <c r="AJ130" s="266"/>
      <c r="AK130" s="266"/>
      <c r="AL130" s="266"/>
    </row>
    <row r="131" spans="1:40">
      <c r="A131" s="23">
        <v>44781</v>
      </c>
      <c r="B131" s="121">
        <f>IF(YEAR(Table9[[#This Row],[Date]]) = 2022, WEEKNUM(Table9[[#This Row],[Date]])-13, WEEKNUM(Table9[[#This Row],[Date]])+40)</f>
        <v>20</v>
      </c>
      <c r="C131" s="1" t="s">
        <v>48</v>
      </c>
      <c r="D131" s="1" t="s">
        <v>59</v>
      </c>
      <c r="E131" s="1">
        <v>1471</v>
      </c>
      <c r="F131" s="1">
        <v>831</v>
      </c>
      <c r="G131" s="19">
        <v>0</v>
      </c>
      <c r="H131" s="19">
        <v>0</v>
      </c>
      <c r="I131" s="1">
        <v>6513</v>
      </c>
      <c r="J131" s="1">
        <v>3104</v>
      </c>
      <c r="K131" s="1">
        <v>96720</v>
      </c>
      <c r="L131" s="1">
        <v>75998</v>
      </c>
      <c r="M131" s="18">
        <v>0.1152</v>
      </c>
      <c r="N131" s="18">
        <v>0.43507817811012917</v>
      </c>
      <c r="O131" s="18">
        <v>0.56492182188987083</v>
      </c>
      <c r="P131" s="18">
        <v>0.6994949494949495</v>
      </c>
      <c r="Q131" s="193"/>
      <c r="R131" s="173">
        <v>0</v>
      </c>
      <c r="S131" s="173">
        <v>0</v>
      </c>
      <c r="T131" s="1">
        <v>11</v>
      </c>
      <c r="U131" s="268" t="str">
        <f t="shared" ref="U131:U194" si="11">IF(OR(G131&lt;$AA$5,G131&gt;$AB$5), "Outlier", "Normal")</f>
        <v>Normal</v>
      </c>
      <c r="V131" s="268" t="str">
        <f t="shared" ref="V131:V194" si="12">IF(OR(H131&lt;$AA$6,H131&gt;$AB$6), "Outlier", "Normal")</f>
        <v>Normal</v>
      </c>
      <c r="W131" s="270">
        <f t="shared" ref="W131:W194" si="13">IF(U131="Normal",$G131,IF($G131&lt;150%, $G131, $AA$9))</f>
        <v>0</v>
      </c>
      <c r="X131" s="270">
        <f t="shared" ref="X131:X194" si="14">IF(V131="Normal",$H131,IF($H131&lt;150%, $H131, $AE$9))</f>
        <v>0</v>
      </c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49"/>
      <c r="AJ131" s="249"/>
      <c r="AK131" s="249"/>
      <c r="AL131" s="249"/>
    </row>
    <row r="132" spans="1:40">
      <c r="A132" s="23">
        <v>44782</v>
      </c>
      <c r="B132" s="121">
        <f>IF(YEAR(Table9[[#This Row],[Date]]) = 2022, WEEKNUM(Table9[[#This Row],[Date]])-13, WEEKNUM(Table9[[#This Row],[Date]])+40)</f>
        <v>20</v>
      </c>
      <c r="C132" s="1" t="s">
        <v>49</v>
      </c>
      <c r="D132" s="1" t="s">
        <v>59</v>
      </c>
      <c r="E132" s="1">
        <v>1320</v>
      </c>
      <c r="F132" s="1">
        <v>671</v>
      </c>
      <c r="G132" s="19">
        <v>-2.3668639053254437E-2</v>
      </c>
      <c r="H132" s="19">
        <v>-3.4532374100719423E-2</v>
      </c>
      <c r="I132" s="1">
        <v>7833</v>
      </c>
      <c r="J132" s="1">
        <v>3775</v>
      </c>
      <c r="K132" s="1">
        <v>98040</v>
      </c>
      <c r="L132" s="1">
        <v>76669</v>
      </c>
      <c r="M132" s="18">
        <v>2.315E-2</v>
      </c>
      <c r="N132" s="18">
        <v>0.49166666666666664</v>
      </c>
      <c r="O132" s="18">
        <v>0.5083333333333333</v>
      </c>
      <c r="P132" s="18">
        <v>1.0354938271604939</v>
      </c>
      <c r="Q132" s="193"/>
      <c r="R132" s="173">
        <v>0</v>
      </c>
      <c r="S132" s="173">
        <v>0</v>
      </c>
      <c r="T132" s="1">
        <v>6</v>
      </c>
      <c r="U132" s="268" t="str">
        <f t="shared" si="11"/>
        <v>Normal</v>
      </c>
      <c r="V132" s="268" t="str">
        <f t="shared" si="12"/>
        <v>Normal</v>
      </c>
      <c r="W132" s="270">
        <f t="shared" si="13"/>
        <v>-2.3668639053254437E-2</v>
      </c>
      <c r="X132" s="270">
        <f t="shared" si="14"/>
        <v>-3.4532374100719423E-2</v>
      </c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</row>
    <row r="133" spans="1:40">
      <c r="A133" s="23">
        <v>44783</v>
      </c>
      <c r="B133" s="121">
        <f>IF(YEAR(Table9[[#This Row],[Date]]) = 2022, WEEKNUM(Table9[[#This Row],[Date]])-13, WEEKNUM(Table9[[#This Row],[Date]])+40)</f>
        <v>20</v>
      </c>
      <c r="C133" s="1" t="s">
        <v>50</v>
      </c>
      <c r="D133" s="1" t="s">
        <v>59</v>
      </c>
      <c r="E133" s="1">
        <v>1214</v>
      </c>
      <c r="F133" s="1">
        <v>756</v>
      </c>
      <c r="G133" s="19">
        <v>-9.1997008227374721E-2</v>
      </c>
      <c r="H133" s="19">
        <v>0.37454545454545457</v>
      </c>
      <c r="I133" s="1">
        <v>9047</v>
      </c>
      <c r="J133" s="1">
        <v>4531</v>
      </c>
      <c r="K133" s="1">
        <v>99254</v>
      </c>
      <c r="L133" s="1">
        <v>77425</v>
      </c>
      <c r="M133" s="18">
        <v>6.7799999999999999E-2</v>
      </c>
      <c r="N133" s="18">
        <v>0.3772652388797364</v>
      </c>
      <c r="O133" s="18">
        <v>0.6227347611202636</v>
      </c>
      <c r="P133" s="18">
        <v>0.875</v>
      </c>
      <c r="Q133" s="193"/>
      <c r="R133" s="173">
        <v>0</v>
      </c>
      <c r="S133" s="173">
        <v>0</v>
      </c>
      <c r="T133" s="1">
        <v>8</v>
      </c>
      <c r="U133" s="268" t="str">
        <f t="shared" si="11"/>
        <v>Normal</v>
      </c>
      <c r="V133" s="268" t="str">
        <f t="shared" si="12"/>
        <v>Outlier</v>
      </c>
      <c r="W133" s="270">
        <f t="shared" si="13"/>
        <v>-9.1997008227374721E-2</v>
      </c>
      <c r="X133" s="270">
        <f t="shared" si="14"/>
        <v>0.37454545454545457</v>
      </c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</row>
    <row r="134" spans="1:40">
      <c r="A134" s="23">
        <v>44784</v>
      </c>
      <c r="B134" s="121">
        <f>IF(YEAR(Table9[[#This Row],[Date]]) = 2022, WEEKNUM(Table9[[#This Row],[Date]])-13, WEEKNUM(Table9[[#This Row],[Date]])+40)</f>
        <v>20</v>
      </c>
      <c r="C134" s="1" t="s">
        <v>51</v>
      </c>
      <c r="D134" s="1" t="s">
        <v>59</v>
      </c>
      <c r="E134" s="1">
        <v>1164</v>
      </c>
      <c r="F134" s="1">
        <v>662</v>
      </c>
      <c r="G134" s="19">
        <v>-4.1975308641975309E-2</v>
      </c>
      <c r="H134" s="19">
        <v>0.29549902152641877</v>
      </c>
      <c r="I134" s="1">
        <v>10211</v>
      </c>
      <c r="J134" s="1">
        <v>5193</v>
      </c>
      <c r="K134" s="1">
        <v>100418</v>
      </c>
      <c r="L134" s="1">
        <v>78087</v>
      </c>
      <c r="M134" s="18">
        <v>6.2700000000000006E-2</v>
      </c>
      <c r="N134" s="18">
        <v>0.43127147766323026</v>
      </c>
      <c r="O134" s="18">
        <v>0.56872852233676974</v>
      </c>
      <c r="P134" s="18">
        <v>0.68106995884773669</v>
      </c>
      <c r="Q134" s="193"/>
      <c r="R134" s="173">
        <v>0</v>
      </c>
      <c r="S134" s="173">
        <v>0</v>
      </c>
      <c r="T134" s="1">
        <v>9</v>
      </c>
      <c r="U134" s="268" t="str">
        <f t="shared" si="11"/>
        <v>Normal</v>
      </c>
      <c r="V134" s="268" t="str">
        <f t="shared" si="12"/>
        <v>Normal</v>
      </c>
      <c r="W134" s="270">
        <f t="shared" si="13"/>
        <v>-4.1975308641975309E-2</v>
      </c>
      <c r="X134" s="270">
        <f t="shared" si="14"/>
        <v>0.29549902152641877</v>
      </c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N134">
        <f>AVERAGEIF(T125:T341,"&lt;&gt;0")</f>
        <v>12.14516129032258</v>
      </c>
    </row>
    <row r="135" spans="1:40">
      <c r="A135" s="23">
        <v>44785</v>
      </c>
      <c r="B135" s="121">
        <f>IF(YEAR(Table9[[#This Row],[Date]]) = 2022, WEEKNUM(Table9[[#This Row],[Date]])-13, WEEKNUM(Table9[[#This Row],[Date]])+40)</f>
        <v>20</v>
      </c>
      <c r="C135" s="1" t="s">
        <v>52</v>
      </c>
      <c r="D135" s="1" t="s">
        <v>59</v>
      </c>
      <c r="E135" s="1">
        <v>1075</v>
      </c>
      <c r="F135" s="1">
        <v>681</v>
      </c>
      <c r="G135" s="19">
        <v>-5.5360281195079089E-2</v>
      </c>
      <c r="H135" s="19">
        <v>0.31721470019342357</v>
      </c>
      <c r="I135" s="1">
        <v>11286</v>
      </c>
      <c r="J135" s="1">
        <v>5874</v>
      </c>
      <c r="K135" s="1">
        <v>101493</v>
      </c>
      <c r="L135" s="1">
        <v>78768</v>
      </c>
      <c r="M135" s="18">
        <v>0.1724</v>
      </c>
      <c r="N135" s="18">
        <v>0.36651162790697672</v>
      </c>
      <c r="O135" s="18">
        <v>0.63348837209302322</v>
      </c>
      <c r="P135" s="18">
        <v>0.63055555555555554</v>
      </c>
      <c r="Q135" s="193"/>
      <c r="R135" s="173">
        <v>0</v>
      </c>
      <c r="S135" s="173">
        <v>0</v>
      </c>
      <c r="T135" s="1">
        <v>10</v>
      </c>
      <c r="U135" s="268" t="str">
        <f t="shared" si="11"/>
        <v>Normal</v>
      </c>
      <c r="V135" s="268" t="str">
        <f t="shared" si="12"/>
        <v>Normal</v>
      </c>
      <c r="W135" s="270">
        <f t="shared" si="13"/>
        <v>-5.5360281195079089E-2</v>
      </c>
      <c r="X135" s="270">
        <f t="shared" si="14"/>
        <v>0.31721470019342357</v>
      </c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</row>
    <row r="136" spans="1:40">
      <c r="A136" s="23">
        <v>44786</v>
      </c>
      <c r="B136" s="121">
        <f>IF(YEAR(Table9[[#This Row],[Date]]) = 2022, WEEKNUM(Table9[[#This Row],[Date]])-13, WEEKNUM(Table9[[#This Row],[Date]])+40)</f>
        <v>20</v>
      </c>
      <c r="C136" s="1" t="s">
        <v>53</v>
      </c>
      <c r="D136" s="1" t="s">
        <v>59</v>
      </c>
      <c r="E136" s="1">
        <v>851</v>
      </c>
      <c r="F136" s="1">
        <v>437</v>
      </c>
      <c r="G136" s="19">
        <v>0</v>
      </c>
      <c r="H136" s="19">
        <v>0</v>
      </c>
      <c r="I136" s="1">
        <v>12137</v>
      </c>
      <c r="J136" s="1">
        <v>6311</v>
      </c>
      <c r="K136" s="1">
        <v>102344</v>
      </c>
      <c r="L136" s="1">
        <v>79205</v>
      </c>
      <c r="M136" s="18">
        <v>3.4599999999999999E-2</v>
      </c>
      <c r="N136" s="18">
        <v>0.48648648648648651</v>
      </c>
      <c r="O136" s="18">
        <v>0.51351351351351349</v>
      </c>
      <c r="P136" s="18">
        <v>1.0115740740740742</v>
      </c>
      <c r="Q136" s="193"/>
      <c r="R136" s="173">
        <v>0</v>
      </c>
      <c r="S136" s="173">
        <v>0</v>
      </c>
      <c r="T136" s="1">
        <v>4</v>
      </c>
      <c r="U136" s="268" t="str">
        <f t="shared" si="11"/>
        <v>Normal</v>
      </c>
      <c r="V136" s="268" t="str">
        <f t="shared" si="12"/>
        <v>Normal</v>
      </c>
      <c r="W136" s="270">
        <f t="shared" si="13"/>
        <v>0</v>
      </c>
      <c r="X136" s="270">
        <f t="shared" si="14"/>
        <v>0</v>
      </c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</row>
    <row r="137" spans="1:40">
      <c r="A137" s="23">
        <v>44787</v>
      </c>
      <c r="B137" s="121">
        <f>IF(YEAR(Table9[[#This Row],[Date]]) = 2022, WEEKNUM(Table9[[#This Row],[Date]])-13, WEEKNUM(Table9[[#This Row],[Date]])+40)</f>
        <v>21</v>
      </c>
      <c r="C137" s="1" t="s">
        <v>47</v>
      </c>
      <c r="D137" s="1" t="s">
        <v>59</v>
      </c>
      <c r="E137" s="1">
        <v>0</v>
      </c>
      <c r="F137" s="1">
        <v>0</v>
      </c>
      <c r="G137" s="19">
        <v>0</v>
      </c>
      <c r="H137" s="19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193"/>
      <c r="R137" s="173">
        <v>0</v>
      </c>
      <c r="S137" s="173">
        <v>0</v>
      </c>
      <c r="T137" s="173">
        <v>0</v>
      </c>
      <c r="U137" s="268" t="str">
        <f t="shared" si="11"/>
        <v>Normal</v>
      </c>
      <c r="V137" s="268" t="str">
        <f t="shared" si="12"/>
        <v>Normal</v>
      </c>
      <c r="W137" s="270">
        <f t="shared" si="13"/>
        <v>0</v>
      </c>
      <c r="X137" s="270">
        <f t="shared" si="14"/>
        <v>0</v>
      </c>
      <c r="Y137" s="266"/>
      <c r="Z137" s="266"/>
      <c r="AA137" s="266"/>
      <c r="AB137" s="266"/>
      <c r="AC137" s="266"/>
      <c r="AD137" s="266"/>
      <c r="AE137" s="266"/>
      <c r="AF137" s="266"/>
      <c r="AG137" s="266"/>
      <c r="AH137" s="266"/>
      <c r="AI137" s="266"/>
      <c r="AJ137" s="266"/>
      <c r="AK137" s="266"/>
      <c r="AL137" s="266"/>
    </row>
    <row r="138" spans="1:40">
      <c r="A138" s="23">
        <v>44788</v>
      </c>
      <c r="B138" s="121">
        <f>IF(YEAR(Table9[[#This Row],[Date]]) = 2022, WEEKNUM(Table9[[#This Row],[Date]])-13, WEEKNUM(Table9[[#This Row],[Date]])+40)</f>
        <v>21</v>
      </c>
      <c r="C138" s="1" t="s">
        <v>48</v>
      </c>
      <c r="D138" s="1" t="s">
        <v>59</v>
      </c>
      <c r="E138" s="1">
        <v>1402</v>
      </c>
      <c r="F138" s="1">
        <v>725</v>
      </c>
      <c r="G138" s="19">
        <v>-4.6906866077498298E-2</v>
      </c>
      <c r="H138" s="19">
        <v>-0.12755716004813478</v>
      </c>
      <c r="I138" s="1">
        <v>13539</v>
      </c>
      <c r="J138" s="1">
        <v>7036</v>
      </c>
      <c r="K138" s="1">
        <v>103746</v>
      </c>
      <c r="L138" s="1">
        <v>79930</v>
      </c>
      <c r="M138" s="18">
        <v>0.03</v>
      </c>
      <c r="N138" s="18">
        <v>0.48</v>
      </c>
      <c r="O138" s="18">
        <v>0.52</v>
      </c>
      <c r="P138" s="18">
        <v>0.96</v>
      </c>
      <c r="Q138" s="193"/>
      <c r="R138" s="221">
        <v>0</v>
      </c>
      <c r="S138" s="221">
        <v>0</v>
      </c>
      <c r="T138" s="38">
        <v>7</v>
      </c>
      <c r="U138" s="268" t="str">
        <f t="shared" si="11"/>
        <v>Normal</v>
      </c>
      <c r="V138" s="268" t="str">
        <f t="shared" si="12"/>
        <v>Normal</v>
      </c>
      <c r="W138" s="270">
        <f t="shared" si="13"/>
        <v>-4.6906866077498298E-2</v>
      </c>
      <c r="X138" s="270">
        <f t="shared" si="14"/>
        <v>-0.12755716004813478</v>
      </c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</row>
    <row r="139" spans="1:40">
      <c r="A139" s="23">
        <v>44789</v>
      </c>
      <c r="B139" s="121">
        <f>IF(YEAR(Table9[[#This Row],[Date]]) = 2022, WEEKNUM(Table9[[#This Row],[Date]])-13, WEEKNUM(Table9[[#This Row],[Date]])+40)</f>
        <v>21</v>
      </c>
      <c r="C139" s="1" t="s">
        <v>49</v>
      </c>
      <c r="D139" s="1" t="s">
        <v>59</v>
      </c>
      <c r="E139" s="1">
        <v>1151</v>
      </c>
      <c r="F139" s="1">
        <v>668</v>
      </c>
      <c r="G139" s="19">
        <v>-0.12803030303030302</v>
      </c>
      <c r="H139" s="19">
        <v>-4.4709388971684054E-3</v>
      </c>
      <c r="I139" s="1">
        <v>14690</v>
      </c>
      <c r="J139" s="1">
        <v>7704</v>
      </c>
      <c r="K139" s="1">
        <v>104897</v>
      </c>
      <c r="L139" s="1">
        <v>80598</v>
      </c>
      <c r="M139" s="18">
        <v>0.13</v>
      </c>
      <c r="N139" s="18">
        <v>0.42</v>
      </c>
      <c r="O139" s="18">
        <v>0.57999999999999996</v>
      </c>
      <c r="P139" s="18">
        <v>0.69</v>
      </c>
      <c r="Q139" s="193"/>
      <c r="R139" s="173">
        <v>0</v>
      </c>
      <c r="S139" s="173">
        <v>0</v>
      </c>
      <c r="T139" s="1">
        <v>9</v>
      </c>
      <c r="U139" s="268" t="str">
        <f t="shared" si="11"/>
        <v>Normal</v>
      </c>
      <c r="V139" s="268" t="str">
        <f t="shared" si="12"/>
        <v>Normal</v>
      </c>
      <c r="W139" s="270">
        <f t="shared" si="13"/>
        <v>-0.12803030303030302</v>
      </c>
      <c r="X139" s="270">
        <f t="shared" si="14"/>
        <v>-4.4709388971684054E-3</v>
      </c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</row>
    <row r="140" spans="1:40">
      <c r="A140" s="23">
        <v>44790</v>
      </c>
      <c r="B140" s="121">
        <f>IF(YEAR(Table9[[#This Row],[Date]]) = 2022, WEEKNUM(Table9[[#This Row],[Date]])-13, WEEKNUM(Table9[[#This Row],[Date]])+40)</f>
        <v>21</v>
      </c>
      <c r="C140" s="1" t="s">
        <v>50</v>
      </c>
      <c r="D140" s="1" t="s">
        <v>59</v>
      </c>
      <c r="E140" s="1">
        <v>965</v>
      </c>
      <c r="F140" s="1">
        <v>825</v>
      </c>
      <c r="G140" s="19">
        <v>-0.20510708401976935</v>
      </c>
      <c r="H140" s="19">
        <v>9.1269841269841265E-2</v>
      </c>
      <c r="I140" s="1">
        <v>15655</v>
      </c>
      <c r="J140" s="1">
        <v>8529</v>
      </c>
      <c r="K140" s="1">
        <v>105862</v>
      </c>
      <c r="L140" s="1">
        <v>81423</v>
      </c>
      <c r="M140" s="18">
        <v>0.5</v>
      </c>
      <c r="N140" s="18">
        <v>0.15</v>
      </c>
      <c r="O140" s="18">
        <v>0.85</v>
      </c>
      <c r="P140" s="18">
        <v>0.85</v>
      </c>
      <c r="Q140" s="193"/>
      <c r="R140" s="173">
        <v>0</v>
      </c>
      <c r="S140" s="173">
        <v>0</v>
      </c>
      <c r="T140" s="1">
        <v>9</v>
      </c>
      <c r="U140" s="268" t="str">
        <f t="shared" si="11"/>
        <v>Normal</v>
      </c>
      <c r="V140" s="268" t="str">
        <f t="shared" si="12"/>
        <v>Normal</v>
      </c>
      <c r="W140" s="270">
        <f t="shared" si="13"/>
        <v>-0.20510708401976935</v>
      </c>
      <c r="X140" s="270">
        <f t="shared" si="14"/>
        <v>9.1269841269841265E-2</v>
      </c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</row>
    <row r="141" spans="1:40">
      <c r="A141" s="23">
        <v>44791</v>
      </c>
      <c r="B141" s="121">
        <f>IF(YEAR(Table9[[#This Row],[Date]]) = 2022, WEEKNUM(Table9[[#This Row],[Date]])-13, WEEKNUM(Table9[[#This Row],[Date]])+40)</f>
        <v>21</v>
      </c>
      <c r="C141" s="1" t="s">
        <v>51</v>
      </c>
      <c r="D141" s="1" t="s">
        <v>59</v>
      </c>
      <c r="E141" s="1">
        <v>1244</v>
      </c>
      <c r="F141" s="1">
        <v>824</v>
      </c>
      <c r="G141" s="19">
        <v>6.8728522336769765E-2</v>
      </c>
      <c r="H141" s="19">
        <v>0.24471299093655588</v>
      </c>
      <c r="I141" s="1">
        <v>16899</v>
      </c>
      <c r="J141" s="1">
        <v>9353</v>
      </c>
      <c r="K141" s="1">
        <v>107106</v>
      </c>
      <c r="L141" s="1">
        <v>82247</v>
      </c>
      <c r="M141" s="18">
        <v>0.24</v>
      </c>
      <c r="N141" s="18">
        <v>0.34</v>
      </c>
      <c r="O141" s="18">
        <v>0.66</v>
      </c>
      <c r="P141" s="18">
        <v>0.76</v>
      </c>
      <c r="Q141" s="193"/>
      <c r="R141" s="173">
        <v>0</v>
      </c>
      <c r="S141" s="173">
        <v>0</v>
      </c>
      <c r="T141" s="1">
        <v>10</v>
      </c>
      <c r="U141" s="268" t="str">
        <f t="shared" si="11"/>
        <v>Normal</v>
      </c>
      <c r="V141" s="268" t="str">
        <f t="shared" si="12"/>
        <v>Normal</v>
      </c>
      <c r="W141" s="270">
        <f t="shared" si="13"/>
        <v>6.8728522336769765E-2</v>
      </c>
      <c r="X141" s="270">
        <f t="shared" si="14"/>
        <v>0.24471299093655588</v>
      </c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</row>
    <row r="142" spans="1:40">
      <c r="A142" s="23">
        <v>44792</v>
      </c>
      <c r="B142" s="121">
        <f>IF(YEAR(Table9[[#This Row],[Date]]) = 2022, WEEKNUM(Table9[[#This Row],[Date]])-13, WEEKNUM(Table9[[#This Row],[Date]])+40)</f>
        <v>21</v>
      </c>
      <c r="C142" s="1" t="s">
        <v>52</v>
      </c>
      <c r="D142" s="1" t="s">
        <v>59</v>
      </c>
      <c r="E142" s="1">
        <v>1106</v>
      </c>
      <c r="F142" s="1">
        <v>730</v>
      </c>
      <c r="G142" s="19">
        <v>2.883720930232558E-2</v>
      </c>
      <c r="H142" s="19">
        <v>7.1953010279001473E-2</v>
      </c>
      <c r="I142" s="1">
        <v>18005</v>
      </c>
      <c r="J142" s="1">
        <v>10083</v>
      </c>
      <c r="K142" s="1">
        <v>108212</v>
      </c>
      <c r="L142" s="1">
        <v>82977</v>
      </c>
      <c r="M142" s="18">
        <v>0.25</v>
      </c>
      <c r="N142" s="18">
        <v>0.34</v>
      </c>
      <c r="O142" s="18">
        <v>0.66</v>
      </c>
      <c r="P142" s="18">
        <v>0.75</v>
      </c>
      <c r="Q142" s="193"/>
      <c r="R142" s="173">
        <v>0</v>
      </c>
      <c r="S142" s="173">
        <v>0</v>
      </c>
      <c r="T142" s="1">
        <v>9</v>
      </c>
      <c r="U142" s="268" t="str">
        <f t="shared" si="11"/>
        <v>Normal</v>
      </c>
      <c r="V142" s="268" t="str">
        <f t="shared" si="12"/>
        <v>Normal</v>
      </c>
      <c r="W142" s="270">
        <f t="shared" si="13"/>
        <v>2.883720930232558E-2</v>
      </c>
      <c r="X142" s="270">
        <f t="shared" si="14"/>
        <v>7.1953010279001473E-2</v>
      </c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</row>
    <row r="143" spans="1:40">
      <c r="A143" s="23">
        <v>44793</v>
      </c>
      <c r="B143" s="121">
        <f>IF(YEAR(Table9[[#This Row],[Date]]) = 2022, WEEKNUM(Table9[[#This Row],[Date]])-13, WEEKNUM(Table9[[#This Row],[Date]])+40)</f>
        <v>21</v>
      </c>
      <c r="C143" s="1" t="s">
        <v>53</v>
      </c>
      <c r="D143" s="1" t="s">
        <v>59</v>
      </c>
      <c r="E143" s="1">
        <v>774</v>
      </c>
      <c r="F143" s="1">
        <v>724</v>
      </c>
      <c r="G143" s="19">
        <v>-9.0481786133960046E-2</v>
      </c>
      <c r="H143" s="19">
        <v>0.65675057208237986</v>
      </c>
      <c r="I143" s="1">
        <v>18779</v>
      </c>
      <c r="J143" s="1">
        <v>10807</v>
      </c>
      <c r="K143" s="1">
        <v>108986</v>
      </c>
      <c r="L143" s="1">
        <v>83701</v>
      </c>
      <c r="M143" s="18">
        <v>0.75</v>
      </c>
      <c r="N143" s="18">
        <v>0.06</v>
      </c>
      <c r="O143" s="18">
        <v>0.94</v>
      </c>
      <c r="P143" s="18">
        <v>0.61</v>
      </c>
      <c r="Q143" s="193"/>
      <c r="R143" s="173">
        <v>0</v>
      </c>
      <c r="S143" s="173">
        <v>0</v>
      </c>
      <c r="T143" s="1">
        <v>11</v>
      </c>
      <c r="U143" s="268" t="str">
        <f t="shared" si="11"/>
        <v>Normal</v>
      </c>
      <c r="V143" s="268" t="str">
        <f t="shared" si="12"/>
        <v>Outlier</v>
      </c>
      <c r="W143" s="270">
        <f t="shared" si="13"/>
        <v>-9.0481786133960046E-2</v>
      </c>
      <c r="X143" s="270">
        <f t="shared" si="14"/>
        <v>0.65675057208237986</v>
      </c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</row>
    <row r="144" spans="1:40">
      <c r="A144" s="23">
        <v>44794</v>
      </c>
      <c r="B144" s="121">
        <f>IF(YEAR(Table9[[#This Row],[Date]]) = 2022, WEEKNUM(Table9[[#This Row],[Date]])-13, WEEKNUM(Table9[[#This Row],[Date]])+40)</f>
        <v>22</v>
      </c>
      <c r="C144" s="1" t="s">
        <v>47</v>
      </c>
      <c r="D144" s="1" t="s">
        <v>59</v>
      </c>
      <c r="E144" s="1">
        <v>0</v>
      </c>
      <c r="F144" s="1">
        <v>0</v>
      </c>
      <c r="G144" s="19">
        <v>0</v>
      </c>
      <c r="H144" s="19">
        <v>0</v>
      </c>
      <c r="I144" s="1">
        <v>0</v>
      </c>
      <c r="J144" s="1">
        <v>0</v>
      </c>
      <c r="K144" s="1">
        <v>0</v>
      </c>
      <c r="L144" s="1">
        <v>0</v>
      </c>
      <c r="M144" s="18">
        <v>0</v>
      </c>
      <c r="N144" s="18">
        <v>0</v>
      </c>
      <c r="O144" s="18">
        <v>0</v>
      </c>
      <c r="P144" s="18">
        <v>0</v>
      </c>
      <c r="Q144" s="193"/>
      <c r="R144" s="173">
        <v>0</v>
      </c>
      <c r="S144" s="173">
        <v>0</v>
      </c>
      <c r="T144" s="173">
        <v>0</v>
      </c>
      <c r="U144" s="268" t="str">
        <f t="shared" si="11"/>
        <v>Normal</v>
      </c>
      <c r="V144" s="268" t="str">
        <f t="shared" si="12"/>
        <v>Normal</v>
      </c>
      <c r="W144" s="270">
        <f t="shared" si="13"/>
        <v>0</v>
      </c>
      <c r="X144" s="270">
        <f t="shared" si="14"/>
        <v>0</v>
      </c>
      <c r="Y144" s="266"/>
      <c r="Z144" s="266"/>
      <c r="AA144" s="266"/>
      <c r="AB144" s="266"/>
      <c r="AC144" s="266"/>
      <c r="AD144" s="266"/>
      <c r="AE144" s="266"/>
      <c r="AF144" s="266"/>
      <c r="AG144" s="266"/>
      <c r="AH144" s="266"/>
      <c r="AI144" s="266"/>
      <c r="AJ144" s="266"/>
      <c r="AK144" s="266"/>
      <c r="AL144" s="266"/>
    </row>
    <row r="145" spans="1:42">
      <c r="A145" s="23">
        <v>44795</v>
      </c>
      <c r="B145" s="121">
        <f>IF(YEAR(Table9[[#This Row],[Date]]) = 2022, WEEKNUM(Table9[[#This Row],[Date]])-13, WEEKNUM(Table9[[#This Row],[Date]])+40)</f>
        <v>22</v>
      </c>
      <c r="C145" s="1" t="s">
        <v>48</v>
      </c>
      <c r="D145" s="1" t="s">
        <v>59</v>
      </c>
      <c r="E145" s="1">
        <v>1161</v>
      </c>
      <c r="F145" s="1">
        <v>865</v>
      </c>
      <c r="G145" s="19">
        <v>-0.17189728958630529</v>
      </c>
      <c r="H145" s="19">
        <v>0.19310344827586207</v>
      </c>
      <c r="I145" s="1">
        <v>19940</v>
      </c>
      <c r="J145" s="1">
        <v>11672</v>
      </c>
      <c r="K145" s="1">
        <v>110147</v>
      </c>
      <c r="L145" s="1">
        <v>84566</v>
      </c>
      <c r="M145" s="18">
        <v>0.33</v>
      </c>
      <c r="N145" s="18">
        <v>0.25</v>
      </c>
      <c r="O145" s="18">
        <v>0.75</v>
      </c>
      <c r="P145" s="18">
        <v>0.8</v>
      </c>
      <c r="Q145" s="193"/>
      <c r="R145" s="173">
        <v>0</v>
      </c>
      <c r="S145" s="173">
        <v>0</v>
      </c>
      <c r="T145" s="1">
        <v>10</v>
      </c>
      <c r="U145" s="268" t="str">
        <f t="shared" si="11"/>
        <v>Normal</v>
      </c>
      <c r="V145" s="268" t="str">
        <f t="shared" si="12"/>
        <v>Normal</v>
      </c>
      <c r="W145" s="270">
        <f t="shared" si="13"/>
        <v>-0.17189728958630529</v>
      </c>
      <c r="X145" s="270">
        <f t="shared" si="14"/>
        <v>0.19310344827586207</v>
      </c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</row>
    <row r="146" spans="1:42">
      <c r="A146" s="23">
        <v>44796</v>
      </c>
      <c r="B146" s="121">
        <f>IF(YEAR(Table9[[#This Row],[Date]]) = 2022, WEEKNUM(Table9[[#This Row],[Date]])-13, WEEKNUM(Table9[[#This Row],[Date]])+40)</f>
        <v>22</v>
      </c>
      <c r="C146" s="1" t="s">
        <v>49</v>
      </c>
      <c r="D146" s="1" t="s">
        <v>59</v>
      </c>
      <c r="E146" s="1">
        <v>1052</v>
      </c>
      <c r="F146" s="1">
        <v>812</v>
      </c>
      <c r="G146" s="19">
        <v>-8.6012163336229366E-2</v>
      </c>
      <c r="H146" s="19">
        <v>0.21556886227544911</v>
      </c>
      <c r="I146" s="1">
        <v>20992</v>
      </c>
      <c r="J146" s="1">
        <v>12484</v>
      </c>
      <c r="K146" s="1">
        <v>111199</v>
      </c>
      <c r="L146" s="1">
        <v>85378</v>
      </c>
      <c r="M146" s="18">
        <v>0.46</v>
      </c>
      <c r="N146" s="18">
        <v>0.23</v>
      </c>
      <c r="O146" s="18">
        <v>0.77</v>
      </c>
      <c r="P146" s="18">
        <v>0.68</v>
      </c>
      <c r="Q146" s="193"/>
      <c r="R146" s="173">
        <v>0</v>
      </c>
      <c r="S146" s="173">
        <v>0</v>
      </c>
      <c r="T146" s="1">
        <v>11</v>
      </c>
      <c r="U146" s="268" t="str">
        <f t="shared" si="11"/>
        <v>Normal</v>
      </c>
      <c r="V146" s="268" t="str">
        <f t="shared" si="12"/>
        <v>Normal</v>
      </c>
      <c r="W146" s="270">
        <f t="shared" si="13"/>
        <v>-8.6012163336229366E-2</v>
      </c>
      <c r="X146" s="270">
        <f t="shared" si="14"/>
        <v>0.21556886227544911</v>
      </c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49"/>
      <c r="AJ146" s="249"/>
      <c r="AK146" s="249"/>
      <c r="AL146" s="249"/>
      <c r="AN146" s="49"/>
      <c r="AO146" s="49"/>
      <c r="AP146" s="49"/>
    </row>
    <row r="147" spans="1:42">
      <c r="A147" s="23">
        <v>44797</v>
      </c>
      <c r="B147" s="121">
        <f>IF(YEAR(Table9[[#This Row],[Date]]) = 2022, WEEKNUM(Table9[[#This Row],[Date]])-13, WEEKNUM(Table9[[#This Row],[Date]])+40)</f>
        <v>22</v>
      </c>
      <c r="C147" s="1" t="s">
        <v>50</v>
      </c>
      <c r="D147" s="1" t="s">
        <v>59</v>
      </c>
      <c r="E147" s="1">
        <v>970</v>
      </c>
      <c r="F147" s="1">
        <v>845</v>
      </c>
      <c r="G147" s="19">
        <v>5.1813471502590676E-3</v>
      </c>
      <c r="H147" s="19">
        <v>2.4242424242424242E-2</v>
      </c>
      <c r="I147" s="1">
        <v>21962</v>
      </c>
      <c r="J147" s="1">
        <v>13329</v>
      </c>
      <c r="K147" s="1">
        <v>112169</v>
      </c>
      <c r="L147" s="1">
        <v>86223</v>
      </c>
      <c r="M147" s="18">
        <v>0.63</v>
      </c>
      <c r="N147" s="18">
        <v>0.13</v>
      </c>
      <c r="O147" s="18">
        <v>0.87</v>
      </c>
      <c r="P147" s="18">
        <v>0.78</v>
      </c>
      <c r="Q147" s="193"/>
      <c r="R147" s="173">
        <v>0</v>
      </c>
      <c r="S147" s="173">
        <v>0</v>
      </c>
      <c r="T147" s="1">
        <v>10</v>
      </c>
      <c r="U147" s="268" t="str">
        <f t="shared" si="11"/>
        <v>Normal</v>
      </c>
      <c r="V147" s="268" t="str">
        <f t="shared" si="12"/>
        <v>Normal</v>
      </c>
      <c r="W147" s="270">
        <f t="shared" si="13"/>
        <v>5.1813471502590676E-3</v>
      </c>
      <c r="X147" s="270">
        <f t="shared" si="14"/>
        <v>2.4242424242424242E-2</v>
      </c>
      <c r="Y147" s="249"/>
      <c r="Z147" s="249"/>
      <c r="AA147" s="249"/>
      <c r="AB147" s="249"/>
      <c r="AC147" s="249"/>
      <c r="AD147" s="249"/>
      <c r="AE147" s="249"/>
      <c r="AF147" s="249"/>
      <c r="AG147" s="249"/>
      <c r="AH147" s="249"/>
      <c r="AI147" s="249"/>
      <c r="AJ147" s="249"/>
      <c r="AK147" s="249"/>
      <c r="AL147" s="249"/>
    </row>
    <row r="148" spans="1:42">
      <c r="A148" s="23">
        <v>44798</v>
      </c>
      <c r="B148" s="121">
        <f>IF(YEAR(Table9[[#This Row],[Date]]) = 2022, WEEKNUM(Table9[[#This Row],[Date]])-13, WEEKNUM(Table9[[#This Row],[Date]])+40)</f>
        <v>22</v>
      </c>
      <c r="C148" s="1" t="s">
        <v>51</v>
      </c>
      <c r="D148" s="1" t="s">
        <v>59</v>
      </c>
      <c r="E148" s="1">
        <v>1014</v>
      </c>
      <c r="F148" s="1">
        <v>903</v>
      </c>
      <c r="G148" s="19">
        <v>-0.18488745980707397</v>
      </c>
      <c r="H148" s="19">
        <v>9.5873786407766989E-2</v>
      </c>
      <c r="I148" s="1">
        <v>22976</v>
      </c>
      <c r="J148" s="1">
        <v>14232</v>
      </c>
      <c r="K148" s="1">
        <v>113183</v>
      </c>
      <c r="L148" s="1">
        <v>87126</v>
      </c>
      <c r="M148" s="18">
        <v>0.65</v>
      </c>
      <c r="N148" s="18">
        <v>0.11</v>
      </c>
      <c r="O148" s="18">
        <v>0.89</v>
      </c>
      <c r="P148" s="18">
        <v>0.84</v>
      </c>
      <c r="Q148" s="193"/>
      <c r="R148" s="173">
        <v>0</v>
      </c>
      <c r="S148" s="173">
        <v>0</v>
      </c>
      <c r="T148" s="1">
        <v>10</v>
      </c>
      <c r="U148" s="268" t="str">
        <f t="shared" si="11"/>
        <v>Normal</v>
      </c>
      <c r="V148" s="268" t="str">
        <f t="shared" si="12"/>
        <v>Normal</v>
      </c>
      <c r="W148" s="270">
        <f t="shared" si="13"/>
        <v>-0.18488745980707397</v>
      </c>
      <c r="X148" s="270">
        <f t="shared" si="14"/>
        <v>9.5873786407766989E-2</v>
      </c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</row>
    <row r="149" spans="1:42">
      <c r="A149" s="23">
        <v>44799</v>
      </c>
      <c r="B149" s="121">
        <f>IF(YEAR(Table9[[#This Row],[Date]]) = 2022, WEEKNUM(Table9[[#This Row],[Date]])-13, WEEKNUM(Table9[[#This Row],[Date]])+40)</f>
        <v>22</v>
      </c>
      <c r="C149" s="1" t="s">
        <v>52</v>
      </c>
      <c r="D149" s="1" t="s">
        <v>59</v>
      </c>
      <c r="E149" s="1">
        <v>1062</v>
      </c>
      <c r="F149" s="1">
        <v>890</v>
      </c>
      <c r="G149" s="19">
        <v>-3.9783001808318265E-2</v>
      </c>
      <c r="H149" s="19">
        <v>0.21917808219178081</v>
      </c>
      <c r="I149" s="1">
        <v>24038</v>
      </c>
      <c r="J149" s="1">
        <v>15122</v>
      </c>
      <c r="K149" s="1">
        <v>114245</v>
      </c>
      <c r="L149" s="1">
        <v>88016</v>
      </c>
      <c r="M149" s="18">
        <v>0.65</v>
      </c>
      <c r="N149" s="18">
        <v>0.16</v>
      </c>
      <c r="O149" s="18">
        <v>0.84</v>
      </c>
      <c r="P149" s="18">
        <v>1.03</v>
      </c>
      <c r="Q149" s="193"/>
      <c r="R149" s="173">
        <v>0</v>
      </c>
      <c r="S149" s="173">
        <v>0</v>
      </c>
      <c r="T149" s="1">
        <v>8</v>
      </c>
      <c r="U149" s="268" t="str">
        <f t="shared" si="11"/>
        <v>Normal</v>
      </c>
      <c r="V149" s="268" t="str">
        <f t="shared" si="12"/>
        <v>Normal</v>
      </c>
      <c r="W149" s="270">
        <f t="shared" si="13"/>
        <v>-3.9783001808318265E-2</v>
      </c>
      <c r="X149" s="270">
        <f t="shared" si="14"/>
        <v>0.21917808219178081</v>
      </c>
      <c r="Y149" s="249"/>
      <c r="Z149" s="249"/>
      <c r="AA149" s="249"/>
      <c r="AB149" s="249"/>
      <c r="AC149" s="249"/>
      <c r="AD149" s="249"/>
      <c r="AE149" s="249"/>
      <c r="AF149" s="249"/>
      <c r="AG149" s="249"/>
      <c r="AH149" s="249"/>
      <c r="AI149" s="249"/>
      <c r="AJ149" s="249"/>
      <c r="AK149" s="249"/>
      <c r="AL149" s="249"/>
    </row>
    <row r="150" spans="1:42">
      <c r="A150" s="23">
        <v>44800</v>
      </c>
      <c r="B150" s="121">
        <f>IF(YEAR(Table9[[#This Row],[Date]]) = 2022, WEEKNUM(Table9[[#This Row],[Date]])-13, WEEKNUM(Table9[[#This Row],[Date]])+40)</f>
        <v>22</v>
      </c>
      <c r="C150" s="1" t="s">
        <v>53</v>
      </c>
      <c r="D150" s="1" t="s">
        <v>59</v>
      </c>
      <c r="E150" s="1">
        <v>912</v>
      </c>
      <c r="F150" s="1">
        <v>409</v>
      </c>
      <c r="G150" s="19">
        <v>0.17829457364341086</v>
      </c>
      <c r="H150" s="19">
        <v>-0.43508287292817682</v>
      </c>
      <c r="I150" s="1">
        <v>24950</v>
      </c>
      <c r="J150" s="1">
        <v>15531</v>
      </c>
      <c r="K150" s="1">
        <v>115157</v>
      </c>
      <c r="L150" s="1">
        <v>88425</v>
      </c>
      <c r="M150" s="18">
        <v>0.09</v>
      </c>
      <c r="N150" s="18">
        <v>0.55000000000000004</v>
      </c>
      <c r="O150" s="18">
        <v>0.45</v>
      </c>
      <c r="P150" s="18">
        <v>0.47</v>
      </c>
      <c r="Q150" s="193"/>
      <c r="R150" s="173">
        <v>0</v>
      </c>
      <c r="S150" s="173">
        <v>0</v>
      </c>
      <c r="T150" s="1">
        <v>8</v>
      </c>
      <c r="U150" s="268" t="str">
        <f t="shared" si="11"/>
        <v>Normal</v>
      </c>
      <c r="V150" s="268" t="str">
        <f t="shared" si="12"/>
        <v>Outlier</v>
      </c>
      <c r="W150" s="270">
        <f t="shared" si="13"/>
        <v>0.17829457364341086</v>
      </c>
      <c r="X150" s="270">
        <f t="shared" si="14"/>
        <v>-0.43508287292817682</v>
      </c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49"/>
      <c r="AJ150" s="249"/>
      <c r="AK150" s="249"/>
      <c r="AL150" s="249"/>
    </row>
    <row r="151" spans="1:42">
      <c r="A151" s="23">
        <v>44801</v>
      </c>
      <c r="B151" s="121">
        <f>IF(YEAR(Table9[[#This Row],[Date]]) = 2022, WEEKNUM(Table9[[#This Row],[Date]])-13, WEEKNUM(Table9[[#This Row],[Date]])+40)</f>
        <v>23</v>
      </c>
      <c r="C151" s="1" t="s">
        <v>47</v>
      </c>
      <c r="D151" s="1" t="s">
        <v>59</v>
      </c>
      <c r="E151" s="1">
        <v>0</v>
      </c>
      <c r="F151" s="1">
        <v>0</v>
      </c>
      <c r="G151" s="19">
        <v>0</v>
      </c>
      <c r="H151" s="19">
        <v>0</v>
      </c>
      <c r="I151" s="1">
        <v>0</v>
      </c>
      <c r="J151" s="1">
        <v>0</v>
      </c>
      <c r="K151" s="1">
        <v>0</v>
      </c>
      <c r="L151" s="1">
        <v>0</v>
      </c>
      <c r="M151" s="18">
        <v>0</v>
      </c>
      <c r="N151" s="18">
        <v>0</v>
      </c>
      <c r="O151" s="18">
        <v>0</v>
      </c>
      <c r="P151" s="18">
        <v>0</v>
      </c>
      <c r="Q151" s="193"/>
      <c r="R151" s="173">
        <v>0</v>
      </c>
      <c r="S151" s="173">
        <v>0</v>
      </c>
      <c r="T151" s="173">
        <v>0</v>
      </c>
      <c r="U151" s="268" t="str">
        <f t="shared" si="11"/>
        <v>Normal</v>
      </c>
      <c r="V151" s="268" t="str">
        <f t="shared" si="12"/>
        <v>Normal</v>
      </c>
      <c r="W151" s="270">
        <f t="shared" si="13"/>
        <v>0</v>
      </c>
      <c r="X151" s="270">
        <f t="shared" si="14"/>
        <v>0</v>
      </c>
      <c r="Y151" s="266"/>
      <c r="Z151" s="266"/>
      <c r="AA151" s="266"/>
      <c r="AB151" s="266"/>
      <c r="AC151" s="266"/>
      <c r="AD151" s="266"/>
      <c r="AE151" s="266"/>
      <c r="AF151" s="266"/>
      <c r="AG151" s="266"/>
      <c r="AH151" s="266"/>
      <c r="AI151" s="266"/>
      <c r="AJ151" s="266"/>
      <c r="AK151" s="266"/>
      <c r="AL151" s="266"/>
      <c r="AN151" s="163">
        <f>AVERAGEIF(S279:S341,"&lt;&gt;0")</f>
        <v>1.6859567901234555E-2</v>
      </c>
    </row>
    <row r="152" spans="1:42">
      <c r="A152" s="23">
        <v>44802</v>
      </c>
      <c r="B152" s="121">
        <f>IF(YEAR(Table9[[#This Row],[Date]]) = 2022, WEEKNUM(Table9[[#This Row],[Date]])-13, WEEKNUM(Table9[[#This Row],[Date]])+40)</f>
        <v>23</v>
      </c>
      <c r="C152" s="1" t="s">
        <v>48</v>
      </c>
      <c r="D152" s="1" t="s">
        <v>59</v>
      </c>
      <c r="E152" s="1">
        <v>1255</v>
      </c>
      <c r="F152" s="1">
        <v>1148</v>
      </c>
      <c r="G152" s="19">
        <v>8.0964685615848409E-2</v>
      </c>
      <c r="H152" s="19">
        <v>0.32716763005780347</v>
      </c>
      <c r="I152" s="1">
        <v>26205</v>
      </c>
      <c r="J152" s="1">
        <v>16679</v>
      </c>
      <c r="K152" s="1">
        <v>116412</v>
      </c>
      <c r="L152" s="1">
        <v>89573</v>
      </c>
      <c r="M152" s="18">
        <v>0.77</v>
      </c>
      <c r="N152" s="18">
        <v>0.09</v>
      </c>
      <c r="O152" s="18">
        <v>0.91</v>
      </c>
      <c r="P152" s="18">
        <v>0.89</v>
      </c>
      <c r="Q152" s="193"/>
      <c r="R152" s="173">
        <v>0</v>
      </c>
      <c r="S152" s="173">
        <v>0</v>
      </c>
      <c r="T152" s="1">
        <v>12</v>
      </c>
      <c r="U152" s="268" t="str">
        <f t="shared" si="11"/>
        <v>Normal</v>
      </c>
      <c r="V152" s="268" t="str">
        <f t="shared" si="12"/>
        <v>Normal</v>
      </c>
      <c r="W152" s="270">
        <f t="shared" si="13"/>
        <v>8.0964685615848409E-2</v>
      </c>
      <c r="X152" s="270">
        <f t="shared" si="14"/>
        <v>0.32716763005780347</v>
      </c>
      <c r="Y152" s="249"/>
      <c r="Z152" s="249"/>
      <c r="AA152" s="249"/>
      <c r="AB152" s="249"/>
      <c r="AC152" s="249"/>
      <c r="AD152" s="249"/>
      <c r="AE152" s="249"/>
      <c r="AF152" s="249"/>
      <c r="AG152" s="249"/>
      <c r="AH152" s="249"/>
      <c r="AI152" s="249"/>
      <c r="AJ152" s="249"/>
      <c r="AK152" s="249"/>
      <c r="AL152" s="249"/>
    </row>
    <row r="153" spans="1:42">
      <c r="A153" s="23">
        <v>44803</v>
      </c>
      <c r="B153" s="121">
        <f>IF(YEAR(Table9[[#This Row],[Date]]) = 2022, WEEKNUM(Table9[[#This Row],[Date]])-13, WEEKNUM(Table9[[#This Row],[Date]])+40)</f>
        <v>23</v>
      </c>
      <c r="C153" s="1" t="s">
        <v>49</v>
      </c>
      <c r="D153" s="1" t="s">
        <v>59</v>
      </c>
      <c r="E153" s="1">
        <v>1257</v>
      </c>
      <c r="F153" s="1">
        <v>1111</v>
      </c>
      <c r="G153" s="19">
        <v>0.19486692015209126</v>
      </c>
      <c r="H153" s="19">
        <v>0.3682266009852217</v>
      </c>
      <c r="I153" s="1">
        <v>27462</v>
      </c>
      <c r="J153" s="1">
        <v>17790</v>
      </c>
      <c r="K153" s="1">
        <v>117669</v>
      </c>
      <c r="L153" s="1">
        <v>90684</v>
      </c>
      <c r="M153" s="18">
        <v>0.63</v>
      </c>
      <c r="N153" s="18">
        <v>0.12</v>
      </c>
      <c r="O153" s="18">
        <v>0.88</v>
      </c>
      <c r="P153" s="18">
        <v>0.73</v>
      </c>
      <c r="Q153" s="193"/>
      <c r="R153" s="173">
        <v>0</v>
      </c>
      <c r="S153" s="173">
        <v>0</v>
      </c>
      <c r="T153" s="1">
        <v>14</v>
      </c>
      <c r="U153" s="268" t="str">
        <f t="shared" si="11"/>
        <v>Normal</v>
      </c>
      <c r="V153" s="268" t="str">
        <f t="shared" si="12"/>
        <v>Outlier</v>
      </c>
      <c r="W153" s="270">
        <f t="shared" si="13"/>
        <v>0.19486692015209126</v>
      </c>
      <c r="X153" s="270">
        <f t="shared" si="14"/>
        <v>0.3682266009852217</v>
      </c>
      <c r="Y153" s="249"/>
      <c r="Z153" s="249"/>
      <c r="AA153" s="249"/>
      <c r="AB153" s="249"/>
      <c r="AC153" s="249"/>
      <c r="AD153" s="249"/>
      <c r="AE153" s="249"/>
      <c r="AF153" s="249"/>
      <c r="AG153" s="249"/>
      <c r="AH153" s="249"/>
      <c r="AI153" s="249"/>
      <c r="AJ153" s="249"/>
      <c r="AK153" s="249"/>
      <c r="AL153" s="249"/>
    </row>
    <row r="154" spans="1:42">
      <c r="A154" s="23">
        <v>44804</v>
      </c>
      <c r="B154" s="121">
        <f>IF(YEAR(Table9[[#This Row],[Date]]) = 2022, WEEKNUM(Table9[[#This Row],[Date]])-13, WEEKNUM(Table9[[#This Row],[Date]])+40)</f>
        <v>23</v>
      </c>
      <c r="C154" s="1" t="s">
        <v>50</v>
      </c>
      <c r="D154" s="1" t="s">
        <v>59</v>
      </c>
      <c r="E154" s="1">
        <v>1281</v>
      </c>
      <c r="F154" s="1">
        <v>948</v>
      </c>
      <c r="G154" s="19">
        <v>0.32061855670103095</v>
      </c>
      <c r="H154" s="19">
        <v>0.12189349112426036</v>
      </c>
      <c r="I154" s="1">
        <v>28743</v>
      </c>
      <c r="J154" s="1">
        <v>18738</v>
      </c>
      <c r="K154" s="1">
        <v>118950</v>
      </c>
      <c r="L154" s="1">
        <v>91632</v>
      </c>
      <c r="M154" s="18">
        <v>0.26</v>
      </c>
      <c r="N154" s="18">
        <v>0.26</v>
      </c>
      <c r="O154" s="18">
        <v>0.74</v>
      </c>
      <c r="P154" s="18">
        <v>0.73</v>
      </c>
      <c r="Q154" s="193"/>
      <c r="R154" s="173">
        <v>0</v>
      </c>
      <c r="S154" s="173">
        <v>0</v>
      </c>
      <c r="T154" s="1">
        <v>12</v>
      </c>
      <c r="U154" s="268" t="str">
        <f t="shared" si="11"/>
        <v>Outlier</v>
      </c>
      <c r="V154" s="268" t="str">
        <f t="shared" si="12"/>
        <v>Normal</v>
      </c>
      <c r="W154" s="270">
        <f t="shared" si="13"/>
        <v>0.32061855670103095</v>
      </c>
      <c r="X154" s="270">
        <f t="shared" si="14"/>
        <v>0.12189349112426036</v>
      </c>
      <c r="Y154" s="249"/>
      <c r="Z154" s="249"/>
      <c r="AA154" s="249"/>
      <c r="AB154" s="249"/>
      <c r="AC154" s="249"/>
      <c r="AD154" s="249"/>
      <c r="AE154" s="249"/>
      <c r="AF154" s="249"/>
      <c r="AG154" s="249"/>
      <c r="AH154" s="249"/>
      <c r="AI154" s="249"/>
      <c r="AJ154" s="249"/>
      <c r="AK154" s="249"/>
      <c r="AL154" s="249"/>
    </row>
    <row r="155" spans="1:42">
      <c r="A155" s="23">
        <v>44805</v>
      </c>
      <c r="B155" s="121">
        <f>IF(YEAR(Table9[[#This Row],[Date]]) = 2022, WEEKNUM(Table9[[#This Row],[Date]])-13, WEEKNUM(Table9[[#This Row],[Date]])+40)</f>
        <v>23</v>
      </c>
      <c r="C155" s="1" t="s">
        <v>51</v>
      </c>
      <c r="D155" s="1" t="s">
        <v>59</v>
      </c>
      <c r="E155" s="1">
        <v>1347</v>
      </c>
      <c r="F155" s="1">
        <v>724</v>
      </c>
      <c r="G155" s="19">
        <v>0.32840236686390534</v>
      </c>
      <c r="H155" s="19">
        <v>-0.1982281284606866</v>
      </c>
      <c r="I155" s="1">
        <v>1347</v>
      </c>
      <c r="J155" s="1">
        <v>724</v>
      </c>
      <c r="K155" s="1">
        <v>120297</v>
      </c>
      <c r="L155" s="1">
        <v>92356</v>
      </c>
      <c r="M155" s="18">
        <v>0.06</v>
      </c>
      <c r="N155" s="18">
        <v>0.46</v>
      </c>
      <c r="O155" s="18">
        <v>0.54</v>
      </c>
      <c r="P155" s="18">
        <v>0.61</v>
      </c>
      <c r="Q155" s="193"/>
      <c r="R155" s="173">
        <v>0</v>
      </c>
      <c r="S155" s="173">
        <v>0</v>
      </c>
      <c r="T155" s="1">
        <v>11</v>
      </c>
      <c r="U155" s="268" t="str">
        <f t="shared" si="11"/>
        <v>Outlier</v>
      </c>
      <c r="V155" s="268" t="str">
        <f t="shared" si="12"/>
        <v>Normal</v>
      </c>
      <c r="W155" s="270">
        <f t="shared" si="13"/>
        <v>0.32840236686390534</v>
      </c>
      <c r="X155" s="270">
        <f t="shared" si="14"/>
        <v>-0.1982281284606866</v>
      </c>
      <c r="Y155" s="249"/>
      <c r="Z155" s="249"/>
      <c r="AA155" s="249"/>
      <c r="AB155" s="249"/>
      <c r="AC155" s="249"/>
      <c r="AD155" s="249"/>
      <c r="AE155" s="249"/>
      <c r="AF155" s="249"/>
      <c r="AG155" s="249"/>
      <c r="AH155" s="249"/>
      <c r="AI155" s="249"/>
      <c r="AJ155" s="249"/>
      <c r="AK155" s="249"/>
      <c r="AL155" s="249"/>
    </row>
    <row r="156" spans="1:42">
      <c r="A156" s="23">
        <v>44806</v>
      </c>
      <c r="B156" s="121">
        <f>IF(YEAR(Table9[[#This Row],[Date]]) = 2022, WEEKNUM(Table9[[#This Row],[Date]])-13, WEEKNUM(Table9[[#This Row],[Date]])+40)</f>
        <v>23</v>
      </c>
      <c r="C156" s="1" t="s">
        <v>52</v>
      </c>
      <c r="D156" s="1" t="s">
        <v>59</v>
      </c>
      <c r="E156" s="1">
        <v>1097</v>
      </c>
      <c r="F156" s="1">
        <v>871</v>
      </c>
      <c r="G156" s="19">
        <v>3.2956685499058377E-2</v>
      </c>
      <c r="H156" s="19">
        <v>-2.1348314606741574E-2</v>
      </c>
      <c r="I156" s="1">
        <v>2444</v>
      </c>
      <c r="J156" s="1">
        <v>1595</v>
      </c>
      <c r="K156" s="1">
        <v>121394</v>
      </c>
      <c r="L156" s="1">
        <v>93227</v>
      </c>
      <c r="M156" s="18">
        <v>0.44</v>
      </c>
      <c r="N156" s="18">
        <v>0.21</v>
      </c>
      <c r="O156" s="18">
        <v>0.79</v>
      </c>
      <c r="P156" s="18">
        <v>0.67</v>
      </c>
      <c r="Q156" s="193"/>
      <c r="R156" s="173">
        <v>0</v>
      </c>
      <c r="S156" s="173">
        <v>0</v>
      </c>
      <c r="T156" s="1">
        <v>12</v>
      </c>
      <c r="U156" s="268" t="str">
        <f t="shared" si="11"/>
        <v>Normal</v>
      </c>
      <c r="V156" s="268" t="str">
        <f t="shared" si="12"/>
        <v>Normal</v>
      </c>
      <c r="W156" s="270">
        <f t="shared" si="13"/>
        <v>3.2956685499058377E-2</v>
      </c>
      <c r="X156" s="270">
        <f t="shared" si="14"/>
        <v>-2.1348314606741574E-2</v>
      </c>
      <c r="Y156" s="249"/>
      <c r="Z156" s="249"/>
      <c r="AA156" s="249"/>
      <c r="AB156" s="249"/>
      <c r="AC156" s="249"/>
      <c r="AD156" s="249"/>
      <c r="AE156" s="249"/>
      <c r="AF156" s="249"/>
      <c r="AG156" s="249"/>
      <c r="AH156" s="249"/>
      <c r="AI156" s="249"/>
      <c r="AJ156" s="249"/>
      <c r="AK156" s="249"/>
      <c r="AL156" s="249"/>
    </row>
    <row r="157" spans="1:42">
      <c r="A157" s="23">
        <v>44807</v>
      </c>
      <c r="B157" s="121">
        <f>IF(YEAR(Table9[[#This Row],[Date]]) = 2022, WEEKNUM(Table9[[#This Row],[Date]])-13, WEEKNUM(Table9[[#This Row],[Date]])+40)</f>
        <v>23</v>
      </c>
      <c r="C157" s="1" t="s">
        <v>53</v>
      </c>
      <c r="D157" s="1" t="s">
        <v>59</v>
      </c>
      <c r="E157" s="1">
        <v>962</v>
      </c>
      <c r="F157" s="1">
        <v>670</v>
      </c>
      <c r="G157" s="19">
        <v>5.4824561403508769E-2</v>
      </c>
      <c r="H157" s="19">
        <v>0.63814180929095354</v>
      </c>
      <c r="I157" s="1">
        <v>3406</v>
      </c>
      <c r="J157" s="1">
        <v>2265</v>
      </c>
      <c r="K157" s="1">
        <v>122356</v>
      </c>
      <c r="L157" s="1">
        <v>93897</v>
      </c>
      <c r="M157" s="18">
        <v>0.23</v>
      </c>
      <c r="N157" s="18">
        <v>0.21</v>
      </c>
      <c r="O157" s="18">
        <v>0.79</v>
      </c>
      <c r="P157" s="18">
        <v>0.56000000000000005</v>
      </c>
      <c r="Q157" s="193"/>
      <c r="R157" s="173">
        <v>0</v>
      </c>
      <c r="S157" s="173">
        <v>0</v>
      </c>
      <c r="T157" s="1">
        <v>11</v>
      </c>
      <c r="U157" s="268" t="str">
        <f t="shared" si="11"/>
        <v>Normal</v>
      </c>
      <c r="V157" s="268" t="str">
        <f t="shared" si="12"/>
        <v>Outlier</v>
      </c>
      <c r="W157" s="270">
        <f t="shared" si="13"/>
        <v>5.4824561403508769E-2</v>
      </c>
      <c r="X157" s="270">
        <f t="shared" si="14"/>
        <v>0.63814180929095354</v>
      </c>
      <c r="Y157" s="249"/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</row>
    <row r="158" spans="1:42">
      <c r="A158" s="23">
        <v>44808</v>
      </c>
      <c r="B158" s="121">
        <f>IF(YEAR(Table9[[#This Row],[Date]]) = 2022, WEEKNUM(Table9[[#This Row],[Date]])-13, WEEKNUM(Table9[[#This Row],[Date]])+40)</f>
        <v>24</v>
      </c>
      <c r="C158" s="1" t="s">
        <v>47</v>
      </c>
      <c r="D158" s="1" t="s">
        <v>59</v>
      </c>
      <c r="E158" s="1">
        <v>0</v>
      </c>
      <c r="F158" s="1">
        <v>0</v>
      </c>
      <c r="G158" s="19">
        <v>0</v>
      </c>
      <c r="H158" s="19">
        <v>0</v>
      </c>
      <c r="I158" s="1">
        <v>0</v>
      </c>
      <c r="J158" s="1">
        <v>0</v>
      </c>
      <c r="K158" s="1">
        <v>0</v>
      </c>
      <c r="L158" s="1">
        <v>0</v>
      </c>
      <c r="M158" s="18">
        <v>0</v>
      </c>
      <c r="N158" s="18">
        <v>0</v>
      </c>
      <c r="O158" s="18">
        <v>0</v>
      </c>
      <c r="P158" s="18">
        <v>0</v>
      </c>
      <c r="Q158" s="193"/>
      <c r="R158" s="173">
        <v>0</v>
      </c>
      <c r="S158" s="173">
        <v>0</v>
      </c>
      <c r="T158" s="17">
        <v>0</v>
      </c>
      <c r="U158" s="268" t="str">
        <f t="shared" si="11"/>
        <v>Normal</v>
      </c>
      <c r="V158" s="268" t="str">
        <f t="shared" si="12"/>
        <v>Normal</v>
      </c>
      <c r="W158" s="270">
        <f t="shared" si="13"/>
        <v>0</v>
      </c>
      <c r="X158" s="270">
        <f t="shared" si="14"/>
        <v>0</v>
      </c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</row>
    <row r="159" spans="1:42">
      <c r="A159" s="23">
        <v>44809</v>
      </c>
      <c r="B159" s="121">
        <f>IF(YEAR(Table9[[#This Row],[Date]]) = 2022, WEEKNUM(Table9[[#This Row],[Date]])-13, WEEKNUM(Table9[[#This Row],[Date]])+40)</f>
        <v>24</v>
      </c>
      <c r="C159" s="1" t="s">
        <v>48</v>
      </c>
      <c r="D159" s="1" t="s">
        <v>59</v>
      </c>
      <c r="E159" s="1">
        <v>1322</v>
      </c>
      <c r="F159" s="1">
        <v>731</v>
      </c>
      <c r="G159" s="19">
        <v>5.3386454183266929E-2</v>
      </c>
      <c r="H159" s="19">
        <v>-0.36324041811846691</v>
      </c>
      <c r="I159" s="1">
        <v>4728</v>
      </c>
      <c r="J159" s="1">
        <v>2996</v>
      </c>
      <c r="K159" s="1">
        <v>123678</v>
      </c>
      <c r="L159" s="1">
        <v>94628</v>
      </c>
      <c r="M159" s="18">
        <v>0.1</v>
      </c>
      <c r="N159" s="18">
        <v>0.45</v>
      </c>
      <c r="O159" s="18">
        <v>0.55000000000000004</v>
      </c>
      <c r="P159" s="18">
        <v>0.62</v>
      </c>
      <c r="Q159" s="193"/>
      <c r="R159" s="173">
        <v>0</v>
      </c>
      <c r="S159" s="173">
        <v>0</v>
      </c>
      <c r="T159" s="1">
        <v>11</v>
      </c>
      <c r="U159" s="268" t="str">
        <f t="shared" si="11"/>
        <v>Normal</v>
      </c>
      <c r="V159" s="268" t="str">
        <f t="shared" si="12"/>
        <v>Outlier</v>
      </c>
      <c r="W159" s="270">
        <f t="shared" si="13"/>
        <v>5.3386454183266929E-2</v>
      </c>
      <c r="X159" s="270">
        <f t="shared" si="14"/>
        <v>-0.36324041811846691</v>
      </c>
      <c r="Y159" s="249"/>
      <c r="Z159" s="249"/>
      <c r="AA159" s="249"/>
      <c r="AB159" s="249"/>
      <c r="AC159" s="249"/>
      <c r="AD159" s="249"/>
      <c r="AE159" s="249"/>
      <c r="AF159" s="249"/>
      <c r="AG159" s="249"/>
      <c r="AH159" s="249"/>
      <c r="AI159" s="249"/>
      <c r="AJ159" s="249"/>
      <c r="AK159" s="249"/>
      <c r="AL159" s="249"/>
    </row>
    <row r="160" spans="1:42">
      <c r="A160" s="23">
        <v>44810</v>
      </c>
      <c r="B160" s="121">
        <f>IF(YEAR(Table9[[#This Row],[Date]]) = 2022, WEEKNUM(Table9[[#This Row],[Date]])-13, WEEKNUM(Table9[[#This Row],[Date]])+40)</f>
        <v>24</v>
      </c>
      <c r="C160" s="1" t="s">
        <v>49</v>
      </c>
      <c r="D160" s="1" t="s">
        <v>59</v>
      </c>
      <c r="E160" s="1">
        <v>1172</v>
      </c>
      <c r="F160" s="1">
        <v>553</v>
      </c>
      <c r="G160" s="19">
        <v>-6.7621320604614163E-2</v>
      </c>
      <c r="H160" s="19">
        <v>-0.50225022502250227</v>
      </c>
      <c r="I160" s="1">
        <v>5900</v>
      </c>
      <c r="J160" s="1">
        <v>3549</v>
      </c>
      <c r="K160" s="1">
        <v>124850</v>
      </c>
      <c r="L160" s="1">
        <v>95181</v>
      </c>
      <c r="M160" s="18">
        <v>0.02</v>
      </c>
      <c r="N160" s="18">
        <v>0.53</v>
      </c>
      <c r="O160" s="18">
        <v>0.47</v>
      </c>
      <c r="P160" s="18">
        <v>0.64</v>
      </c>
      <c r="Q160" s="193"/>
      <c r="R160" s="173">
        <v>0</v>
      </c>
      <c r="S160" s="173">
        <v>0</v>
      </c>
      <c r="T160" s="1">
        <v>8</v>
      </c>
      <c r="U160" s="268" t="str">
        <f t="shared" si="11"/>
        <v>Normal</v>
      </c>
      <c r="V160" s="268" t="str">
        <f t="shared" si="12"/>
        <v>Outlier</v>
      </c>
      <c r="W160" s="270">
        <f t="shared" si="13"/>
        <v>-6.7621320604614163E-2</v>
      </c>
      <c r="X160" s="270">
        <f t="shared" si="14"/>
        <v>-0.50225022502250227</v>
      </c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</row>
    <row r="161" spans="1:42">
      <c r="A161" s="23">
        <v>44811</v>
      </c>
      <c r="B161" s="121">
        <f>IF(YEAR(Table9[[#This Row],[Date]]) = 2022, WEEKNUM(Table9[[#This Row],[Date]])-13, WEEKNUM(Table9[[#This Row],[Date]])+40)</f>
        <v>24</v>
      </c>
      <c r="C161" s="1" t="s">
        <v>50</v>
      </c>
      <c r="D161" s="1" t="s">
        <v>59</v>
      </c>
      <c r="E161" s="1">
        <v>1179</v>
      </c>
      <c r="F161" s="1">
        <v>627</v>
      </c>
      <c r="G161" s="19">
        <v>-7.9625292740046844E-2</v>
      </c>
      <c r="H161" s="19">
        <v>-0.33860759493670883</v>
      </c>
      <c r="I161" s="1">
        <v>7079</v>
      </c>
      <c r="J161" s="1">
        <v>4176</v>
      </c>
      <c r="K161" s="1">
        <v>126029</v>
      </c>
      <c r="L161" s="1">
        <v>95808</v>
      </c>
      <c r="M161" s="18">
        <v>0.05</v>
      </c>
      <c r="N161" s="18">
        <v>0.47</v>
      </c>
      <c r="O161" s="18">
        <v>0.53</v>
      </c>
      <c r="P161" s="18">
        <v>0.65</v>
      </c>
      <c r="Q161" s="193"/>
      <c r="R161" s="173">
        <v>0</v>
      </c>
      <c r="S161" s="173">
        <v>0</v>
      </c>
      <c r="T161" s="1">
        <v>9</v>
      </c>
      <c r="U161" s="268" t="str">
        <f t="shared" si="11"/>
        <v>Normal</v>
      </c>
      <c r="V161" s="268" t="str">
        <f t="shared" si="12"/>
        <v>Outlier</v>
      </c>
      <c r="W161" s="270">
        <f t="shared" si="13"/>
        <v>-7.9625292740046844E-2</v>
      </c>
      <c r="X161" s="270">
        <f t="shared" si="14"/>
        <v>-0.33860759493670883</v>
      </c>
      <c r="Y161" s="249"/>
      <c r="Z161" s="249"/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</row>
    <row r="162" spans="1:42">
      <c r="A162" s="23">
        <v>44812</v>
      </c>
      <c r="B162" s="121">
        <f>IF(YEAR(Table9[[#This Row],[Date]]) = 2022, WEEKNUM(Table9[[#This Row],[Date]])-13, WEEKNUM(Table9[[#This Row],[Date]])+40)</f>
        <v>24</v>
      </c>
      <c r="C162" s="1" t="s">
        <v>51</v>
      </c>
      <c r="D162" s="1" t="s">
        <v>59</v>
      </c>
      <c r="E162" s="1">
        <v>1090</v>
      </c>
      <c r="F162" s="1">
        <v>690</v>
      </c>
      <c r="G162" s="19">
        <v>-0.19079435783221974</v>
      </c>
      <c r="H162" s="19">
        <v>-4.6961325966850827E-2</v>
      </c>
      <c r="I162" s="1">
        <v>8169</v>
      </c>
      <c r="J162" s="1">
        <v>4866</v>
      </c>
      <c r="K162" s="1">
        <v>127119</v>
      </c>
      <c r="L162" s="1">
        <v>96498</v>
      </c>
      <c r="M162" s="18">
        <v>0.13</v>
      </c>
      <c r="N162" s="18">
        <v>0.37</v>
      </c>
      <c r="O162" s="18">
        <v>0.63</v>
      </c>
      <c r="P162" s="18">
        <v>0.57999999999999996</v>
      </c>
      <c r="Q162" s="193"/>
      <c r="R162" s="173">
        <v>0</v>
      </c>
      <c r="S162" s="173">
        <v>0</v>
      </c>
      <c r="T162" s="1">
        <v>11</v>
      </c>
      <c r="U162" s="268" t="str">
        <f t="shared" si="11"/>
        <v>Normal</v>
      </c>
      <c r="V162" s="268" t="str">
        <f t="shared" si="12"/>
        <v>Normal</v>
      </c>
      <c r="W162" s="270">
        <f t="shared" si="13"/>
        <v>-0.19079435783221974</v>
      </c>
      <c r="X162" s="270">
        <f t="shared" si="14"/>
        <v>-4.6961325966850827E-2</v>
      </c>
      <c r="Y162" s="249"/>
      <c r="Z162" s="249"/>
      <c r="AA162" s="249"/>
      <c r="AB162" s="249"/>
      <c r="AC162" s="249"/>
      <c r="AD162" s="249"/>
      <c r="AE162" s="249"/>
      <c r="AF162" s="249"/>
      <c r="AG162" s="249"/>
      <c r="AH162" s="249"/>
      <c r="AI162" s="249"/>
      <c r="AJ162" s="249"/>
      <c r="AK162" s="249"/>
      <c r="AL162" s="249"/>
    </row>
    <row r="163" spans="1:42">
      <c r="A163" s="23">
        <v>44813</v>
      </c>
      <c r="B163" s="121">
        <f>IF(YEAR(Table9[[#This Row],[Date]]) = 2022, WEEKNUM(Table9[[#This Row],[Date]])-13, WEEKNUM(Table9[[#This Row],[Date]])+40)</f>
        <v>24</v>
      </c>
      <c r="C163" s="1" t="s">
        <v>52</v>
      </c>
      <c r="D163" s="1" t="s">
        <v>59</v>
      </c>
      <c r="E163" s="1">
        <v>1098</v>
      </c>
      <c r="F163" s="1">
        <v>716</v>
      </c>
      <c r="G163" s="19">
        <v>9.1157702825888785E-4</v>
      </c>
      <c r="H163" s="19">
        <v>-0.17795637198622274</v>
      </c>
      <c r="I163" s="1">
        <v>9267</v>
      </c>
      <c r="J163" s="1">
        <v>5582</v>
      </c>
      <c r="K163" s="1">
        <v>128217</v>
      </c>
      <c r="L163" s="1">
        <v>97214</v>
      </c>
      <c r="M163" s="18">
        <v>0.12</v>
      </c>
      <c r="N163" s="18">
        <v>0.35</v>
      </c>
      <c r="O163" s="18">
        <v>0.65</v>
      </c>
      <c r="P163" s="18">
        <v>0.55000000000000004</v>
      </c>
      <c r="Q163" s="193"/>
      <c r="R163" s="173">
        <v>0</v>
      </c>
      <c r="S163" s="173">
        <v>0</v>
      </c>
      <c r="T163" s="1">
        <v>12</v>
      </c>
      <c r="U163" s="268" t="str">
        <f t="shared" si="11"/>
        <v>Normal</v>
      </c>
      <c r="V163" s="268" t="str">
        <f t="shared" si="12"/>
        <v>Normal</v>
      </c>
      <c r="W163" s="270">
        <f t="shared" si="13"/>
        <v>9.1157702825888785E-4</v>
      </c>
      <c r="X163" s="270">
        <f t="shared" si="14"/>
        <v>-0.17795637198622274</v>
      </c>
      <c r="Y163" s="249"/>
      <c r="Z163" s="249"/>
      <c r="AA163" s="249"/>
      <c r="AB163" s="249"/>
      <c r="AC163" s="249"/>
      <c r="AD163" s="249"/>
      <c r="AE163" s="249"/>
      <c r="AF163" s="249"/>
      <c r="AG163" s="249"/>
      <c r="AH163" s="249"/>
      <c r="AI163" s="249"/>
      <c r="AJ163" s="249"/>
      <c r="AK163" s="249"/>
      <c r="AL163" s="249"/>
    </row>
    <row r="164" spans="1:42">
      <c r="A164" s="23">
        <v>44814</v>
      </c>
      <c r="B164" s="121">
        <f>IF(YEAR(Table9[[#This Row],[Date]]) = 2022, WEEKNUM(Table9[[#This Row],[Date]])-13, WEEKNUM(Table9[[#This Row],[Date]])+40)</f>
        <v>24</v>
      </c>
      <c r="C164" s="1" t="s">
        <v>53</v>
      </c>
      <c r="D164" s="1" t="s">
        <v>59</v>
      </c>
      <c r="E164" s="1">
        <v>949</v>
      </c>
      <c r="F164" s="1">
        <v>577</v>
      </c>
      <c r="G164" s="19">
        <v>-1.3513513513513514E-2</v>
      </c>
      <c r="H164" s="19">
        <v>-0.13880597014925372</v>
      </c>
      <c r="I164" s="1">
        <v>10216</v>
      </c>
      <c r="J164" s="1">
        <v>6159</v>
      </c>
      <c r="K164" s="1">
        <v>129166</v>
      </c>
      <c r="L164" s="1">
        <v>97791</v>
      </c>
      <c r="M164" s="18">
        <v>0.11</v>
      </c>
      <c r="N164" s="18">
        <v>0.39</v>
      </c>
      <c r="O164" s="18">
        <v>0.61</v>
      </c>
      <c r="P164" s="18">
        <v>0.59</v>
      </c>
      <c r="Q164" s="193"/>
      <c r="R164" s="173">
        <v>0</v>
      </c>
      <c r="S164" s="173">
        <v>0</v>
      </c>
      <c r="T164" s="1">
        <v>9</v>
      </c>
      <c r="U164" s="268" t="str">
        <f t="shared" si="11"/>
        <v>Normal</v>
      </c>
      <c r="V164" s="268" t="str">
        <f t="shared" si="12"/>
        <v>Normal</v>
      </c>
      <c r="W164" s="270">
        <f t="shared" si="13"/>
        <v>-1.3513513513513514E-2</v>
      </c>
      <c r="X164" s="270">
        <f t="shared" si="14"/>
        <v>-0.13880597014925372</v>
      </c>
      <c r="Y164" s="249"/>
      <c r="Z164" s="249"/>
      <c r="AA164" s="249"/>
      <c r="AB164" s="249"/>
      <c r="AC164" s="249"/>
      <c r="AD164" s="249"/>
      <c r="AE164" s="249"/>
      <c r="AF164" s="249"/>
      <c r="AG164" s="249"/>
      <c r="AH164" s="249"/>
      <c r="AI164" s="249"/>
      <c r="AJ164" s="249"/>
      <c r="AK164" s="249"/>
      <c r="AL164" s="249"/>
    </row>
    <row r="165" spans="1:42">
      <c r="A165" s="23">
        <v>44815</v>
      </c>
      <c r="B165" s="121">
        <f>IF(YEAR(Table9[[#This Row],[Date]]) = 2022, WEEKNUM(Table9[[#This Row],[Date]])-13, WEEKNUM(Table9[[#This Row],[Date]])+40)</f>
        <v>25</v>
      </c>
      <c r="C165" s="1" t="s">
        <v>47</v>
      </c>
      <c r="D165" s="1" t="s">
        <v>59</v>
      </c>
      <c r="E165" s="1">
        <v>0</v>
      </c>
      <c r="F165" s="1">
        <v>0</v>
      </c>
      <c r="G165" s="19">
        <v>0</v>
      </c>
      <c r="H165" s="19">
        <v>0</v>
      </c>
      <c r="I165" s="1">
        <v>0</v>
      </c>
      <c r="J165" s="1">
        <v>0</v>
      </c>
      <c r="K165" s="1">
        <v>0</v>
      </c>
      <c r="L165" s="1">
        <v>0</v>
      </c>
      <c r="M165" s="18">
        <v>0</v>
      </c>
      <c r="N165" s="18">
        <v>0</v>
      </c>
      <c r="O165" s="18">
        <v>0</v>
      </c>
      <c r="P165" s="18">
        <v>0</v>
      </c>
      <c r="Q165" s="193"/>
      <c r="R165" s="173">
        <v>0</v>
      </c>
      <c r="S165" s="173">
        <v>0</v>
      </c>
      <c r="T165" s="17">
        <v>0</v>
      </c>
      <c r="U165" s="268" t="str">
        <f t="shared" si="11"/>
        <v>Normal</v>
      </c>
      <c r="V165" s="268" t="str">
        <f t="shared" si="12"/>
        <v>Normal</v>
      </c>
      <c r="W165" s="270">
        <f t="shared" si="13"/>
        <v>0</v>
      </c>
      <c r="X165" s="270">
        <f t="shared" si="14"/>
        <v>0</v>
      </c>
      <c r="Y165" s="234"/>
      <c r="Z165" s="234"/>
      <c r="AA165" s="234"/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234"/>
      <c r="AL165" s="234"/>
    </row>
    <row r="166" spans="1:42">
      <c r="A166" s="23">
        <v>44816</v>
      </c>
      <c r="B166" s="121">
        <f>IF(YEAR(Table9[[#This Row],[Date]]) = 2022, WEEKNUM(Table9[[#This Row],[Date]])-13, WEEKNUM(Table9[[#This Row],[Date]])+40)</f>
        <v>25</v>
      </c>
      <c r="C166" s="1" t="s">
        <v>48</v>
      </c>
      <c r="D166" s="1" t="s">
        <v>59</v>
      </c>
      <c r="E166" s="1">
        <v>1194</v>
      </c>
      <c r="F166" s="1">
        <v>739</v>
      </c>
      <c r="G166" s="19">
        <v>-9.682299546142209E-2</v>
      </c>
      <c r="H166" s="19">
        <v>1.094391244870041E-2</v>
      </c>
      <c r="I166" s="1">
        <v>11410</v>
      </c>
      <c r="J166" s="1">
        <v>6898</v>
      </c>
      <c r="K166" s="1">
        <v>130360</v>
      </c>
      <c r="L166" s="1">
        <v>98530</v>
      </c>
      <c r="M166" s="18">
        <v>0.11</v>
      </c>
      <c r="N166" s="18">
        <v>0.38</v>
      </c>
      <c r="O166" s="18">
        <v>0.62</v>
      </c>
      <c r="P166" s="18">
        <v>0.52635327635327633</v>
      </c>
      <c r="Q166" s="193"/>
      <c r="R166" s="173">
        <v>0</v>
      </c>
      <c r="S166" s="173">
        <v>0</v>
      </c>
      <c r="T166" s="1">
        <v>13</v>
      </c>
      <c r="U166" s="268" t="str">
        <f t="shared" si="11"/>
        <v>Normal</v>
      </c>
      <c r="V166" s="268" t="str">
        <f t="shared" si="12"/>
        <v>Normal</v>
      </c>
      <c r="W166" s="270">
        <f t="shared" si="13"/>
        <v>-9.682299546142209E-2</v>
      </c>
      <c r="X166" s="270">
        <f t="shared" si="14"/>
        <v>1.094391244870041E-2</v>
      </c>
      <c r="Y166" s="249"/>
      <c r="Z166" s="249"/>
      <c r="AA166" s="249"/>
      <c r="AB166" s="249"/>
      <c r="AC166" s="249"/>
      <c r="AD166" s="249"/>
      <c r="AE166" s="249"/>
      <c r="AF166" s="249"/>
      <c r="AG166" s="249"/>
      <c r="AH166" s="249"/>
      <c r="AI166" s="249"/>
      <c r="AJ166" s="249"/>
      <c r="AK166" s="249"/>
      <c r="AL166" s="249"/>
    </row>
    <row r="167" spans="1:42">
      <c r="A167" s="23">
        <v>44817</v>
      </c>
      <c r="B167" s="121">
        <f>IF(YEAR(Table9[[#This Row],[Date]]) = 2022, WEEKNUM(Table9[[#This Row],[Date]])-13, WEEKNUM(Table9[[#This Row],[Date]])+40)</f>
        <v>25</v>
      </c>
      <c r="C167" s="1" t="s">
        <v>49</v>
      </c>
      <c r="D167" s="1" t="s">
        <v>59</v>
      </c>
      <c r="E167" s="1">
        <v>1018</v>
      </c>
      <c r="F167" s="1">
        <v>773</v>
      </c>
      <c r="G167" s="19">
        <v>-0.13139931740614336</v>
      </c>
      <c r="H167" s="19">
        <v>0.39783001808318263</v>
      </c>
      <c r="I167" s="1">
        <v>12428</v>
      </c>
      <c r="J167" s="1">
        <v>7671</v>
      </c>
      <c r="K167" s="1">
        <v>131378</v>
      </c>
      <c r="L167" s="1">
        <v>99303</v>
      </c>
      <c r="M167" s="18">
        <v>0.31</v>
      </c>
      <c r="N167" s="18">
        <v>0.24</v>
      </c>
      <c r="O167" s="18">
        <v>0.76</v>
      </c>
      <c r="P167" s="18">
        <v>0.59645061728395066</v>
      </c>
      <c r="Q167" s="193"/>
      <c r="R167" s="173">
        <v>0</v>
      </c>
      <c r="S167" s="173">
        <v>0</v>
      </c>
      <c r="T167" s="1">
        <v>12</v>
      </c>
      <c r="U167" s="268" t="str">
        <f t="shared" si="11"/>
        <v>Normal</v>
      </c>
      <c r="V167" s="268" t="str">
        <f t="shared" si="12"/>
        <v>Outlier</v>
      </c>
      <c r="W167" s="270">
        <f t="shared" si="13"/>
        <v>-0.13139931740614336</v>
      </c>
      <c r="X167" s="270">
        <f t="shared" si="14"/>
        <v>0.39783001808318263</v>
      </c>
      <c r="Y167" s="249"/>
      <c r="Z167" s="249"/>
      <c r="AA167" s="249"/>
      <c r="AB167" s="249"/>
      <c r="AC167" s="249"/>
      <c r="AD167" s="249"/>
      <c r="AE167" s="249"/>
      <c r="AF167" s="249"/>
      <c r="AG167" s="249"/>
      <c r="AH167" s="249"/>
      <c r="AI167" s="249"/>
      <c r="AJ167" s="249"/>
      <c r="AK167" s="249"/>
      <c r="AL167" s="249"/>
    </row>
    <row r="168" spans="1:42">
      <c r="A168" s="23">
        <v>44818</v>
      </c>
      <c r="B168" s="121">
        <f>IF(YEAR(Table9[[#This Row],[Date]]) = 2022, WEEKNUM(Table9[[#This Row],[Date]])-13, WEEKNUM(Table9[[#This Row],[Date]])+40)</f>
        <v>25</v>
      </c>
      <c r="C168" s="1" t="s">
        <v>50</v>
      </c>
      <c r="D168" s="1" t="s">
        <v>59</v>
      </c>
      <c r="E168" s="1">
        <v>1137</v>
      </c>
      <c r="F168" s="1">
        <v>644</v>
      </c>
      <c r="G168" s="19">
        <v>-3.5623409669211195E-2</v>
      </c>
      <c r="H168" s="19">
        <v>2.7113237639553429E-2</v>
      </c>
      <c r="I168" s="1">
        <v>13565</v>
      </c>
      <c r="J168" s="1">
        <v>8315</v>
      </c>
      <c r="K168" s="1">
        <v>132515</v>
      </c>
      <c r="L168" s="1">
        <v>99947</v>
      </c>
      <c r="M168" s="18">
        <v>0.15</v>
      </c>
      <c r="N168" s="18">
        <v>0.43</v>
      </c>
      <c r="O168" s="18">
        <v>0.57000000000000006</v>
      </c>
      <c r="P168" s="18">
        <v>0.45868945868945871</v>
      </c>
      <c r="Q168" s="193"/>
      <c r="R168" s="173">
        <v>0</v>
      </c>
      <c r="S168" s="173">
        <v>0</v>
      </c>
      <c r="T168" s="1">
        <v>13</v>
      </c>
      <c r="U168" s="268" t="str">
        <f t="shared" si="11"/>
        <v>Normal</v>
      </c>
      <c r="V168" s="268" t="str">
        <f t="shared" si="12"/>
        <v>Normal</v>
      </c>
      <c r="W168" s="270">
        <f t="shared" si="13"/>
        <v>-3.5623409669211195E-2</v>
      </c>
      <c r="X168" s="270">
        <f t="shared" si="14"/>
        <v>2.7113237639553429E-2</v>
      </c>
      <c r="Y168" s="249"/>
      <c r="Z168" s="249"/>
      <c r="AA168" s="249"/>
      <c r="AB168" s="249"/>
      <c r="AC168" s="249"/>
      <c r="AD168" s="249"/>
      <c r="AE168" s="249"/>
      <c r="AF168" s="249"/>
      <c r="AG168" s="249"/>
      <c r="AH168" s="249"/>
      <c r="AI168" s="249"/>
      <c r="AJ168" s="249"/>
      <c r="AK168" s="249"/>
      <c r="AL168" s="249"/>
    </row>
    <row r="169" spans="1:42">
      <c r="A169" s="23">
        <v>44819</v>
      </c>
      <c r="B169" s="121">
        <f>IF(YEAR(Table9[[#This Row],[Date]]) = 2022, WEEKNUM(Table9[[#This Row],[Date]])-13, WEEKNUM(Table9[[#This Row],[Date]])+40)</f>
        <v>25</v>
      </c>
      <c r="C169" s="1" t="s">
        <v>51</v>
      </c>
      <c r="D169" s="1" t="s">
        <v>59</v>
      </c>
      <c r="E169" s="1">
        <v>1066</v>
      </c>
      <c r="F169" s="1">
        <v>540</v>
      </c>
      <c r="G169" s="19">
        <v>-2.2018348623853212E-2</v>
      </c>
      <c r="H169" s="19">
        <v>-0.21739130434782608</v>
      </c>
      <c r="I169" s="1">
        <v>14631</v>
      </c>
      <c r="J169" s="1">
        <v>8855</v>
      </c>
      <c r="K169" s="1">
        <v>133581</v>
      </c>
      <c r="L169" s="1">
        <v>100487</v>
      </c>
      <c r="M169" s="18">
        <v>0.06</v>
      </c>
      <c r="N169" s="18">
        <v>0.49</v>
      </c>
      <c r="O169" s="18">
        <v>0.51</v>
      </c>
      <c r="P169" s="18">
        <v>0.625</v>
      </c>
      <c r="Q169" s="193"/>
      <c r="R169" s="173">
        <v>0</v>
      </c>
      <c r="S169" s="173">
        <v>0</v>
      </c>
      <c r="T169" s="1">
        <v>8</v>
      </c>
      <c r="U169" s="268" t="str">
        <f t="shared" si="11"/>
        <v>Normal</v>
      </c>
      <c r="V169" s="268" t="str">
        <f t="shared" si="12"/>
        <v>Normal</v>
      </c>
      <c r="W169" s="270">
        <f t="shared" si="13"/>
        <v>-2.2018348623853212E-2</v>
      </c>
      <c r="X169" s="270">
        <f t="shared" si="14"/>
        <v>-0.21739130434782608</v>
      </c>
      <c r="Y169" s="249"/>
      <c r="Z169" s="249"/>
      <c r="AA169" s="249"/>
      <c r="AB169" s="249"/>
      <c r="AC169" s="249"/>
      <c r="AD169" s="249"/>
      <c r="AE169" s="249"/>
      <c r="AF169" s="249"/>
      <c r="AG169" s="249"/>
      <c r="AH169" s="249"/>
      <c r="AI169" s="249"/>
      <c r="AJ169" s="249"/>
      <c r="AK169" s="249"/>
      <c r="AL169" s="249"/>
    </row>
    <row r="170" spans="1:42">
      <c r="A170" s="23">
        <v>44820</v>
      </c>
      <c r="B170" s="121">
        <f>IF(YEAR(Table9[[#This Row],[Date]]) = 2022, WEEKNUM(Table9[[#This Row],[Date]])-13, WEEKNUM(Table9[[#This Row],[Date]])+40)</f>
        <v>25</v>
      </c>
      <c r="C170" s="1" t="s">
        <v>52</v>
      </c>
      <c r="D170" s="1" t="s">
        <v>59</v>
      </c>
      <c r="E170" s="1">
        <v>957</v>
      </c>
      <c r="F170" s="1">
        <v>787</v>
      </c>
      <c r="G170" s="19">
        <v>-0.12841530054644809</v>
      </c>
      <c r="H170" s="19">
        <v>9.9162011173184364E-2</v>
      </c>
      <c r="I170" s="1">
        <v>15588</v>
      </c>
      <c r="J170" s="1">
        <v>9642</v>
      </c>
      <c r="K170" s="1">
        <v>134538</v>
      </c>
      <c r="L170" s="1">
        <v>101274</v>
      </c>
      <c r="M170" s="18">
        <v>0.48</v>
      </c>
      <c r="N170" s="18">
        <v>0.18</v>
      </c>
      <c r="O170" s="18">
        <v>0.82000000000000006</v>
      </c>
      <c r="P170" s="18">
        <v>0.66245791245791252</v>
      </c>
      <c r="Q170" s="193"/>
      <c r="R170" s="173">
        <v>0</v>
      </c>
      <c r="S170" s="173">
        <v>0</v>
      </c>
      <c r="T170" s="1">
        <v>11</v>
      </c>
      <c r="U170" s="268" t="str">
        <f t="shared" si="11"/>
        <v>Normal</v>
      </c>
      <c r="V170" s="268" t="str">
        <f t="shared" si="12"/>
        <v>Normal</v>
      </c>
      <c r="W170" s="270">
        <f t="shared" si="13"/>
        <v>-0.12841530054644809</v>
      </c>
      <c r="X170" s="270">
        <f t="shared" si="14"/>
        <v>9.9162011173184364E-2</v>
      </c>
      <c r="Y170" s="249"/>
      <c r="Z170" s="249"/>
      <c r="AA170" s="249"/>
      <c r="AB170" s="249"/>
      <c r="AC170" s="249"/>
      <c r="AD170" s="249"/>
      <c r="AE170" s="249"/>
      <c r="AF170" s="249"/>
      <c r="AG170" s="249"/>
      <c r="AH170" s="249"/>
      <c r="AI170" s="249"/>
      <c r="AJ170" s="249"/>
      <c r="AK170" s="249"/>
      <c r="AL170" s="249"/>
    </row>
    <row r="171" spans="1:42" s="49" customFormat="1">
      <c r="A171" s="23">
        <v>44821</v>
      </c>
      <c r="B171" s="121">
        <f>IF(YEAR(Table9[[#This Row],[Date]]) = 2022, WEEKNUM(Table9[[#This Row],[Date]])-13, WEEKNUM(Table9[[#This Row],[Date]])+40)</f>
        <v>25</v>
      </c>
      <c r="C171" s="1" t="s">
        <v>53</v>
      </c>
      <c r="D171" s="1" t="s">
        <v>59</v>
      </c>
      <c r="E171" s="1">
        <v>763</v>
      </c>
      <c r="F171" s="1">
        <v>636</v>
      </c>
      <c r="G171" s="19">
        <v>-0.19599578503688092</v>
      </c>
      <c r="H171" s="19">
        <v>0.10225303292894281</v>
      </c>
      <c r="I171" s="1">
        <v>16351</v>
      </c>
      <c r="J171" s="1">
        <v>10278</v>
      </c>
      <c r="K171" s="1">
        <v>135301</v>
      </c>
      <c r="L171" s="1">
        <v>101910</v>
      </c>
      <c r="M171" s="18">
        <v>0.55000000000000004</v>
      </c>
      <c r="N171" s="18">
        <v>0.17</v>
      </c>
      <c r="O171" s="18">
        <v>0.83</v>
      </c>
      <c r="P171" s="18">
        <v>0.58888888888888891</v>
      </c>
      <c r="Q171" s="193"/>
      <c r="R171" s="173">
        <v>0</v>
      </c>
      <c r="S171" s="173">
        <v>0</v>
      </c>
      <c r="T171" s="1">
        <v>10</v>
      </c>
      <c r="U171" s="268" t="str">
        <f t="shared" si="11"/>
        <v>Normal</v>
      </c>
      <c r="V171" s="268" t="str">
        <f t="shared" si="12"/>
        <v>Normal</v>
      </c>
      <c r="W171" s="270">
        <f t="shared" si="13"/>
        <v>-0.19599578503688092</v>
      </c>
      <c r="X171" s="270">
        <f t="shared" si="14"/>
        <v>0.10225303292894281</v>
      </c>
      <c r="Y171" s="249"/>
      <c r="Z171" s="249"/>
      <c r="AA171" s="249"/>
      <c r="AB171" s="249"/>
      <c r="AC171" s="249"/>
      <c r="AD171" s="249"/>
      <c r="AE171" s="249"/>
      <c r="AF171" s="249"/>
      <c r="AG171" s="249"/>
      <c r="AH171" s="249"/>
      <c r="AI171" s="249"/>
      <c r="AJ171" s="249"/>
      <c r="AK171" s="249"/>
      <c r="AL171" s="249"/>
      <c r="AN171"/>
      <c r="AO171"/>
      <c r="AP171"/>
    </row>
    <row r="172" spans="1:42">
      <c r="A172" s="23">
        <v>44822</v>
      </c>
      <c r="B172" s="121">
        <f>IF(YEAR(Table9[[#This Row],[Date]]) = 2022, WEEKNUM(Table9[[#This Row],[Date]])-13, WEEKNUM(Table9[[#This Row],[Date]])+40)</f>
        <v>26</v>
      </c>
      <c r="C172" s="1" t="s">
        <v>47</v>
      </c>
      <c r="D172" s="1" t="s">
        <v>59</v>
      </c>
      <c r="E172" s="1">
        <v>0</v>
      </c>
      <c r="F172" s="1">
        <v>0</v>
      </c>
      <c r="G172" s="19">
        <v>0</v>
      </c>
      <c r="H172" s="19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193"/>
      <c r="R172" s="173">
        <v>0</v>
      </c>
      <c r="S172" s="173">
        <v>0</v>
      </c>
      <c r="T172" s="1">
        <v>0</v>
      </c>
      <c r="U172" s="268" t="str">
        <f t="shared" si="11"/>
        <v>Normal</v>
      </c>
      <c r="V172" s="268" t="str">
        <f t="shared" si="12"/>
        <v>Normal</v>
      </c>
      <c r="W172" s="270">
        <f t="shared" si="13"/>
        <v>0</v>
      </c>
      <c r="X172" s="270">
        <f t="shared" si="14"/>
        <v>0</v>
      </c>
      <c r="Y172" s="249"/>
      <c r="Z172" s="249"/>
      <c r="AA172" s="249"/>
      <c r="AB172" s="249"/>
      <c r="AC172" s="249"/>
      <c r="AD172" s="249"/>
      <c r="AE172" s="249"/>
      <c r="AF172" s="249"/>
      <c r="AG172" s="249"/>
      <c r="AH172" s="249"/>
      <c r="AI172" s="249"/>
      <c r="AJ172" s="249"/>
      <c r="AK172" s="249"/>
      <c r="AL172" s="249"/>
    </row>
    <row r="173" spans="1:42">
      <c r="A173" s="23">
        <v>44823</v>
      </c>
      <c r="B173" s="121">
        <f>IF(YEAR(Table9[[#This Row],[Date]]) = 2022, WEEKNUM(Table9[[#This Row],[Date]])-13, WEEKNUM(Table9[[#This Row],[Date]])+40)</f>
        <v>26</v>
      </c>
      <c r="C173" s="1" t="s">
        <v>48</v>
      </c>
      <c r="D173" s="1" t="s">
        <v>59</v>
      </c>
      <c r="E173" s="1">
        <v>1038</v>
      </c>
      <c r="F173" s="1">
        <v>899</v>
      </c>
      <c r="G173" s="19">
        <v>-0.1306532663316583</v>
      </c>
      <c r="H173" s="19">
        <v>0.21650879566982409</v>
      </c>
      <c r="I173" s="1">
        <v>17389</v>
      </c>
      <c r="J173" s="1">
        <v>11177</v>
      </c>
      <c r="K173" s="1">
        <v>136339</v>
      </c>
      <c r="L173" s="1">
        <v>102809</v>
      </c>
      <c r="M173" s="18">
        <v>0.55000000000000004</v>
      </c>
      <c r="N173" s="18">
        <v>0.13</v>
      </c>
      <c r="O173" s="18">
        <v>0.87</v>
      </c>
      <c r="P173" s="18">
        <v>0.69367283950617287</v>
      </c>
      <c r="Q173" s="193"/>
      <c r="R173" s="173">
        <v>0</v>
      </c>
      <c r="S173" s="173">
        <v>0</v>
      </c>
      <c r="T173" s="1">
        <v>12</v>
      </c>
      <c r="U173" s="268" t="str">
        <f t="shared" si="11"/>
        <v>Normal</v>
      </c>
      <c r="V173" s="268" t="str">
        <f t="shared" si="12"/>
        <v>Normal</v>
      </c>
      <c r="W173" s="270">
        <f t="shared" si="13"/>
        <v>-0.1306532663316583</v>
      </c>
      <c r="X173" s="270">
        <f t="shared" si="14"/>
        <v>0.21650879566982409</v>
      </c>
      <c r="Y173" s="249"/>
      <c r="Z173" s="249"/>
      <c r="AA173" s="249"/>
      <c r="AB173" s="249"/>
      <c r="AC173" s="249"/>
      <c r="AD173" s="249"/>
      <c r="AE173" s="249"/>
      <c r="AF173" s="249"/>
      <c r="AG173" s="249"/>
      <c r="AH173" s="249"/>
      <c r="AI173" s="249"/>
      <c r="AJ173" s="249"/>
      <c r="AK173" s="249"/>
      <c r="AL173" s="249"/>
    </row>
    <row r="174" spans="1:42">
      <c r="A174" s="23">
        <v>44824</v>
      </c>
      <c r="B174" s="121">
        <f>IF(YEAR(Table9[[#This Row],[Date]]) = 2022, WEEKNUM(Table9[[#This Row],[Date]])-13, WEEKNUM(Table9[[#This Row],[Date]])+40)</f>
        <v>26</v>
      </c>
      <c r="C174" s="1" t="s">
        <v>49</v>
      </c>
      <c r="D174" s="1" t="s">
        <v>59</v>
      </c>
      <c r="E174" s="1">
        <v>979</v>
      </c>
      <c r="F174" s="1">
        <v>858</v>
      </c>
      <c r="G174" s="19">
        <v>-3.8310412573673867E-2</v>
      </c>
      <c r="H174" s="19">
        <v>0.10996119016817593</v>
      </c>
      <c r="I174" s="1">
        <v>18368</v>
      </c>
      <c r="J174" s="1">
        <v>12035</v>
      </c>
      <c r="K174" s="1">
        <v>137318</v>
      </c>
      <c r="L174" s="1">
        <v>103667</v>
      </c>
      <c r="M174" s="18">
        <v>0.65</v>
      </c>
      <c r="N174" s="18">
        <v>0.12</v>
      </c>
      <c r="O174" s="18">
        <v>0.88</v>
      </c>
      <c r="P174" s="18">
        <v>0.61111111111111116</v>
      </c>
      <c r="Q174" s="193"/>
      <c r="R174" s="173">
        <v>0</v>
      </c>
      <c r="S174" s="173">
        <v>0</v>
      </c>
      <c r="T174" s="1">
        <v>13</v>
      </c>
      <c r="U174" s="268" t="str">
        <f t="shared" si="11"/>
        <v>Normal</v>
      </c>
      <c r="V174" s="268" t="str">
        <f t="shared" si="12"/>
        <v>Normal</v>
      </c>
      <c r="W174" s="270">
        <f t="shared" si="13"/>
        <v>-3.8310412573673867E-2</v>
      </c>
      <c r="X174" s="270">
        <f t="shared" si="14"/>
        <v>0.10996119016817593</v>
      </c>
      <c r="Y174" s="249"/>
      <c r="Z174" s="249"/>
      <c r="AA174" s="249"/>
      <c r="AB174" s="249"/>
      <c r="AC174" s="249"/>
      <c r="AD174" s="249"/>
      <c r="AE174" s="249"/>
      <c r="AF174" s="249"/>
      <c r="AG174" s="249"/>
      <c r="AH174" s="249"/>
      <c r="AI174" s="249"/>
      <c r="AJ174" s="249"/>
      <c r="AK174" s="249"/>
      <c r="AL174" s="249"/>
    </row>
    <row r="175" spans="1:42">
      <c r="A175" s="23">
        <v>44825</v>
      </c>
      <c r="B175" s="121">
        <f>IF(YEAR(Table9[[#This Row],[Date]]) = 2022, WEEKNUM(Table9[[#This Row],[Date]])-13, WEEKNUM(Table9[[#This Row],[Date]])+40)</f>
        <v>26</v>
      </c>
      <c r="C175" s="1" t="s">
        <v>50</v>
      </c>
      <c r="D175" s="1" t="s">
        <v>59</v>
      </c>
      <c r="E175" s="1">
        <v>924</v>
      </c>
      <c r="F175" s="1">
        <v>825</v>
      </c>
      <c r="G175" s="19">
        <v>-0.18733509234828497</v>
      </c>
      <c r="H175" s="19">
        <v>0.28105590062111802</v>
      </c>
      <c r="I175" s="1">
        <v>19292</v>
      </c>
      <c r="J175" s="1">
        <v>12860</v>
      </c>
      <c r="K175" s="1">
        <v>138242</v>
      </c>
      <c r="L175" s="1">
        <v>104492</v>
      </c>
      <c r="M175" s="18">
        <v>0.76</v>
      </c>
      <c r="N175" s="18">
        <v>0.11</v>
      </c>
      <c r="O175" s="18">
        <v>0.89</v>
      </c>
      <c r="P175" s="18">
        <v>0.63657407407407407</v>
      </c>
      <c r="Q175" s="193"/>
      <c r="R175" s="173">
        <v>0</v>
      </c>
      <c r="S175" s="173">
        <v>0</v>
      </c>
      <c r="T175" s="1">
        <v>12</v>
      </c>
      <c r="U175" s="268" t="str">
        <f t="shared" si="11"/>
        <v>Normal</v>
      </c>
      <c r="V175" s="268" t="str">
        <f t="shared" si="12"/>
        <v>Normal</v>
      </c>
      <c r="W175" s="270">
        <f t="shared" si="13"/>
        <v>-0.18733509234828497</v>
      </c>
      <c r="X175" s="270">
        <f t="shared" si="14"/>
        <v>0.28105590062111802</v>
      </c>
      <c r="Y175" s="249"/>
      <c r="Z175" s="249"/>
      <c r="AA175" s="249"/>
      <c r="AB175" s="249"/>
      <c r="AC175" s="249"/>
      <c r="AD175" s="249"/>
      <c r="AE175" s="249"/>
      <c r="AF175" s="249"/>
      <c r="AG175" s="249"/>
      <c r="AH175" s="249"/>
      <c r="AI175" s="249"/>
      <c r="AJ175" s="249"/>
      <c r="AK175" s="249"/>
      <c r="AL175" s="249"/>
    </row>
    <row r="176" spans="1:42">
      <c r="A176" s="23">
        <v>44826</v>
      </c>
      <c r="B176" s="121">
        <f>IF(YEAR(Table9[[#This Row],[Date]]) = 2022, WEEKNUM(Table9[[#This Row],[Date]])-13, WEEKNUM(Table9[[#This Row],[Date]])+40)</f>
        <v>26</v>
      </c>
      <c r="C176" s="1" t="s">
        <v>51</v>
      </c>
      <c r="D176" s="1" t="s">
        <v>59</v>
      </c>
      <c r="E176" s="1">
        <v>929</v>
      </c>
      <c r="F176" s="1">
        <v>759</v>
      </c>
      <c r="G176" s="19">
        <v>-0.12851782363977485</v>
      </c>
      <c r="H176" s="19">
        <v>0.40555555555555556</v>
      </c>
      <c r="I176" s="1">
        <v>20221</v>
      </c>
      <c r="J176" s="1">
        <v>13619</v>
      </c>
      <c r="K176" s="1">
        <v>139171</v>
      </c>
      <c r="L176" s="1">
        <v>105251</v>
      </c>
      <c r="M176" s="18">
        <v>0.49</v>
      </c>
      <c r="N176" s="18">
        <v>0.11</v>
      </c>
      <c r="O176" s="18">
        <v>0.89</v>
      </c>
      <c r="P176" s="18">
        <v>0.63888888888888884</v>
      </c>
      <c r="Q176" s="193"/>
      <c r="R176" s="173">
        <v>0</v>
      </c>
      <c r="S176" s="173">
        <v>0</v>
      </c>
      <c r="T176" s="1">
        <v>11</v>
      </c>
      <c r="U176" s="268" t="str">
        <f t="shared" si="11"/>
        <v>Normal</v>
      </c>
      <c r="V176" s="268" t="str">
        <f t="shared" si="12"/>
        <v>Outlier</v>
      </c>
      <c r="W176" s="270">
        <f t="shared" si="13"/>
        <v>-0.12851782363977485</v>
      </c>
      <c r="X176" s="270">
        <f t="shared" si="14"/>
        <v>0.40555555555555556</v>
      </c>
      <c r="Y176" s="249"/>
      <c r="Z176" s="249"/>
      <c r="AA176" s="249"/>
      <c r="AB176" s="249"/>
      <c r="AC176" s="249"/>
      <c r="AD176" s="249"/>
      <c r="AE176" s="249"/>
      <c r="AF176" s="249"/>
      <c r="AG176" s="249"/>
      <c r="AH176" s="249"/>
      <c r="AI176" s="249"/>
      <c r="AJ176" s="249"/>
      <c r="AK176" s="249"/>
      <c r="AL176" s="249"/>
    </row>
    <row r="177" spans="1:42">
      <c r="A177" s="23">
        <v>44827</v>
      </c>
      <c r="B177" s="121">
        <f>IF(YEAR(Table9[[#This Row],[Date]]) = 2022, WEEKNUM(Table9[[#This Row],[Date]])-13, WEEKNUM(Table9[[#This Row],[Date]])+40)</f>
        <v>26</v>
      </c>
      <c r="C177" s="1" t="s">
        <v>52</v>
      </c>
      <c r="D177" s="1" t="s">
        <v>59</v>
      </c>
      <c r="E177" s="1">
        <v>1087</v>
      </c>
      <c r="F177" s="1">
        <v>635</v>
      </c>
      <c r="G177" s="19">
        <v>0.13584117032392895</v>
      </c>
      <c r="H177" s="19">
        <v>-0.19313850063532401</v>
      </c>
      <c r="I177" s="1">
        <v>21308</v>
      </c>
      <c r="J177" s="1">
        <v>14254</v>
      </c>
      <c r="K177" s="1">
        <v>140258</v>
      </c>
      <c r="L177" s="1">
        <v>105886</v>
      </c>
      <c r="M177" s="18">
        <v>0.13</v>
      </c>
      <c r="N177" s="18">
        <v>0.42</v>
      </c>
      <c r="O177" s="18">
        <v>0.58000000000000007</v>
      </c>
      <c r="P177" s="18">
        <v>0.6532921810699589</v>
      </c>
      <c r="Q177" s="193"/>
      <c r="R177" s="173">
        <v>0</v>
      </c>
      <c r="S177" s="173">
        <v>0</v>
      </c>
      <c r="T177" s="1">
        <v>9</v>
      </c>
      <c r="U177" s="268" t="str">
        <f t="shared" si="11"/>
        <v>Normal</v>
      </c>
      <c r="V177" s="268" t="str">
        <f t="shared" si="12"/>
        <v>Normal</v>
      </c>
      <c r="W177" s="270">
        <f t="shared" si="13"/>
        <v>0.13584117032392895</v>
      </c>
      <c r="X177" s="270">
        <f t="shared" si="14"/>
        <v>-0.19313850063532401</v>
      </c>
      <c r="Y177" s="249"/>
      <c r="Z177" s="249"/>
      <c r="AA177" s="249"/>
      <c r="AB177" s="249"/>
      <c r="AC177" s="249"/>
      <c r="AD177" s="249"/>
      <c r="AE177" s="249"/>
      <c r="AF177" s="249"/>
      <c r="AG177" s="249"/>
      <c r="AH177" s="249"/>
      <c r="AI177" s="249"/>
      <c r="AJ177" s="249"/>
      <c r="AK177" s="249"/>
      <c r="AL177" s="249"/>
    </row>
    <row r="178" spans="1:42">
      <c r="A178" s="23">
        <v>44828</v>
      </c>
      <c r="B178" s="121">
        <f>IF(YEAR(Table9[[#This Row],[Date]]) = 2022, WEEKNUM(Table9[[#This Row],[Date]])-13, WEEKNUM(Table9[[#This Row],[Date]])+40)</f>
        <v>26</v>
      </c>
      <c r="C178" s="1" t="s">
        <v>53</v>
      </c>
      <c r="D178" s="1" t="s">
        <v>59</v>
      </c>
      <c r="E178" s="1">
        <v>748</v>
      </c>
      <c r="F178" s="1">
        <v>581</v>
      </c>
      <c r="G178" s="19">
        <v>-1.9659239842726082E-2</v>
      </c>
      <c r="H178" s="19">
        <v>-8.6477987421383642E-2</v>
      </c>
      <c r="I178" s="1">
        <v>22056</v>
      </c>
      <c r="J178" s="1">
        <v>14835</v>
      </c>
      <c r="K178" s="1">
        <v>141006</v>
      </c>
      <c r="L178" s="1">
        <v>106467</v>
      </c>
      <c r="M178" s="18">
        <v>0.3</v>
      </c>
      <c r="N178" s="18">
        <v>0.22</v>
      </c>
      <c r="O178" s="18">
        <v>0.78</v>
      </c>
      <c r="P178" s="18">
        <v>0.44830246913580246</v>
      </c>
      <c r="Q178" s="193"/>
      <c r="R178" s="173">
        <v>0</v>
      </c>
      <c r="S178" s="173">
        <v>0</v>
      </c>
      <c r="T178" s="1">
        <v>12</v>
      </c>
      <c r="U178" s="268" t="str">
        <f t="shared" si="11"/>
        <v>Normal</v>
      </c>
      <c r="V178" s="268" t="str">
        <f t="shared" si="12"/>
        <v>Normal</v>
      </c>
      <c r="W178" s="270">
        <f t="shared" si="13"/>
        <v>-1.9659239842726082E-2</v>
      </c>
      <c r="X178" s="270">
        <f t="shared" si="14"/>
        <v>-8.6477987421383642E-2</v>
      </c>
      <c r="Y178" s="249"/>
      <c r="Z178" s="249"/>
      <c r="AA178" s="249"/>
      <c r="AB178" s="249"/>
      <c r="AC178" s="249"/>
      <c r="AD178" s="249"/>
      <c r="AE178" s="249"/>
      <c r="AF178" s="249"/>
      <c r="AG178" s="249"/>
      <c r="AH178" s="249"/>
      <c r="AI178" s="249"/>
      <c r="AJ178" s="249"/>
      <c r="AK178" s="249"/>
      <c r="AL178" s="249"/>
    </row>
    <row r="179" spans="1:42">
      <c r="A179" s="23">
        <v>44829</v>
      </c>
      <c r="B179" s="121">
        <f>IF(YEAR(Table9[[#This Row],[Date]]) = 2022, WEEKNUM(Table9[[#This Row],[Date]])-13, WEEKNUM(Table9[[#This Row],[Date]])+40)</f>
        <v>27</v>
      </c>
      <c r="C179" s="1" t="s">
        <v>47</v>
      </c>
      <c r="D179" s="1" t="s">
        <v>59</v>
      </c>
      <c r="E179" s="1">
        <v>0</v>
      </c>
      <c r="F179" s="1">
        <v>0</v>
      </c>
      <c r="G179" s="19">
        <v>0</v>
      </c>
      <c r="H179" s="19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193"/>
      <c r="R179" s="173">
        <v>0</v>
      </c>
      <c r="S179" s="173">
        <v>0</v>
      </c>
      <c r="T179" s="1">
        <v>0</v>
      </c>
      <c r="U179" s="268" t="str">
        <f t="shared" si="11"/>
        <v>Normal</v>
      </c>
      <c r="V179" s="268" t="str">
        <f t="shared" si="12"/>
        <v>Normal</v>
      </c>
      <c r="W179" s="270">
        <f t="shared" si="13"/>
        <v>0</v>
      </c>
      <c r="X179" s="270">
        <f t="shared" si="14"/>
        <v>0</v>
      </c>
      <c r="Y179" s="249"/>
      <c r="Z179" s="249"/>
      <c r="AA179" s="249"/>
      <c r="AB179" s="249"/>
      <c r="AC179" s="249"/>
      <c r="AD179" s="249"/>
      <c r="AE179" s="249"/>
      <c r="AF179" s="249"/>
      <c r="AG179" s="249"/>
      <c r="AH179" s="249"/>
      <c r="AI179" s="249"/>
      <c r="AJ179" s="249"/>
      <c r="AK179" s="249"/>
      <c r="AL179" s="249"/>
    </row>
    <row r="180" spans="1:42">
      <c r="A180" s="23">
        <v>44830</v>
      </c>
      <c r="B180" s="121">
        <f>IF(YEAR(Table9[[#This Row],[Date]]) = 2022, WEEKNUM(Table9[[#This Row],[Date]])-13, WEEKNUM(Table9[[#This Row],[Date]])+40)</f>
        <v>27</v>
      </c>
      <c r="C180" s="1" t="s">
        <v>48</v>
      </c>
      <c r="D180" s="1" t="s">
        <v>59</v>
      </c>
      <c r="E180" s="1">
        <v>1172</v>
      </c>
      <c r="F180" s="1">
        <v>503</v>
      </c>
      <c r="G180" s="19">
        <v>0.12909441233140656</v>
      </c>
      <c r="H180" s="19">
        <v>-0.44048943270300334</v>
      </c>
      <c r="I180" s="1">
        <v>23228</v>
      </c>
      <c r="J180" s="1">
        <v>15338</v>
      </c>
      <c r="K180" s="1">
        <v>142178</v>
      </c>
      <c r="L180" s="1">
        <v>106970</v>
      </c>
      <c r="M180" s="18">
        <v>0.03</v>
      </c>
      <c r="N180" s="18">
        <v>0.56999999999999995</v>
      </c>
      <c r="O180" s="18">
        <v>0.43</v>
      </c>
      <c r="P180" s="18">
        <v>1.55</v>
      </c>
      <c r="Q180" s="193"/>
      <c r="R180" s="43">
        <v>0</v>
      </c>
      <c r="S180" s="43">
        <v>0</v>
      </c>
      <c r="T180" s="1">
        <v>3</v>
      </c>
      <c r="U180" s="268" t="str">
        <f t="shared" si="11"/>
        <v>Normal</v>
      </c>
      <c r="V180" s="268" t="str">
        <f t="shared" si="12"/>
        <v>Outlier</v>
      </c>
      <c r="W180" s="270">
        <f t="shared" si="13"/>
        <v>0.12909441233140656</v>
      </c>
      <c r="X180" s="270">
        <f t="shared" si="14"/>
        <v>-0.44048943270300334</v>
      </c>
      <c r="Y180" s="249"/>
      <c r="Z180" s="249"/>
      <c r="AA180" s="249"/>
      <c r="AB180" s="249"/>
      <c r="AC180" s="249"/>
      <c r="AD180" s="249"/>
      <c r="AE180" s="249"/>
      <c r="AF180" s="249"/>
      <c r="AG180" s="249"/>
      <c r="AH180" s="249"/>
      <c r="AI180" s="249"/>
      <c r="AJ180" s="249"/>
      <c r="AK180" s="249"/>
      <c r="AL180" s="249"/>
    </row>
    <row r="181" spans="1:42">
      <c r="A181" s="23">
        <v>44831</v>
      </c>
      <c r="B181" s="121">
        <f>IF(YEAR(Table9[[#This Row],[Date]]) = 2022, WEEKNUM(Table9[[#This Row],[Date]])-13, WEEKNUM(Table9[[#This Row],[Date]])+40)</f>
        <v>27</v>
      </c>
      <c r="C181" s="1" t="s">
        <v>49</v>
      </c>
      <c r="D181" s="1" t="s">
        <v>59</v>
      </c>
      <c r="E181" s="1">
        <v>1460</v>
      </c>
      <c r="F181" s="1">
        <v>803</v>
      </c>
      <c r="G181" s="19">
        <v>0.49131767109295199</v>
      </c>
      <c r="H181" s="19">
        <v>-6.4102564102564097E-2</v>
      </c>
      <c r="I181" s="1">
        <v>24688</v>
      </c>
      <c r="J181" s="1">
        <v>16141</v>
      </c>
      <c r="K181" s="1">
        <v>143638</v>
      </c>
      <c r="L181" s="1">
        <v>107773</v>
      </c>
      <c r="M181" s="18">
        <v>0.13</v>
      </c>
      <c r="N181" s="18">
        <v>0.45</v>
      </c>
      <c r="O181" s="18">
        <v>0.55000000000000004</v>
      </c>
      <c r="P181" s="18">
        <v>0.62</v>
      </c>
      <c r="Q181" s="193"/>
      <c r="R181" s="43">
        <v>0</v>
      </c>
      <c r="S181" s="43">
        <v>0</v>
      </c>
      <c r="T181" s="1">
        <v>12</v>
      </c>
      <c r="U181" s="268" t="str">
        <f t="shared" si="11"/>
        <v>Outlier</v>
      </c>
      <c r="V181" s="268" t="str">
        <f t="shared" si="12"/>
        <v>Normal</v>
      </c>
      <c r="W181" s="270">
        <f t="shared" si="13"/>
        <v>0.49131767109295199</v>
      </c>
      <c r="X181" s="270">
        <f t="shared" si="14"/>
        <v>-6.4102564102564097E-2</v>
      </c>
      <c r="Y181" s="249"/>
      <c r="Z181" s="249"/>
      <c r="AA181" s="249"/>
      <c r="AB181" s="249"/>
      <c r="AC181" s="249"/>
      <c r="AD181" s="249"/>
      <c r="AE181" s="249"/>
      <c r="AF181" s="249"/>
      <c r="AG181" s="249"/>
      <c r="AH181" s="249"/>
      <c r="AI181" s="249"/>
      <c r="AJ181" s="249"/>
      <c r="AK181" s="249"/>
      <c r="AL181" s="249"/>
    </row>
    <row r="182" spans="1:42">
      <c r="A182" s="23">
        <v>44832</v>
      </c>
      <c r="B182" s="121">
        <f>IF(YEAR(Table9[[#This Row],[Date]]) = 2022, WEEKNUM(Table9[[#This Row],[Date]])-13, WEEKNUM(Table9[[#This Row],[Date]])+40)</f>
        <v>27</v>
      </c>
      <c r="C182" s="1" t="s">
        <v>50</v>
      </c>
      <c r="D182" s="1" t="s">
        <v>59</v>
      </c>
      <c r="E182" s="1">
        <v>1179</v>
      </c>
      <c r="F182" s="1">
        <v>953</v>
      </c>
      <c r="G182" s="19">
        <v>0.27597402597402598</v>
      </c>
      <c r="H182" s="19">
        <v>0.15515151515151515</v>
      </c>
      <c r="I182" s="1">
        <v>25867</v>
      </c>
      <c r="J182" s="1">
        <v>17094</v>
      </c>
      <c r="K182" s="1">
        <v>144817</v>
      </c>
      <c r="L182" s="1">
        <v>108726</v>
      </c>
      <c r="M182" s="18">
        <v>0.47</v>
      </c>
      <c r="N182" s="18">
        <v>0.19</v>
      </c>
      <c r="O182" s="18">
        <v>0.81</v>
      </c>
      <c r="P182" s="18">
        <v>0.88</v>
      </c>
      <c r="Q182" s="193"/>
      <c r="R182" s="43">
        <v>0</v>
      </c>
      <c r="S182" s="43">
        <v>0</v>
      </c>
      <c r="T182" s="1">
        <v>10</v>
      </c>
      <c r="U182" s="268" t="str">
        <f t="shared" si="11"/>
        <v>Normal</v>
      </c>
      <c r="V182" s="268" t="str">
        <f t="shared" si="12"/>
        <v>Normal</v>
      </c>
      <c r="W182" s="270">
        <f t="shared" si="13"/>
        <v>0.27597402597402598</v>
      </c>
      <c r="X182" s="270">
        <f t="shared" si="14"/>
        <v>0.15515151515151515</v>
      </c>
      <c r="Y182" s="249"/>
      <c r="Z182" s="249"/>
      <c r="AA182" s="249"/>
      <c r="AB182" s="249"/>
      <c r="AC182" s="249"/>
      <c r="AD182" s="249"/>
      <c r="AE182" s="249"/>
      <c r="AF182" s="249"/>
      <c r="AG182" s="249"/>
      <c r="AH182" s="249"/>
      <c r="AI182" s="249"/>
      <c r="AJ182" s="249"/>
      <c r="AK182" s="249"/>
      <c r="AL182" s="249"/>
    </row>
    <row r="183" spans="1:42">
      <c r="A183" s="23">
        <v>44833</v>
      </c>
      <c r="B183" s="121">
        <f>IF(YEAR(Table9[[#This Row],[Date]]) = 2022, WEEKNUM(Table9[[#This Row],[Date]])-13, WEEKNUM(Table9[[#This Row],[Date]])+40)</f>
        <v>27</v>
      </c>
      <c r="C183" s="1" t="s">
        <v>51</v>
      </c>
      <c r="D183" s="1" t="s">
        <v>59</v>
      </c>
      <c r="E183" s="1">
        <v>1028</v>
      </c>
      <c r="F183" s="1">
        <v>852</v>
      </c>
      <c r="G183" s="19">
        <v>0.10656620021528525</v>
      </c>
      <c r="H183" s="19">
        <v>0.1225296442687747</v>
      </c>
      <c r="I183" s="1">
        <v>26895</v>
      </c>
      <c r="J183" s="1">
        <v>17946</v>
      </c>
      <c r="K183" s="1">
        <v>145845</v>
      </c>
      <c r="L183" s="1">
        <v>109578</v>
      </c>
      <c r="M183" s="18">
        <v>0.41</v>
      </c>
      <c r="N183" s="18">
        <v>0.17</v>
      </c>
      <c r="O183" s="18">
        <v>0.83</v>
      </c>
      <c r="P183" s="18">
        <v>0.79</v>
      </c>
      <c r="Q183" s="193"/>
      <c r="R183" s="43">
        <v>0</v>
      </c>
      <c r="S183" s="43">
        <v>0</v>
      </c>
      <c r="T183" s="1">
        <v>10</v>
      </c>
      <c r="U183" s="268" t="str">
        <f t="shared" si="11"/>
        <v>Normal</v>
      </c>
      <c r="V183" s="268" t="str">
        <f t="shared" si="12"/>
        <v>Normal</v>
      </c>
      <c r="W183" s="270">
        <f t="shared" si="13"/>
        <v>0.10656620021528525</v>
      </c>
      <c r="X183" s="270">
        <f t="shared" si="14"/>
        <v>0.1225296442687747</v>
      </c>
      <c r="Y183" s="249"/>
      <c r="Z183" s="249"/>
      <c r="AA183" s="249"/>
      <c r="AB183" s="249"/>
      <c r="AC183" s="249"/>
      <c r="AD183" s="249"/>
      <c r="AE183" s="249"/>
      <c r="AF183" s="249"/>
      <c r="AG183" s="249"/>
      <c r="AH183" s="249"/>
      <c r="AI183" s="249"/>
      <c r="AJ183" s="249"/>
      <c r="AK183" s="249"/>
      <c r="AL183" s="249"/>
    </row>
    <row r="184" spans="1:42" s="50" customFormat="1">
      <c r="A184" s="104">
        <v>44834</v>
      </c>
      <c r="B184" s="304">
        <f>IF(YEAR(Table9[[#This Row],[Date]]) = 2022, WEEKNUM(Table9[[#This Row],[Date]])-13, WEEKNUM(Table9[[#This Row],[Date]])+40)</f>
        <v>27</v>
      </c>
      <c r="C184" s="52" t="s">
        <v>52</v>
      </c>
      <c r="D184" s="52" t="s">
        <v>59</v>
      </c>
      <c r="E184" s="52">
        <v>1178</v>
      </c>
      <c r="F184" s="52">
        <v>700</v>
      </c>
      <c r="G184" s="143">
        <v>8.3716651333946637E-2</v>
      </c>
      <c r="H184" s="143">
        <v>0.10236220472440945</v>
      </c>
      <c r="I184" s="52">
        <v>28073</v>
      </c>
      <c r="J184" s="52">
        <v>18646</v>
      </c>
      <c r="K184" s="52">
        <v>147023</v>
      </c>
      <c r="L184" s="52">
        <v>110278</v>
      </c>
      <c r="M184" s="53">
        <v>0.13</v>
      </c>
      <c r="N184" s="53">
        <v>0.40577249575551783</v>
      </c>
      <c r="O184" s="53">
        <v>0.59422750424448223</v>
      </c>
      <c r="P184" s="53">
        <v>0.72</v>
      </c>
      <c r="Q184" s="193"/>
      <c r="R184" s="101">
        <v>0</v>
      </c>
      <c r="S184" s="101">
        <v>0</v>
      </c>
      <c r="T184" s="52">
        <v>9</v>
      </c>
      <c r="U184" s="268" t="str">
        <f t="shared" si="11"/>
        <v>Normal</v>
      </c>
      <c r="V184" s="268" t="str">
        <f t="shared" si="12"/>
        <v>Normal</v>
      </c>
      <c r="W184" s="270">
        <f t="shared" si="13"/>
        <v>8.3716651333946637E-2</v>
      </c>
      <c r="X184" s="270">
        <f t="shared" si="14"/>
        <v>0.10236220472440945</v>
      </c>
      <c r="Y184" s="250"/>
      <c r="Z184" s="250"/>
      <c r="AA184" s="250"/>
      <c r="AB184" s="250"/>
      <c r="AC184" s="250"/>
      <c r="AD184" s="250"/>
      <c r="AE184" s="250"/>
      <c r="AF184" s="250"/>
      <c r="AG184" s="250"/>
      <c r="AH184" s="250"/>
      <c r="AI184" s="250"/>
      <c r="AJ184" s="250"/>
      <c r="AK184" s="250"/>
      <c r="AL184" s="250"/>
      <c r="AN184"/>
      <c r="AO184"/>
      <c r="AP184"/>
    </row>
    <row r="185" spans="1:42">
      <c r="A185" s="23">
        <v>44835</v>
      </c>
      <c r="B185" s="121">
        <f>IF(YEAR(Table9[[#This Row],[Date]]) = 2022, WEEKNUM(Table9[[#This Row],[Date]])-13, WEEKNUM(Table9[[#This Row],[Date]])+40)</f>
        <v>27</v>
      </c>
      <c r="C185" s="1" t="s">
        <v>53</v>
      </c>
      <c r="D185" s="1" t="s">
        <v>59</v>
      </c>
      <c r="E185" s="1">
        <v>902</v>
      </c>
      <c r="F185" s="1">
        <v>541</v>
      </c>
      <c r="G185" s="19">
        <v>0.20588235294117646</v>
      </c>
      <c r="H185" s="19">
        <v>-6.8846815834767636E-2</v>
      </c>
      <c r="I185" s="1">
        <v>902</v>
      </c>
      <c r="J185" s="1">
        <v>541</v>
      </c>
      <c r="K185" s="1">
        <v>147925</v>
      </c>
      <c r="L185" s="1">
        <v>110819</v>
      </c>
      <c r="M185" s="18">
        <v>0.08</v>
      </c>
      <c r="N185" s="18">
        <v>0.40022172949002216</v>
      </c>
      <c r="O185" s="18">
        <v>0.5997782705099779</v>
      </c>
      <c r="P185" s="18">
        <v>1.19</v>
      </c>
      <c r="Q185" s="193"/>
      <c r="R185" s="43">
        <v>0</v>
      </c>
      <c r="S185" s="43">
        <v>0</v>
      </c>
      <c r="T185" s="1">
        <v>7</v>
      </c>
      <c r="U185" s="268" t="str">
        <f t="shared" si="11"/>
        <v>Normal</v>
      </c>
      <c r="V185" s="268" t="str">
        <f t="shared" si="12"/>
        <v>Normal</v>
      </c>
      <c r="W185" s="270">
        <f t="shared" si="13"/>
        <v>0.20588235294117646</v>
      </c>
      <c r="X185" s="270">
        <f t="shared" si="14"/>
        <v>-6.8846815834767636E-2</v>
      </c>
      <c r="Y185" s="249"/>
      <c r="Z185" s="249"/>
      <c r="AA185" s="249"/>
      <c r="AB185" s="249"/>
      <c r="AC185" s="249"/>
      <c r="AD185" s="249"/>
      <c r="AE185" s="249"/>
      <c r="AF185" s="249"/>
      <c r="AG185" s="249"/>
      <c r="AH185" s="249"/>
      <c r="AI185" s="249"/>
      <c r="AJ185" s="249"/>
      <c r="AK185" s="249"/>
      <c r="AL185" s="249"/>
    </row>
    <row r="186" spans="1:42">
      <c r="A186" s="23">
        <v>44836</v>
      </c>
      <c r="B186" s="121">
        <f>IF(YEAR(Table9[[#This Row],[Date]]) = 2022, WEEKNUM(Table9[[#This Row],[Date]])-13, WEEKNUM(Table9[[#This Row],[Date]])+40)</f>
        <v>28</v>
      </c>
      <c r="C186" s="1" t="s">
        <v>47</v>
      </c>
      <c r="D186" s="1" t="s">
        <v>59</v>
      </c>
      <c r="E186" s="1">
        <v>0</v>
      </c>
      <c r="F186" s="1">
        <v>0</v>
      </c>
      <c r="G186" s="19">
        <v>0</v>
      </c>
      <c r="H186" s="19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193"/>
      <c r="R186" s="173">
        <v>0</v>
      </c>
      <c r="S186" s="173">
        <v>0</v>
      </c>
      <c r="T186" s="1">
        <v>0</v>
      </c>
      <c r="U186" s="268" t="str">
        <f t="shared" si="11"/>
        <v>Normal</v>
      </c>
      <c r="V186" s="268" t="str">
        <f t="shared" si="12"/>
        <v>Normal</v>
      </c>
      <c r="W186" s="270">
        <f t="shared" si="13"/>
        <v>0</v>
      </c>
      <c r="X186" s="270">
        <f t="shared" si="14"/>
        <v>0</v>
      </c>
      <c r="Y186" s="249"/>
      <c r="Z186" s="249"/>
      <c r="AA186" s="249"/>
      <c r="AB186" s="249"/>
      <c r="AC186" s="249"/>
      <c r="AD186" s="249"/>
      <c r="AE186" s="249"/>
      <c r="AF186" s="249"/>
      <c r="AG186" s="249"/>
      <c r="AH186" s="249"/>
      <c r="AI186" s="249"/>
      <c r="AJ186" s="249"/>
      <c r="AK186" s="249"/>
      <c r="AL186" s="249"/>
    </row>
    <row r="187" spans="1:42">
      <c r="A187" s="23">
        <v>44837</v>
      </c>
      <c r="B187" s="121">
        <f>IF(YEAR(Table9[[#This Row],[Date]]) = 2022, WEEKNUM(Table9[[#This Row],[Date]])-13, WEEKNUM(Table9[[#This Row],[Date]])+40)</f>
        <v>28</v>
      </c>
      <c r="C187" s="1" t="s">
        <v>48</v>
      </c>
      <c r="D187" s="1" t="s">
        <v>59</v>
      </c>
      <c r="E187" s="1">
        <v>1357</v>
      </c>
      <c r="F187" s="1">
        <v>881</v>
      </c>
      <c r="G187" s="19">
        <v>0.15784982935153583</v>
      </c>
      <c r="H187" s="19">
        <v>0.75149105367793245</v>
      </c>
      <c r="I187" s="1">
        <v>2259</v>
      </c>
      <c r="J187" s="1">
        <v>1422</v>
      </c>
      <c r="K187" s="1">
        <v>149282</v>
      </c>
      <c r="L187" s="1">
        <v>111700</v>
      </c>
      <c r="M187" s="18">
        <v>0.15</v>
      </c>
      <c r="N187" s="18">
        <v>0.3507737656595431</v>
      </c>
      <c r="O187" s="18">
        <v>0.6492262343404569</v>
      </c>
      <c r="P187" s="18">
        <v>1.05</v>
      </c>
      <c r="Q187" s="193"/>
      <c r="R187" s="43">
        <v>0</v>
      </c>
      <c r="S187" s="43">
        <v>0</v>
      </c>
      <c r="T187" s="1">
        <v>12</v>
      </c>
      <c r="U187" s="268" t="str">
        <f t="shared" si="11"/>
        <v>Normal</v>
      </c>
      <c r="V187" s="268" t="str">
        <f t="shared" si="12"/>
        <v>Outlier</v>
      </c>
      <c r="W187" s="270">
        <f t="shared" si="13"/>
        <v>0.15784982935153583</v>
      </c>
      <c r="X187" s="270">
        <f t="shared" si="14"/>
        <v>0.75149105367793245</v>
      </c>
      <c r="Y187" s="249"/>
      <c r="Z187" s="249"/>
      <c r="AA187" s="249"/>
      <c r="AB187" s="249"/>
      <c r="AC187" s="249"/>
      <c r="AD187" s="249"/>
      <c r="AE187" s="249"/>
      <c r="AF187" s="249"/>
      <c r="AG187" s="249"/>
      <c r="AH187" s="249"/>
      <c r="AI187" s="249"/>
      <c r="AJ187" s="249"/>
      <c r="AK187" s="249"/>
      <c r="AL187" s="249"/>
    </row>
    <row r="188" spans="1:42">
      <c r="A188" s="23">
        <v>44838</v>
      </c>
      <c r="B188" s="121">
        <f>IF(YEAR(Table9[[#This Row],[Date]]) = 2022, WEEKNUM(Table9[[#This Row],[Date]])-13, WEEKNUM(Table9[[#This Row],[Date]])+40)</f>
        <v>28</v>
      </c>
      <c r="C188" s="1" t="s">
        <v>49</v>
      </c>
      <c r="D188" s="1" t="s">
        <v>59</v>
      </c>
      <c r="E188" s="1">
        <v>1021</v>
      </c>
      <c r="F188" s="1">
        <v>708</v>
      </c>
      <c r="G188" s="19">
        <v>-0.30068493150684933</v>
      </c>
      <c r="H188" s="19">
        <v>-0.11830635118306351</v>
      </c>
      <c r="I188" s="1">
        <v>3280</v>
      </c>
      <c r="J188" s="1">
        <v>2130</v>
      </c>
      <c r="K188" s="1">
        <v>150303</v>
      </c>
      <c r="L188" s="1">
        <v>112408</v>
      </c>
      <c r="M188" s="18">
        <v>0.19</v>
      </c>
      <c r="N188" s="18">
        <v>0.30656219392752204</v>
      </c>
      <c r="O188" s="18">
        <v>0.69343780607247796</v>
      </c>
      <c r="P188" s="18">
        <v>0.68</v>
      </c>
      <c r="Q188" s="193"/>
      <c r="R188" s="43">
        <v>0</v>
      </c>
      <c r="S188" s="43">
        <v>0</v>
      </c>
      <c r="T188" s="1">
        <v>14</v>
      </c>
      <c r="U188" s="268" t="str">
        <f t="shared" si="11"/>
        <v>Normal</v>
      </c>
      <c r="V188" s="268" t="str">
        <f t="shared" si="12"/>
        <v>Normal</v>
      </c>
      <c r="W188" s="270">
        <f t="shared" si="13"/>
        <v>-0.30068493150684933</v>
      </c>
      <c r="X188" s="270">
        <f t="shared" si="14"/>
        <v>-0.11830635118306351</v>
      </c>
      <c r="Y188" s="249"/>
      <c r="Z188" s="249"/>
      <c r="AA188" s="249"/>
      <c r="AB188" s="249"/>
      <c r="AC188" s="249"/>
      <c r="AD188" s="249"/>
      <c r="AE188" s="249"/>
      <c r="AF188" s="249"/>
      <c r="AG188" s="249"/>
      <c r="AH188" s="249"/>
      <c r="AI188" s="249"/>
      <c r="AJ188" s="249"/>
      <c r="AK188" s="249"/>
      <c r="AL188" s="249"/>
    </row>
    <row r="189" spans="1:42">
      <c r="A189" s="23">
        <v>44839</v>
      </c>
      <c r="B189" s="121">
        <f>IF(YEAR(Table9[[#This Row],[Date]]) = 2022, WEEKNUM(Table9[[#This Row],[Date]])-13, WEEKNUM(Table9[[#This Row],[Date]])+40)</f>
        <v>28</v>
      </c>
      <c r="C189" s="1" t="s">
        <v>50</v>
      </c>
      <c r="D189" s="1" t="s">
        <v>59</v>
      </c>
      <c r="E189" s="1">
        <v>986</v>
      </c>
      <c r="F189" s="1">
        <v>752</v>
      </c>
      <c r="G189" s="19">
        <v>-0.16369804919423239</v>
      </c>
      <c r="H189" s="19">
        <v>-0.21091290661070305</v>
      </c>
      <c r="I189" s="1">
        <v>4266</v>
      </c>
      <c r="J189" s="1">
        <v>2882</v>
      </c>
      <c r="K189" s="1">
        <v>151289</v>
      </c>
      <c r="L189" s="1">
        <v>113160</v>
      </c>
      <c r="M189" s="18">
        <v>0.3</v>
      </c>
      <c r="N189" s="18">
        <v>0.23732251521298176</v>
      </c>
      <c r="O189" s="18">
        <v>0.76267748478701824</v>
      </c>
      <c r="P189" s="18">
        <v>0.76</v>
      </c>
      <c r="Q189" s="193"/>
      <c r="R189" s="43">
        <v>0</v>
      </c>
      <c r="S189" s="43">
        <v>0</v>
      </c>
      <c r="T189" s="1">
        <v>12</v>
      </c>
      <c r="U189" s="268" t="str">
        <f t="shared" si="11"/>
        <v>Normal</v>
      </c>
      <c r="V189" s="268" t="str">
        <f t="shared" si="12"/>
        <v>Normal</v>
      </c>
      <c r="W189" s="270">
        <f t="shared" si="13"/>
        <v>-0.16369804919423239</v>
      </c>
      <c r="X189" s="270">
        <f t="shared" si="14"/>
        <v>-0.21091290661070305</v>
      </c>
      <c r="Y189" s="249"/>
      <c r="Z189" s="249"/>
      <c r="AA189" s="249"/>
      <c r="AB189" s="249"/>
      <c r="AC189" s="249"/>
      <c r="AD189" s="249"/>
      <c r="AE189" s="249"/>
      <c r="AF189" s="249"/>
      <c r="AG189" s="249"/>
      <c r="AH189" s="249"/>
      <c r="AI189" s="249"/>
      <c r="AJ189" s="249"/>
      <c r="AK189" s="249"/>
      <c r="AL189" s="249"/>
    </row>
    <row r="190" spans="1:42">
      <c r="A190" s="23">
        <v>44840</v>
      </c>
      <c r="B190" s="121">
        <f>IF(YEAR(Table9[[#This Row],[Date]]) = 2022, WEEKNUM(Table9[[#This Row],[Date]])-13, WEEKNUM(Table9[[#This Row],[Date]])+40)</f>
        <v>28</v>
      </c>
      <c r="C190" s="1" t="s">
        <v>51</v>
      </c>
      <c r="D190" s="1" t="s">
        <v>59</v>
      </c>
      <c r="E190" s="1">
        <v>1031</v>
      </c>
      <c r="F190" s="1">
        <v>744</v>
      </c>
      <c r="G190" s="19">
        <v>2.9182879377431907E-3</v>
      </c>
      <c r="H190" s="19">
        <v>-0.12676056338028169</v>
      </c>
      <c r="I190" s="1">
        <v>5297</v>
      </c>
      <c r="J190" s="1">
        <v>3626</v>
      </c>
      <c r="K190" s="1">
        <v>152320</v>
      </c>
      <c r="L190" s="1">
        <v>113904</v>
      </c>
      <c r="M190" s="18">
        <v>0.25</v>
      </c>
      <c r="N190" s="18">
        <v>0.27837051406401553</v>
      </c>
      <c r="O190" s="18">
        <v>0.72162948593598442</v>
      </c>
      <c r="P190" s="18">
        <v>0.87</v>
      </c>
      <c r="Q190" s="193"/>
      <c r="R190" s="43">
        <v>0</v>
      </c>
      <c r="S190" s="43">
        <v>0</v>
      </c>
      <c r="T190" s="1">
        <v>11</v>
      </c>
      <c r="U190" s="268" t="str">
        <f t="shared" si="11"/>
        <v>Normal</v>
      </c>
      <c r="V190" s="268" t="str">
        <f t="shared" si="12"/>
        <v>Normal</v>
      </c>
      <c r="W190" s="270">
        <f t="shared" si="13"/>
        <v>2.9182879377431907E-3</v>
      </c>
      <c r="X190" s="270">
        <f t="shared" si="14"/>
        <v>-0.12676056338028169</v>
      </c>
      <c r="Y190" s="249"/>
      <c r="Z190" s="249"/>
      <c r="AA190" s="249"/>
      <c r="AB190" s="249"/>
      <c r="AC190" s="249"/>
      <c r="AD190" s="249"/>
      <c r="AE190" s="249"/>
      <c r="AF190" s="249"/>
      <c r="AG190" s="249"/>
      <c r="AH190" s="249"/>
      <c r="AI190" s="249"/>
      <c r="AJ190" s="249"/>
      <c r="AK190" s="249"/>
      <c r="AL190" s="249"/>
    </row>
    <row r="191" spans="1:42">
      <c r="A191" s="23">
        <v>44841</v>
      </c>
      <c r="B191" s="121">
        <f>IF(YEAR(Table9[[#This Row],[Date]]) = 2022, WEEKNUM(Table9[[#This Row],[Date]])-13, WEEKNUM(Table9[[#This Row],[Date]])+40)</f>
        <v>28</v>
      </c>
      <c r="C191" s="1" t="s">
        <v>52</v>
      </c>
      <c r="D191" s="1" t="s">
        <v>59</v>
      </c>
      <c r="E191" s="1">
        <v>1064</v>
      </c>
      <c r="F191" s="1">
        <v>473</v>
      </c>
      <c r="G191" s="19">
        <v>-9.6774193548387094E-2</v>
      </c>
      <c r="H191" s="19">
        <v>-0.32428571428571429</v>
      </c>
      <c r="I191" s="1">
        <v>6361</v>
      </c>
      <c r="J191" s="1">
        <v>4099</v>
      </c>
      <c r="K191" s="1">
        <v>153384</v>
      </c>
      <c r="L191" s="1">
        <v>114377</v>
      </c>
      <c r="M191" s="18">
        <v>0.04</v>
      </c>
      <c r="N191" s="18">
        <v>0.55545112781954886</v>
      </c>
      <c r="O191" s="18">
        <v>0.44454887218045114</v>
      </c>
      <c r="P191" s="18">
        <v>1.41</v>
      </c>
      <c r="Q191" s="193"/>
      <c r="R191" s="43">
        <v>0</v>
      </c>
      <c r="S191" s="43">
        <v>0</v>
      </c>
      <c r="T191" s="1">
        <v>7</v>
      </c>
      <c r="U191" s="268" t="str">
        <f t="shared" si="11"/>
        <v>Normal</v>
      </c>
      <c r="V191" s="268" t="str">
        <f t="shared" si="12"/>
        <v>Normal</v>
      </c>
      <c r="W191" s="270">
        <f t="shared" si="13"/>
        <v>-9.6774193548387094E-2</v>
      </c>
      <c r="X191" s="270">
        <f t="shared" si="14"/>
        <v>-0.32428571428571429</v>
      </c>
      <c r="Y191" s="249"/>
      <c r="Z191" s="249"/>
      <c r="AA191" s="249"/>
      <c r="AB191" s="249"/>
      <c r="AC191" s="249"/>
      <c r="AD191" s="249"/>
      <c r="AE191" s="249"/>
      <c r="AF191" s="249"/>
      <c r="AG191" s="249"/>
      <c r="AH191" s="249"/>
      <c r="AI191" s="249"/>
      <c r="AJ191" s="249"/>
      <c r="AK191" s="249"/>
      <c r="AL191" s="249"/>
    </row>
    <row r="192" spans="1:42">
      <c r="A192" s="23">
        <v>44842</v>
      </c>
      <c r="B192" s="121">
        <f>IF(YEAR(Table9[[#This Row],[Date]]) = 2022, WEEKNUM(Table9[[#This Row],[Date]])-13, WEEKNUM(Table9[[#This Row],[Date]])+40)</f>
        <v>28</v>
      </c>
      <c r="C192" s="1" t="s">
        <v>53</v>
      </c>
      <c r="D192" s="1" t="s">
        <v>59</v>
      </c>
      <c r="E192" s="1">
        <v>961</v>
      </c>
      <c r="F192" s="1">
        <v>554</v>
      </c>
      <c r="G192" s="19">
        <v>6.5410199556541024E-2</v>
      </c>
      <c r="H192" s="19">
        <v>2.4029574861367836E-2</v>
      </c>
      <c r="I192" s="1">
        <v>7322</v>
      </c>
      <c r="J192" s="1">
        <v>4653</v>
      </c>
      <c r="K192" s="1">
        <v>154345</v>
      </c>
      <c r="L192" s="1">
        <v>114931</v>
      </c>
      <c r="M192" s="18">
        <v>0.11</v>
      </c>
      <c r="N192" s="18">
        <v>0.42351716961498437</v>
      </c>
      <c r="O192" s="18">
        <v>0.57648283038501558</v>
      </c>
      <c r="P192" s="18">
        <v>0.99</v>
      </c>
      <c r="Q192" s="193"/>
      <c r="R192" s="43">
        <v>0</v>
      </c>
      <c r="S192" s="43">
        <v>0</v>
      </c>
      <c r="T192" s="1">
        <v>9</v>
      </c>
      <c r="U192" s="268" t="str">
        <f t="shared" si="11"/>
        <v>Normal</v>
      </c>
      <c r="V192" s="268" t="str">
        <f t="shared" si="12"/>
        <v>Normal</v>
      </c>
      <c r="W192" s="270">
        <f t="shared" si="13"/>
        <v>6.5410199556541024E-2</v>
      </c>
      <c r="X192" s="270">
        <f t="shared" si="14"/>
        <v>2.4029574861367836E-2</v>
      </c>
      <c r="Y192" s="249"/>
      <c r="Z192" s="249"/>
      <c r="AA192" s="249"/>
      <c r="AB192" s="249"/>
      <c r="AC192" s="249"/>
      <c r="AD192" s="249"/>
      <c r="AE192" s="249"/>
      <c r="AF192" s="249"/>
      <c r="AG192" s="249"/>
      <c r="AH192" s="249"/>
      <c r="AI192" s="249"/>
      <c r="AJ192" s="249"/>
      <c r="AK192" s="249"/>
      <c r="AL192" s="249"/>
    </row>
    <row r="193" spans="1:42">
      <c r="A193" s="23">
        <v>44843</v>
      </c>
      <c r="B193" s="121">
        <f>IF(YEAR(Table9[[#This Row],[Date]]) = 2022, WEEKNUM(Table9[[#This Row],[Date]])-13, WEEKNUM(Table9[[#This Row],[Date]])+40)</f>
        <v>29</v>
      </c>
      <c r="C193" s="1" t="s">
        <v>47</v>
      </c>
      <c r="D193" s="1" t="s">
        <v>59</v>
      </c>
      <c r="E193" s="1">
        <v>0</v>
      </c>
      <c r="F193" s="1">
        <v>0</v>
      </c>
      <c r="G193" s="19">
        <v>0</v>
      </c>
      <c r="H193" s="19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193"/>
      <c r="R193" s="173">
        <v>0</v>
      </c>
      <c r="S193" s="173">
        <v>0</v>
      </c>
      <c r="T193" s="1">
        <v>0</v>
      </c>
      <c r="U193" s="268" t="str">
        <f t="shared" si="11"/>
        <v>Normal</v>
      </c>
      <c r="V193" s="268" t="str">
        <f t="shared" si="12"/>
        <v>Normal</v>
      </c>
      <c r="W193" s="270">
        <f t="shared" si="13"/>
        <v>0</v>
      </c>
      <c r="X193" s="270">
        <f t="shared" si="14"/>
        <v>0</v>
      </c>
      <c r="Y193" s="249"/>
      <c r="Z193" s="249"/>
      <c r="AA193" s="249"/>
      <c r="AB193" s="249"/>
      <c r="AC193" s="249"/>
      <c r="AD193" s="249"/>
      <c r="AE193" s="249"/>
      <c r="AF193" s="249"/>
      <c r="AG193" s="249"/>
      <c r="AH193" s="249"/>
      <c r="AI193" s="249"/>
      <c r="AJ193" s="249"/>
      <c r="AK193" s="249"/>
      <c r="AL193" s="249"/>
    </row>
    <row r="194" spans="1:42">
      <c r="A194" s="23">
        <v>44844</v>
      </c>
      <c r="B194" s="121">
        <f>IF(YEAR(Table9[[#This Row],[Date]]) = 2022, WEEKNUM(Table9[[#This Row],[Date]])-13, WEEKNUM(Table9[[#This Row],[Date]])+40)</f>
        <v>29</v>
      </c>
      <c r="C194" s="1" t="s">
        <v>48</v>
      </c>
      <c r="D194" s="1" t="s">
        <v>59</v>
      </c>
      <c r="E194" s="1">
        <v>1149</v>
      </c>
      <c r="F194" s="1">
        <v>692</v>
      </c>
      <c r="G194" s="19">
        <v>-0.15327929255711129</v>
      </c>
      <c r="H194" s="19">
        <v>-0.21452894438138478</v>
      </c>
      <c r="I194" s="1">
        <v>8471</v>
      </c>
      <c r="J194" s="1">
        <v>5345</v>
      </c>
      <c r="K194" s="1">
        <v>155494</v>
      </c>
      <c r="L194" s="1">
        <v>115623</v>
      </c>
      <c r="M194" s="18">
        <v>0.1</v>
      </c>
      <c r="N194" s="18">
        <v>0.4</v>
      </c>
      <c r="O194" s="18">
        <v>0.60226283724978247</v>
      </c>
      <c r="P194" s="18">
        <v>0.76</v>
      </c>
      <c r="Q194" s="193"/>
      <c r="R194" s="173">
        <v>0</v>
      </c>
      <c r="S194" s="173">
        <v>0</v>
      </c>
      <c r="T194" s="1">
        <v>14</v>
      </c>
      <c r="U194" s="268" t="str">
        <f t="shared" si="11"/>
        <v>Normal</v>
      </c>
      <c r="V194" s="268" t="str">
        <f t="shared" si="12"/>
        <v>Normal</v>
      </c>
      <c r="W194" s="270">
        <f t="shared" si="13"/>
        <v>-0.15327929255711129</v>
      </c>
      <c r="X194" s="270">
        <f t="shared" si="14"/>
        <v>-0.21452894438138478</v>
      </c>
      <c r="Y194" s="249"/>
      <c r="Z194" s="249"/>
      <c r="AA194" s="249"/>
      <c r="AB194" s="249"/>
      <c r="AC194" s="249"/>
      <c r="AD194" s="249"/>
      <c r="AE194" s="249"/>
      <c r="AF194" s="249"/>
      <c r="AG194" s="249"/>
      <c r="AH194" s="249"/>
      <c r="AI194" s="249"/>
      <c r="AJ194" s="249"/>
      <c r="AK194" s="249"/>
      <c r="AL194" s="249"/>
    </row>
    <row r="195" spans="1:42">
      <c r="A195" s="23">
        <v>44845</v>
      </c>
      <c r="B195" s="121">
        <f>IF(YEAR(Table9[[#This Row],[Date]]) = 2022, WEEKNUM(Table9[[#This Row],[Date]])-13, WEEKNUM(Table9[[#This Row],[Date]])+40)</f>
        <v>29</v>
      </c>
      <c r="C195" s="1" t="s">
        <v>49</v>
      </c>
      <c r="D195" s="1" t="s">
        <v>59</v>
      </c>
      <c r="E195" s="1">
        <v>1069</v>
      </c>
      <c r="F195" s="1">
        <v>643</v>
      </c>
      <c r="G195" s="19">
        <v>4.701273261508325E-2</v>
      </c>
      <c r="H195" s="19">
        <v>-9.1807909604519775E-2</v>
      </c>
      <c r="I195" s="1">
        <v>9540</v>
      </c>
      <c r="J195" s="1">
        <v>5988</v>
      </c>
      <c r="K195" s="1">
        <v>156563</v>
      </c>
      <c r="L195" s="1">
        <v>116266</v>
      </c>
      <c r="M195" s="127">
        <v>0.12</v>
      </c>
      <c r="N195" s="127">
        <v>0.4</v>
      </c>
      <c r="O195" s="127">
        <v>0.60149672591206738</v>
      </c>
      <c r="P195" s="69">
        <v>0.9</v>
      </c>
      <c r="Q195" s="193"/>
      <c r="R195" s="173">
        <v>0</v>
      </c>
      <c r="S195" s="173">
        <v>0</v>
      </c>
      <c r="T195" s="1">
        <v>11</v>
      </c>
      <c r="U195" s="268" t="str">
        <f t="shared" ref="U195:U258" si="15">IF(OR(G195&lt;$AA$5,G195&gt;$AB$5), "Outlier", "Normal")</f>
        <v>Normal</v>
      </c>
      <c r="V195" s="268" t="str">
        <f t="shared" ref="V195:V258" si="16">IF(OR(H195&lt;$AA$6,H195&gt;$AB$6), "Outlier", "Normal")</f>
        <v>Normal</v>
      </c>
      <c r="W195" s="270">
        <f t="shared" ref="W195:W258" si="17">IF(U195="Normal",$G195,IF($G195&lt;150%, $G195, $AA$9))</f>
        <v>4.701273261508325E-2</v>
      </c>
      <c r="X195" s="270">
        <f t="shared" ref="X195:X258" si="18">IF(V195="Normal",$H195,IF($H195&lt;150%, $H195, $AE$9))</f>
        <v>-9.1807909604519775E-2</v>
      </c>
      <c r="Y195" s="249"/>
      <c r="Z195" s="249"/>
      <c r="AA195" s="249"/>
      <c r="AB195" s="249"/>
      <c r="AC195" s="249"/>
      <c r="AD195" s="249"/>
      <c r="AE195" s="249"/>
      <c r="AF195" s="249"/>
      <c r="AG195" s="249"/>
      <c r="AH195" s="249"/>
      <c r="AI195" s="249"/>
      <c r="AJ195" s="249"/>
      <c r="AK195" s="249"/>
      <c r="AL195" s="249"/>
    </row>
    <row r="196" spans="1:42">
      <c r="A196" s="23">
        <v>44846</v>
      </c>
      <c r="B196" s="121">
        <f>IF(YEAR(Table9[[#This Row],[Date]]) = 2022, WEEKNUM(Table9[[#This Row],[Date]])-13, WEEKNUM(Table9[[#This Row],[Date]])+40)</f>
        <v>29</v>
      </c>
      <c r="C196" s="1" t="s">
        <v>50</v>
      </c>
      <c r="D196" s="1" t="s">
        <v>59</v>
      </c>
      <c r="E196" s="1">
        <v>996</v>
      </c>
      <c r="F196" s="1">
        <v>699</v>
      </c>
      <c r="G196" s="19">
        <v>1.0141987829614604E-2</v>
      </c>
      <c r="H196" s="19">
        <v>-7.0478723404255317E-2</v>
      </c>
      <c r="I196" s="1">
        <v>10536</v>
      </c>
      <c r="J196" s="1">
        <v>6687</v>
      </c>
      <c r="K196" s="1">
        <v>157559</v>
      </c>
      <c r="L196" s="1">
        <v>116965</v>
      </c>
      <c r="M196" s="18">
        <v>0.26</v>
      </c>
      <c r="N196" s="18">
        <v>0.3</v>
      </c>
      <c r="O196" s="18">
        <v>0.70180722891566261</v>
      </c>
      <c r="P196" s="18">
        <v>0.84</v>
      </c>
      <c r="Q196" s="193"/>
      <c r="R196" s="173">
        <v>0</v>
      </c>
      <c r="S196" s="173">
        <v>0</v>
      </c>
      <c r="T196" s="1">
        <v>11</v>
      </c>
      <c r="U196" s="268" t="str">
        <f t="shared" si="15"/>
        <v>Normal</v>
      </c>
      <c r="V196" s="268" t="str">
        <f t="shared" si="16"/>
        <v>Normal</v>
      </c>
      <c r="W196" s="270">
        <f t="shared" si="17"/>
        <v>1.0141987829614604E-2</v>
      </c>
      <c r="X196" s="270">
        <f t="shared" si="18"/>
        <v>-7.0478723404255317E-2</v>
      </c>
      <c r="Y196" s="249"/>
      <c r="Z196" s="249"/>
      <c r="AA196" s="249"/>
      <c r="AB196" s="249"/>
      <c r="AC196" s="249"/>
      <c r="AD196" s="249"/>
      <c r="AE196" s="249"/>
      <c r="AF196" s="249"/>
      <c r="AG196" s="249"/>
      <c r="AH196" s="249"/>
      <c r="AI196" s="249"/>
      <c r="AJ196" s="249"/>
      <c r="AK196" s="249"/>
      <c r="AL196" s="249"/>
    </row>
    <row r="197" spans="1:42">
      <c r="A197" s="23">
        <v>44847</v>
      </c>
      <c r="B197" s="121">
        <f>IF(YEAR(Table9[[#This Row],[Date]]) = 2022, WEEKNUM(Table9[[#This Row],[Date]])-13, WEEKNUM(Table9[[#This Row],[Date]])+40)</f>
        <v>29</v>
      </c>
      <c r="C197" s="1" t="s">
        <v>51</v>
      </c>
      <c r="D197" s="1" t="s">
        <v>59</v>
      </c>
      <c r="E197" s="1">
        <v>981</v>
      </c>
      <c r="F197" s="1">
        <v>615</v>
      </c>
      <c r="G197" s="19">
        <v>-4.8496605237633363E-2</v>
      </c>
      <c r="H197" s="19">
        <v>-0.17338709677419356</v>
      </c>
      <c r="I197" s="1">
        <v>11517</v>
      </c>
      <c r="J197" s="1">
        <v>7302</v>
      </c>
      <c r="K197" s="1">
        <v>158540</v>
      </c>
      <c r="L197" s="1">
        <v>117580</v>
      </c>
      <c r="M197" s="18">
        <v>0.23</v>
      </c>
      <c r="N197" s="18">
        <v>0.37</v>
      </c>
      <c r="O197" s="18">
        <v>0.63</v>
      </c>
      <c r="P197" s="18">
        <v>1.1399999999999999</v>
      </c>
      <c r="Q197" s="193"/>
      <c r="R197" s="173">
        <v>0</v>
      </c>
      <c r="S197" s="173">
        <v>0</v>
      </c>
      <c r="T197" s="1">
        <v>8</v>
      </c>
      <c r="U197" s="268" t="str">
        <f t="shared" si="15"/>
        <v>Normal</v>
      </c>
      <c r="V197" s="268" t="str">
        <f t="shared" si="16"/>
        <v>Normal</v>
      </c>
      <c r="W197" s="270">
        <f t="shared" si="17"/>
        <v>-4.8496605237633363E-2</v>
      </c>
      <c r="X197" s="270">
        <f t="shared" si="18"/>
        <v>-0.17338709677419356</v>
      </c>
      <c r="Y197" s="249"/>
      <c r="Z197" s="249"/>
      <c r="AA197" s="249"/>
      <c r="AB197" s="249"/>
      <c r="AC197" s="249"/>
      <c r="AD197" s="249"/>
      <c r="AE197" s="249"/>
      <c r="AF197" s="249"/>
      <c r="AG197" s="249"/>
      <c r="AH197" s="249"/>
      <c r="AI197" s="249"/>
      <c r="AJ197" s="249"/>
      <c r="AK197" s="249"/>
      <c r="AL197" s="249"/>
    </row>
    <row r="198" spans="1:42">
      <c r="A198" s="23">
        <v>44848</v>
      </c>
      <c r="B198" s="121">
        <f>IF(YEAR(Table9[[#This Row],[Date]]) = 2022, WEEKNUM(Table9[[#This Row],[Date]])-13, WEEKNUM(Table9[[#This Row],[Date]])+40)</f>
        <v>29</v>
      </c>
      <c r="C198" s="1" t="s">
        <v>52</v>
      </c>
      <c r="D198" s="1" t="s">
        <v>59</v>
      </c>
      <c r="E198" s="1">
        <v>1147</v>
      </c>
      <c r="F198" s="1">
        <v>439</v>
      </c>
      <c r="G198" s="19">
        <v>7.8007518796992484E-2</v>
      </c>
      <c r="H198" s="19">
        <v>-7.1881606765327691E-2</v>
      </c>
      <c r="I198" s="1">
        <v>12664</v>
      </c>
      <c r="J198" s="1">
        <v>7741</v>
      </c>
      <c r="K198" s="1">
        <v>159687</v>
      </c>
      <c r="L198" s="1">
        <v>118019</v>
      </c>
      <c r="M198" s="18">
        <v>0.03</v>
      </c>
      <c r="N198" s="18">
        <v>0.62</v>
      </c>
      <c r="O198" s="18">
        <v>0.38</v>
      </c>
      <c r="P198" s="18">
        <v>1.18</v>
      </c>
      <c r="Q198" s="193"/>
      <c r="R198" s="173">
        <v>0</v>
      </c>
      <c r="S198" s="173">
        <v>0</v>
      </c>
      <c r="T198" s="1">
        <v>9</v>
      </c>
      <c r="U198" s="268" t="str">
        <f t="shared" si="15"/>
        <v>Normal</v>
      </c>
      <c r="V198" s="268" t="str">
        <f t="shared" si="16"/>
        <v>Normal</v>
      </c>
      <c r="W198" s="270">
        <f t="shared" si="17"/>
        <v>7.8007518796992484E-2</v>
      </c>
      <c r="X198" s="270">
        <f t="shared" si="18"/>
        <v>-7.1881606765327691E-2</v>
      </c>
      <c r="Y198" s="249"/>
      <c r="Z198" s="249"/>
      <c r="AA198" s="249"/>
      <c r="AB198" s="249"/>
      <c r="AC198" s="249"/>
      <c r="AD198" s="249"/>
      <c r="AE198" s="249"/>
      <c r="AF198" s="249"/>
      <c r="AG198" s="249"/>
      <c r="AH198" s="249"/>
      <c r="AI198" s="249"/>
      <c r="AJ198" s="249"/>
      <c r="AK198" s="249"/>
      <c r="AL198" s="249"/>
    </row>
    <row r="199" spans="1:42">
      <c r="A199" s="23">
        <v>44849</v>
      </c>
      <c r="B199" s="121">
        <f>IF(YEAR(Table9[[#This Row],[Date]]) = 2022, WEEKNUM(Table9[[#This Row],[Date]])-13, WEEKNUM(Table9[[#This Row],[Date]])+40)</f>
        <v>29</v>
      </c>
      <c r="C199" s="1" t="s">
        <v>53</v>
      </c>
      <c r="D199" s="1" t="s">
        <v>59</v>
      </c>
      <c r="E199" s="1">
        <v>838</v>
      </c>
      <c r="F199" s="1">
        <v>529</v>
      </c>
      <c r="G199" s="19">
        <v>-0.12799167533818939</v>
      </c>
      <c r="H199" s="19">
        <v>-4.5126353790613721E-2</v>
      </c>
      <c r="I199" s="1">
        <v>13502</v>
      </c>
      <c r="J199" s="1">
        <v>8270</v>
      </c>
      <c r="K199" s="1">
        <v>160525</v>
      </c>
      <c r="L199" s="1">
        <v>118548</v>
      </c>
      <c r="M199" s="18">
        <v>0.18</v>
      </c>
      <c r="N199" s="18">
        <v>0.17</v>
      </c>
      <c r="O199" s="18">
        <v>0.63126491646778038</v>
      </c>
      <c r="P199" s="18">
        <v>0.78</v>
      </c>
      <c r="Q199" s="193"/>
      <c r="R199" s="173">
        <v>0</v>
      </c>
      <c r="S199" s="173">
        <v>0</v>
      </c>
      <c r="T199" s="1">
        <v>10</v>
      </c>
      <c r="U199" s="268" t="str">
        <f t="shared" si="15"/>
        <v>Normal</v>
      </c>
      <c r="V199" s="268" t="str">
        <f t="shared" si="16"/>
        <v>Normal</v>
      </c>
      <c r="W199" s="270">
        <f t="shared" si="17"/>
        <v>-0.12799167533818939</v>
      </c>
      <c r="X199" s="270">
        <f t="shared" si="18"/>
        <v>-4.5126353790613721E-2</v>
      </c>
      <c r="Y199" s="249"/>
      <c r="Z199" s="249"/>
      <c r="AA199" s="249"/>
      <c r="AB199" s="249"/>
      <c r="AC199" s="249"/>
      <c r="AD199" s="249"/>
      <c r="AE199" s="249"/>
      <c r="AF199" s="249"/>
      <c r="AG199" s="249"/>
      <c r="AH199" s="249"/>
      <c r="AI199" s="249"/>
      <c r="AJ199" s="249"/>
      <c r="AK199" s="249"/>
      <c r="AL199" s="249"/>
    </row>
    <row r="200" spans="1:42">
      <c r="A200" s="23">
        <v>44850</v>
      </c>
      <c r="B200" s="121">
        <f>IF(YEAR(Table9[[#This Row],[Date]]) = 2022, WEEKNUM(Table9[[#This Row],[Date]])-13, WEEKNUM(Table9[[#This Row],[Date]])+40)</f>
        <v>30</v>
      </c>
      <c r="C200" s="1" t="s">
        <v>47</v>
      </c>
      <c r="D200" s="1" t="s">
        <v>59</v>
      </c>
      <c r="E200" s="1">
        <v>0</v>
      </c>
      <c r="F200" s="1">
        <v>0</v>
      </c>
      <c r="G200" s="19">
        <v>0</v>
      </c>
      <c r="H200" s="19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193"/>
      <c r="R200" s="173">
        <v>0</v>
      </c>
      <c r="S200" s="173">
        <v>0</v>
      </c>
      <c r="T200" s="1">
        <v>0</v>
      </c>
      <c r="U200" s="268" t="str">
        <f t="shared" si="15"/>
        <v>Normal</v>
      </c>
      <c r="V200" s="268" t="str">
        <f t="shared" si="16"/>
        <v>Normal</v>
      </c>
      <c r="W200" s="270">
        <f t="shared" si="17"/>
        <v>0</v>
      </c>
      <c r="X200" s="270">
        <f t="shared" si="18"/>
        <v>0</v>
      </c>
      <c r="Y200" s="249"/>
      <c r="Z200" s="249"/>
      <c r="AA200" s="249"/>
      <c r="AB200" s="249"/>
      <c r="AC200" s="249"/>
      <c r="AD200" s="249"/>
      <c r="AE200" s="249"/>
      <c r="AF200" s="249"/>
      <c r="AG200" s="249"/>
      <c r="AH200" s="249"/>
      <c r="AI200" s="249"/>
      <c r="AJ200" s="249"/>
      <c r="AK200" s="249"/>
      <c r="AL200" s="249"/>
    </row>
    <row r="201" spans="1:42" s="49" customFormat="1">
      <c r="A201" s="21">
        <v>44851</v>
      </c>
      <c r="B201" s="17">
        <f>IF(YEAR(Table9[[#This Row],[Date]]) = 2022, WEEKNUM(Table9[[#This Row],[Date]])-13, WEEKNUM(Table9[[#This Row],[Date]])+40)</f>
        <v>30</v>
      </c>
      <c r="C201" s="1" t="s">
        <v>63</v>
      </c>
      <c r="D201" s="1" t="s">
        <v>59</v>
      </c>
      <c r="E201" s="1">
        <v>0</v>
      </c>
      <c r="F201" s="1">
        <v>0</v>
      </c>
      <c r="G201" s="19">
        <v>0</v>
      </c>
      <c r="H201" s="19">
        <v>0</v>
      </c>
      <c r="I201" s="1">
        <v>0</v>
      </c>
      <c r="J201" s="1">
        <v>0</v>
      </c>
      <c r="K201" s="1">
        <v>0</v>
      </c>
      <c r="L201" s="1">
        <v>0</v>
      </c>
      <c r="M201" s="18">
        <v>0</v>
      </c>
      <c r="N201" s="18">
        <v>0</v>
      </c>
      <c r="O201" s="18">
        <v>0</v>
      </c>
      <c r="P201" s="18">
        <v>0</v>
      </c>
      <c r="Q201" s="193"/>
      <c r="R201" s="173">
        <v>0</v>
      </c>
      <c r="S201" s="173">
        <v>0</v>
      </c>
      <c r="T201" s="1">
        <v>0</v>
      </c>
      <c r="U201" s="268" t="str">
        <f t="shared" si="15"/>
        <v>Normal</v>
      </c>
      <c r="V201" s="268" t="str">
        <f t="shared" si="16"/>
        <v>Normal</v>
      </c>
      <c r="W201" s="270">
        <f t="shared" si="17"/>
        <v>0</v>
      </c>
      <c r="X201" s="270">
        <f t="shared" si="18"/>
        <v>0</v>
      </c>
      <c r="Y201" s="249"/>
      <c r="Z201" s="249"/>
      <c r="AA201" s="249"/>
      <c r="AB201" s="249"/>
      <c r="AC201" s="249"/>
      <c r="AD201" s="249"/>
      <c r="AE201" s="249"/>
      <c r="AF201" s="249"/>
      <c r="AG201" s="249"/>
      <c r="AH201" s="249"/>
      <c r="AI201" s="249"/>
      <c r="AJ201" s="249"/>
      <c r="AK201" s="249"/>
      <c r="AL201" s="249"/>
      <c r="AN201"/>
      <c r="AO201"/>
      <c r="AP201"/>
    </row>
    <row r="202" spans="1:42">
      <c r="A202" s="21">
        <v>44852</v>
      </c>
      <c r="B202" s="17">
        <f>IF(YEAR(Table9[[#This Row],[Date]]) = 2022, WEEKNUM(Table9[[#This Row],[Date]])-13, WEEKNUM(Table9[[#This Row],[Date]])+40)</f>
        <v>30</v>
      </c>
      <c r="C202" s="1" t="s">
        <v>49</v>
      </c>
      <c r="D202" s="32" t="s">
        <v>59</v>
      </c>
      <c r="E202" s="1">
        <v>1408</v>
      </c>
      <c r="F202" s="1">
        <v>540</v>
      </c>
      <c r="G202" s="19">
        <v>0.31711880261927033</v>
      </c>
      <c r="H202" s="19">
        <v>-0.16018662519440124</v>
      </c>
      <c r="I202" s="1">
        <v>14910</v>
      </c>
      <c r="J202" s="1">
        <v>8810</v>
      </c>
      <c r="K202" s="1">
        <v>161933</v>
      </c>
      <c r="L202" s="1">
        <v>119088</v>
      </c>
      <c r="M202" s="18">
        <v>0.02</v>
      </c>
      <c r="N202" s="18">
        <v>0.61647727272727271</v>
      </c>
      <c r="O202" s="18">
        <v>0.38352272727272729</v>
      </c>
      <c r="P202" s="18">
        <v>1.63</v>
      </c>
      <c r="Q202" s="193"/>
      <c r="R202" s="173">
        <v>0</v>
      </c>
      <c r="S202" s="173">
        <v>0</v>
      </c>
      <c r="T202" s="1">
        <v>8</v>
      </c>
      <c r="U202" s="268" t="str">
        <f t="shared" si="15"/>
        <v>Outlier</v>
      </c>
      <c r="V202" s="268" t="str">
        <f t="shared" si="16"/>
        <v>Normal</v>
      </c>
      <c r="W202" s="270">
        <f t="shared" si="17"/>
        <v>0.31711880261927033</v>
      </c>
      <c r="X202" s="270">
        <f t="shared" si="18"/>
        <v>-0.16018662519440124</v>
      </c>
      <c r="Y202" s="249"/>
      <c r="Z202" s="249"/>
      <c r="AA202" s="249"/>
      <c r="AB202" s="249"/>
      <c r="AC202" s="249"/>
      <c r="AD202" s="249"/>
      <c r="AE202" s="249"/>
      <c r="AF202" s="249"/>
      <c r="AG202" s="249"/>
      <c r="AH202" s="249"/>
      <c r="AI202" s="249"/>
      <c r="AJ202" s="249"/>
      <c r="AK202" s="249"/>
      <c r="AL202" s="249"/>
    </row>
    <row r="203" spans="1:42">
      <c r="A203" s="21">
        <v>44853</v>
      </c>
      <c r="B203" s="17">
        <f>IF(YEAR(Table9[[#This Row],[Date]]) = 2022, WEEKNUM(Table9[[#This Row],[Date]])-13, WEEKNUM(Table9[[#This Row],[Date]])+40)</f>
        <v>30</v>
      </c>
      <c r="C203" s="1" t="s">
        <v>50</v>
      </c>
      <c r="D203" s="1" t="s">
        <v>59</v>
      </c>
      <c r="E203" s="1">
        <v>1162</v>
      </c>
      <c r="F203" s="1">
        <v>642</v>
      </c>
      <c r="G203" s="19">
        <v>0.16666666666666666</v>
      </c>
      <c r="H203" s="19">
        <v>-8.15450643776824E-2</v>
      </c>
      <c r="I203" s="1">
        <v>16072</v>
      </c>
      <c r="J203" s="1">
        <v>9452</v>
      </c>
      <c r="K203" s="1">
        <v>163095</v>
      </c>
      <c r="L203" s="1">
        <v>119730</v>
      </c>
      <c r="M203" s="18">
        <v>0.09</v>
      </c>
      <c r="N203" s="18">
        <v>0.44750430292598964</v>
      </c>
      <c r="O203" s="18">
        <v>0.55249569707401036</v>
      </c>
      <c r="P203" s="18">
        <v>1.08</v>
      </c>
      <c r="Q203" s="193"/>
      <c r="R203" s="173">
        <v>0</v>
      </c>
      <c r="S203" s="173">
        <v>0</v>
      </c>
      <c r="T203" s="1">
        <v>10</v>
      </c>
      <c r="U203" s="268" t="str">
        <f t="shared" si="15"/>
        <v>Normal</v>
      </c>
      <c r="V203" s="268" t="str">
        <f t="shared" si="16"/>
        <v>Normal</v>
      </c>
      <c r="W203" s="270">
        <f t="shared" si="17"/>
        <v>0.16666666666666666</v>
      </c>
      <c r="X203" s="270">
        <f t="shared" si="18"/>
        <v>-8.15450643776824E-2</v>
      </c>
      <c r="Y203" s="249"/>
      <c r="Z203" s="249"/>
      <c r="AA203" s="249"/>
      <c r="AB203" s="249"/>
      <c r="AC203" s="249"/>
      <c r="AD203" s="249"/>
      <c r="AE203" s="249"/>
      <c r="AF203" s="249"/>
      <c r="AG203" s="249"/>
      <c r="AH203" s="249"/>
      <c r="AI203" s="249"/>
      <c r="AJ203" s="249"/>
      <c r="AK203" s="249"/>
      <c r="AL203" s="249"/>
    </row>
    <row r="204" spans="1:42">
      <c r="A204" s="21">
        <v>44854</v>
      </c>
      <c r="B204" s="17">
        <f>IF(YEAR(Table9[[#This Row],[Date]]) = 2022, WEEKNUM(Table9[[#This Row],[Date]])-13, WEEKNUM(Table9[[#This Row],[Date]])+40)</f>
        <v>30</v>
      </c>
      <c r="C204" s="1" t="s">
        <v>51</v>
      </c>
      <c r="D204" s="32" t="s">
        <v>59</v>
      </c>
      <c r="E204" s="1">
        <v>1014</v>
      </c>
      <c r="F204" s="1">
        <v>813</v>
      </c>
      <c r="G204" s="19">
        <v>3.3639143730886847E-2</v>
      </c>
      <c r="H204" s="19">
        <v>0.32195121951219513</v>
      </c>
      <c r="I204" s="1">
        <v>17086</v>
      </c>
      <c r="J204" s="1">
        <v>10265</v>
      </c>
      <c r="K204" s="1">
        <v>164109</v>
      </c>
      <c r="L204" s="1">
        <v>120543</v>
      </c>
      <c r="M204" s="18">
        <v>0.47</v>
      </c>
      <c r="N204" s="18">
        <v>0.19822485207100593</v>
      </c>
      <c r="O204" s="18">
        <v>0.80177514792899407</v>
      </c>
      <c r="P204" s="18">
        <v>0.85</v>
      </c>
      <c r="Q204" s="193"/>
      <c r="R204" s="173">
        <v>0</v>
      </c>
      <c r="S204" s="173">
        <v>0</v>
      </c>
      <c r="T204" s="1">
        <v>11</v>
      </c>
      <c r="U204" s="268" t="str">
        <f t="shared" si="15"/>
        <v>Normal</v>
      </c>
      <c r="V204" s="268" t="str">
        <f t="shared" si="16"/>
        <v>Normal</v>
      </c>
      <c r="W204" s="270">
        <f t="shared" si="17"/>
        <v>3.3639143730886847E-2</v>
      </c>
      <c r="X204" s="270">
        <f t="shared" si="18"/>
        <v>0.32195121951219513</v>
      </c>
      <c r="Y204" s="249"/>
      <c r="Z204" s="249"/>
      <c r="AA204" s="249"/>
      <c r="AB204" s="249"/>
      <c r="AC204" s="249"/>
      <c r="AD204" s="249"/>
      <c r="AE204" s="249"/>
      <c r="AF204" s="249"/>
      <c r="AG204" s="249"/>
      <c r="AH204" s="249"/>
      <c r="AI204" s="249"/>
      <c r="AJ204" s="249"/>
      <c r="AK204" s="249"/>
      <c r="AL204" s="249"/>
    </row>
    <row r="205" spans="1:42">
      <c r="A205" s="21">
        <v>44855</v>
      </c>
      <c r="B205" s="17">
        <f>IF(YEAR(Table9[[#This Row],[Date]]) = 2022, WEEKNUM(Table9[[#This Row],[Date]])-13, WEEKNUM(Table9[[#This Row],[Date]])+40)</f>
        <v>30</v>
      </c>
      <c r="C205" s="1" t="s">
        <v>52</v>
      </c>
      <c r="D205" s="1" t="s">
        <v>59</v>
      </c>
      <c r="E205" s="1">
        <v>760</v>
      </c>
      <c r="F205" s="1">
        <v>505</v>
      </c>
      <c r="G205" s="19">
        <v>-0.33740191804707936</v>
      </c>
      <c r="H205" s="19">
        <v>0.15034168564920272</v>
      </c>
      <c r="I205" s="1">
        <v>17846</v>
      </c>
      <c r="J205" s="1">
        <v>10770</v>
      </c>
      <c r="K205" s="1">
        <v>164869</v>
      </c>
      <c r="L205" s="1">
        <v>121048</v>
      </c>
      <c r="M205" s="18">
        <v>0.19</v>
      </c>
      <c r="N205" s="18">
        <v>0.33552631578947367</v>
      </c>
      <c r="O205" s="18">
        <v>0.66447368421052633</v>
      </c>
      <c r="P205" s="18">
        <v>0.64</v>
      </c>
      <c r="Q205" s="193"/>
      <c r="R205" s="173">
        <v>0</v>
      </c>
      <c r="S205" s="173">
        <v>0</v>
      </c>
      <c r="T205" s="1">
        <v>11</v>
      </c>
      <c r="U205" s="268" t="str">
        <f t="shared" si="15"/>
        <v>Outlier</v>
      </c>
      <c r="V205" s="268" t="str">
        <f t="shared" si="16"/>
        <v>Normal</v>
      </c>
      <c r="W205" s="270">
        <f t="shared" si="17"/>
        <v>-0.33740191804707936</v>
      </c>
      <c r="X205" s="270">
        <f t="shared" si="18"/>
        <v>0.15034168564920272</v>
      </c>
      <c r="Y205" s="249"/>
      <c r="Z205" s="249"/>
      <c r="AA205" s="249"/>
      <c r="AB205" s="249"/>
      <c r="AC205" s="249"/>
      <c r="AD205" s="249"/>
      <c r="AE205" s="249"/>
      <c r="AF205" s="249"/>
      <c r="AG205" s="249"/>
      <c r="AH205" s="249"/>
      <c r="AI205" s="249"/>
      <c r="AJ205" s="249"/>
      <c r="AK205" s="249"/>
      <c r="AL205" s="249"/>
    </row>
    <row r="206" spans="1:42">
      <c r="A206" s="21">
        <v>44856</v>
      </c>
      <c r="B206" s="17">
        <f>IF(YEAR(Table9[[#This Row],[Date]]) = 2022, WEEKNUM(Table9[[#This Row],[Date]])-13, WEEKNUM(Table9[[#This Row],[Date]])+40)</f>
        <v>30</v>
      </c>
      <c r="C206" s="1" t="s">
        <v>53</v>
      </c>
      <c r="D206" s="32" t="s">
        <v>59</v>
      </c>
      <c r="E206" s="1">
        <v>1064</v>
      </c>
      <c r="F206" s="1">
        <v>853</v>
      </c>
      <c r="G206" s="19">
        <v>0.26968973747016706</v>
      </c>
      <c r="H206" s="19">
        <v>0.61247637051039694</v>
      </c>
      <c r="I206" s="1">
        <v>18910</v>
      </c>
      <c r="J206" s="1">
        <v>11623</v>
      </c>
      <c r="K206" s="1">
        <v>165933</v>
      </c>
      <c r="L206" s="1">
        <v>121901</v>
      </c>
      <c r="M206" s="18">
        <v>0.03</v>
      </c>
      <c r="N206" s="18">
        <v>0.19830827067669177</v>
      </c>
      <c r="O206" s="18">
        <v>0.80169172932330823</v>
      </c>
      <c r="P206" s="18">
        <v>1.4</v>
      </c>
      <c r="Q206" s="193"/>
      <c r="R206" s="173">
        <v>0</v>
      </c>
      <c r="S206" s="173">
        <v>0</v>
      </c>
      <c r="T206" s="1">
        <v>10</v>
      </c>
      <c r="U206" s="268" t="str">
        <f t="shared" si="15"/>
        <v>Normal</v>
      </c>
      <c r="V206" s="268" t="str">
        <f t="shared" si="16"/>
        <v>Outlier</v>
      </c>
      <c r="W206" s="270">
        <f t="shared" si="17"/>
        <v>0.26968973747016706</v>
      </c>
      <c r="X206" s="270">
        <f t="shared" si="18"/>
        <v>0.61247637051039694</v>
      </c>
      <c r="Y206" s="249"/>
      <c r="Z206" s="249"/>
      <c r="AA206" s="249"/>
      <c r="AB206" s="249"/>
      <c r="AC206" s="249"/>
      <c r="AD206" s="249"/>
      <c r="AE206" s="249"/>
      <c r="AF206" s="249"/>
      <c r="AG206" s="249"/>
      <c r="AH206" s="249"/>
      <c r="AI206" s="249"/>
      <c r="AJ206" s="249"/>
      <c r="AK206" s="249"/>
      <c r="AL206" s="249"/>
    </row>
    <row r="207" spans="1:42">
      <c r="A207" s="21">
        <v>44857</v>
      </c>
      <c r="B207" s="17">
        <f>IF(YEAR(Table9[[#This Row],[Date]]) = 2022, WEEKNUM(Table9[[#This Row],[Date]])-13, WEEKNUM(Table9[[#This Row],[Date]])+40)</f>
        <v>31</v>
      </c>
      <c r="C207" s="1" t="s">
        <v>47</v>
      </c>
      <c r="D207" s="1" t="s">
        <v>59</v>
      </c>
      <c r="E207" s="1">
        <v>470</v>
      </c>
      <c r="F207" s="1">
        <v>447</v>
      </c>
      <c r="G207" s="19">
        <v>0</v>
      </c>
      <c r="H207" s="19">
        <v>0</v>
      </c>
      <c r="I207" s="1">
        <v>19380</v>
      </c>
      <c r="J207" s="1">
        <v>12070</v>
      </c>
      <c r="K207" s="1">
        <v>166403</v>
      </c>
      <c r="L207" s="1">
        <v>122348</v>
      </c>
      <c r="M207" s="18">
        <v>0.96</v>
      </c>
      <c r="N207" s="18">
        <v>4.8936170212765973E-2</v>
      </c>
      <c r="O207" s="18">
        <v>0.95106382978723403</v>
      </c>
      <c r="P207" s="18">
        <v>0.31</v>
      </c>
      <c r="Q207" s="193"/>
      <c r="R207" s="173">
        <v>0</v>
      </c>
      <c r="S207" s="173">
        <v>0</v>
      </c>
      <c r="T207" s="1">
        <v>14</v>
      </c>
      <c r="U207" s="268" t="str">
        <f t="shared" si="15"/>
        <v>Normal</v>
      </c>
      <c r="V207" s="268" t="str">
        <f t="shared" si="16"/>
        <v>Normal</v>
      </c>
      <c r="W207" s="270">
        <f t="shared" si="17"/>
        <v>0</v>
      </c>
      <c r="X207" s="270">
        <f t="shared" si="18"/>
        <v>0</v>
      </c>
      <c r="Y207" s="249"/>
      <c r="Z207" s="249"/>
      <c r="AA207" s="249"/>
      <c r="AB207" s="249"/>
      <c r="AC207" s="249"/>
      <c r="AD207" s="249"/>
      <c r="AE207" s="249"/>
      <c r="AF207" s="249"/>
      <c r="AG207" s="249"/>
      <c r="AH207" s="249"/>
      <c r="AI207" s="249"/>
      <c r="AJ207" s="249"/>
      <c r="AK207" s="249"/>
      <c r="AL207" s="249"/>
      <c r="AN207" s="49"/>
      <c r="AO207" s="49"/>
      <c r="AP207" s="49"/>
    </row>
    <row r="208" spans="1:42">
      <c r="A208" s="21">
        <v>44858</v>
      </c>
      <c r="B208" s="17">
        <f>IF(YEAR(Table9[[#This Row],[Date]]) = 2022, WEEKNUM(Table9[[#This Row],[Date]])-13, WEEKNUM(Table9[[#This Row],[Date]])+40)</f>
        <v>31</v>
      </c>
      <c r="C208" s="1" t="s">
        <v>48</v>
      </c>
      <c r="D208" s="1" t="s">
        <v>59</v>
      </c>
      <c r="E208" s="1">
        <v>1362</v>
      </c>
      <c r="F208" s="1">
        <v>680</v>
      </c>
      <c r="G208" s="19">
        <v>0</v>
      </c>
      <c r="H208" s="19">
        <v>0</v>
      </c>
      <c r="I208" s="1">
        <v>20742</v>
      </c>
      <c r="J208" s="1">
        <v>12750</v>
      </c>
      <c r="K208" s="1">
        <v>166231</v>
      </c>
      <c r="L208" s="1">
        <v>121728</v>
      </c>
      <c r="M208" s="18">
        <v>0.03</v>
      </c>
      <c r="N208" s="18">
        <v>0.50073421439060206</v>
      </c>
      <c r="O208" s="18">
        <v>0.49926578560939794</v>
      </c>
      <c r="P208" s="18">
        <v>1.4</v>
      </c>
      <c r="Q208" s="193"/>
      <c r="R208" s="43">
        <v>0</v>
      </c>
      <c r="S208" s="43">
        <v>0</v>
      </c>
      <c r="T208" s="1">
        <v>9</v>
      </c>
      <c r="U208" s="268" t="str">
        <f t="shared" si="15"/>
        <v>Normal</v>
      </c>
      <c r="V208" s="268" t="str">
        <f t="shared" si="16"/>
        <v>Normal</v>
      </c>
      <c r="W208" s="270">
        <f t="shared" si="17"/>
        <v>0</v>
      </c>
      <c r="X208" s="270">
        <f t="shared" si="18"/>
        <v>0</v>
      </c>
      <c r="Y208" s="249"/>
      <c r="Z208" s="249"/>
      <c r="AA208" s="249"/>
      <c r="AB208" s="249"/>
      <c r="AC208" s="249"/>
      <c r="AD208" s="249"/>
      <c r="AE208" s="249"/>
      <c r="AF208" s="249"/>
      <c r="AG208" s="249"/>
      <c r="AH208" s="249"/>
      <c r="AI208" s="249"/>
      <c r="AJ208" s="249"/>
      <c r="AK208" s="249"/>
      <c r="AL208" s="249"/>
    </row>
    <row r="209" spans="1:42">
      <c r="A209" s="21">
        <v>44859</v>
      </c>
      <c r="B209" s="17">
        <f>IF(YEAR(Table9[[#This Row],[Date]]) = 2022, WEEKNUM(Table9[[#This Row],[Date]])-13, WEEKNUM(Table9[[#This Row],[Date]])+40)</f>
        <v>31</v>
      </c>
      <c r="C209" s="1" t="s">
        <v>49</v>
      </c>
      <c r="D209" s="1" t="s">
        <v>59</v>
      </c>
      <c r="E209" s="1">
        <v>1341</v>
      </c>
      <c r="F209" s="1">
        <v>595</v>
      </c>
      <c r="G209" s="19">
        <v>-4.7585227272727272E-2</v>
      </c>
      <c r="H209" s="19">
        <v>0.10185185185185185</v>
      </c>
      <c r="I209" s="1">
        <v>22083</v>
      </c>
      <c r="J209" s="1">
        <v>13345</v>
      </c>
      <c r="K209" s="1">
        <v>167572</v>
      </c>
      <c r="L209" s="1">
        <v>122323</v>
      </c>
      <c r="M209" s="18">
        <v>0.03</v>
      </c>
      <c r="N209" s="18">
        <v>0.55630126771066368</v>
      </c>
      <c r="O209" s="18">
        <v>0.44369873228933632</v>
      </c>
      <c r="P209" s="18">
        <v>1.55</v>
      </c>
      <c r="Q209" s="193"/>
      <c r="R209" s="43">
        <v>0</v>
      </c>
      <c r="S209" s="43">
        <v>0</v>
      </c>
      <c r="T209" s="1">
        <v>8</v>
      </c>
      <c r="U209" s="268" t="str">
        <f t="shared" si="15"/>
        <v>Normal</v>
      </c>
      <c r="V209" s="268" t="str">
        <f t="shared" si="16"/>
        <v>Normal</v>
      </c>
      <c r="W209" s="270">
        <f t="shared" si="17"/>
        <v>-4.7585227272727272E-2</v>
      </c>
      <c r="X209" s="270">
        <f t="shared" si="18"/>
        <v>0.10185185185185185</v>
      </c>
      <c r="Y209" s="249"/>
      <c r="Z209" s="249"/>
      <c r="AA209" s="249"/>
      <c r="AB209" s="249"/>
      <c r="AC209" s="249"/>
      <c r="AD209" s="249"/>
      <c r="AE209" s="249"/>
      <c r="AF209" s="249"/>
      <c r="AG209" s="249"/>
      <c r="AH209" s="249"/>
      <c r="AI209" s="249"/>
      <c r="AJ209" s="249"/>
      <c r="AK209" s="249"/>
      <c r="AL209" s="249"/>
    </row>
    <row r="210" spans="1:42">
      <c r="A210" s="21">
        <v>44860</v>
      </c>
      <c r="B210" s="17">
        <f>IF(YEAR(Table9[[#This Row],[Date]]) = 2022, WEEKNUM(Table9[[#This Row],[Date]])-13, WEEKNUM(Table9[[#This Row],[Date]])+40)</f>
        <v>31</v>
      </c>
      <c r="C210" s="1" t="s">
        <v>50</v>
      </c>
      <c r="D210" s="1" t="s">
        <v>59</v>
      </c>
      <c r="E210" s="1">
        <v>1406</v>
      </c>
      <c r="F210" s="1">
        <v>655</v>
      </c>
      <c r="G210" s="19">
        <v>0.20998278829604131</v>
      </c>
      <c r="H210" s="19">
        <v>2.0249221183800622E-2</v>
      </c>
      <c r="I210" s="1">
        <v>23489</v>
      </c>
      <c r="J210" s="1">
        <v>14000</v>
      </c>
      <c r="K210" s="1">
        <v>168978</v>
      </c>
      <c r="L210" s="1">
        <v>122978</v>
      </c>
      <c r="M210" s="18">
        <v>0.03</v>
      </c>
      <c r="N210" s="18">
        <v>0.53413940256045511</v>
      </c>
      <c r="O210" s="18">
        <v>0.46586059743954483</v>
      </c>
      <c r="P210" s="18">
        <v>1.86</v>
      </c>
      <c r="Q210" s="193"/>
      <c r="R210" s="43">
        <v>0</v>
      </c>
      <c r="S210" s="43">
        <v>0</v>
      </c>
      <c r="T210" s="1">
        <v>7</v>
      </c>
      <c r="U210" s="268" t="str">
        <f t="shared" si="15"/>
        <v>Normal</v>
      </c>
      <c r="V210" s="268" t="str">
        <f t="shared" si="16"/>
        <v>Normal</v>
      </c>
      <c r="W210" s="270">
        <f t="shared" si="17"/>
        <v>0.20998278829604131</v>
      </c>
      <c r="X210" s="270">
        <f t="shared" si="18"/>
        <v>2.0249221183800622E-2</v>
      </c>
      <c r="Y210" s="249"/>
      <c r="Z210" s="249"/>
      <c r="AA210" s="249"/>
      <c r="AB210" s="249"/>
      <c r="AC210" s="249"/>
      <c r="AD210" s="249"/>
      <c r="AE210" s="249"/>
      <c r="AF210" s="249"/>
      <c r="AG210" s="249"/>
      <c r="AH210" s="249"/>
      <c r="AI210" s="249"/>
      <c r="AJ210" s="249"/>
      <c r="AK210" s="249"/>
      <c r="AL210" s="249"/>
    </row>
    <row r="211" spans="1:42">
      <c r="A211" s="21">
        <v>44861</v>
      </c>
      <c r="B211" s="17">
        <f>IF(YEAR(Table9[[#This Row],[Date]]) = 2022, WEEKNUM(Table9[[#This Row],[Date]])-13, WEEKNUM(Table9[[#This Row],[Date]])+40)</f>
        <v>31</v>
      </c>
      <c r="C211" s="1" t="s">
        <v>51</v>
      </c>
      <c r="D211" s="1" t="s">
        <v>59</v>
      </c>
      <c r="E211" s="1">
        <v>1457</v>
      </c>
      <c r="F211" s="1">
        <v>472</v>
      </c>
      <c r="G211" s="19">
        <v>0.43688362919132151</v>
      </c>
      <c r="H211" s="19">
        <v>-0.4194341943419434</v>
      </c>
      <c r="I211" s="1">
        <v>24946</v>
      </c>
      <c r="J211" s="1">
        <v>14472</v>
      </c>
      <c r="K211" s="1">
        <v>170435</v>
      </c>
      <c r="L211" s="1">
        <v>123450</v>
      </c>
      <c r="M211" s="18">
        <v>0</v>
      </c>
      <c r="N211" s="18">
        <v>0.67604667124227857</v>
      </c>
      <c r="O211" s="18">
        <v>0.32395332875772137</v>
      </c>
      <c r="P211" s="18">
        <v>1.69</v>
      </c>
      <c r="Q211" s="193"/>
      <c r="R211" s="43">
        <v>0</v>
      </c>
      <c r="S211" s="43">
        <v>0</v>
      </c>
      <c r="T211" s="1">
        <v>8</v>
      </c>
      <c r="U211" s="268" t="str">
        <f t="shared" si="15"/>
        <v>Outlier</v>
      </c>
      <c r="V211" s="268" t="str">
        <f t="shared" si="16"/>
        <v>Outlier</v>
      </c>
      <c r="W211" s="270">
        <f t="shared" si="17"/>
        <v>0.43688362919132151</v>
      </c>
      <c r="X211" s="270">
        <f t="shared" si="18"/>
        <v>-0.4194341943419434</v>
      </c>
      <c r="Y211" s="249"/>
      <c r="Z211" s="249"/>
      <c r="AA211" s="249"/>
      <c r="AB211" s="249"/>
      <c r="AC211" s="249"/>
      <c r="AD211" s="249"/>
      <c r="AE211" s="249"/>
      <c r="AF211" s="249"/>
      <c r="AG211" s="249"/>
      <c r="AH211" s="249"/>
      <c r="AI211" s="249"/>
      <c r="AJ211" s="249"/>
      <c r="AK211" s="249"/>
      <c r="AL211" s="249"/>
    </row>
    <row r="212" spans="1:42">
      <c r="A212" s="21">
        <v>44862</v>
      </c>
      <c r="B212" s="17">
        <f>IF(YEAR(Table9[[#This Row],[Date]]) = 2022, WEEKNUM(Table9[[#This Row],[Date]])-13, WEEKNUM(Table9[[#This Row],[Date]])+40)</f>
        <v>31</v>
      </c>
      <c r="C212" s="1" t="s">
        <v>52</v>
      </c>
      <c r="D212" s="1" t="s">
        <v>59</v>
      </c>
      <c r="E212" s="1">
        <v>1352</v>
      </c>
      <c r="F212" s="1">
        <v>510</v>
      </c>
      <c r="G212" s="19">
        <v>0.77894736842105261</v>
      </c>
      <c r="H212" s="19">
        <v>9.9009900990099011E-3</v>
      </c>
      <c r="I212" s="1">
        <v>26298</v>
      </c>
      <c r="J212" s="1">
        <v>14982</v>
      </c>
      <c r="K212" s="1">
        <v>171787</v>
      </c>
      <c r="L212" s="1">
        <v>123960</v>
      </c>
      <c r="M212" s="18">
        <v>0</v>
      </c>
      <c r="N212" s="18">
        <v>0.62278106508875741</v>
      </c>
      <c r="O212" s="18">
        <v>0.37721893491124259</v>
      </c>
      <c r="P212" s="18">
        <v>1.39</v>
      </c>
      <c r="Q212" s="193"/>
      <c r="R212" s="43">
        <v>0</v>
      </c>
      <c r="S212" s="43">
        <v>0</v>
      </c>
      <c r="T212" s="1">
        <v>9</v>
      </c>
      <c r="U212" s="268" t="str">
        <f t="shared" si="15"/>
        <v>Outlier</v>
      </c>
      <c r="V212" s="268" t="str">
        <f t="shared" si="16"/>
        <v>Normal</v>
      </c>
      <c r="W212" s="270">
        <f t="shared" si="17"/>
        <v>0.77894736842105261</v>
      </c>
      <c r="X212" s="270">
        <f t="shared" si="18"/>
        <v>9.9009900990099011E-3</v>
      </c>
      <c r="Y212" s="249"/>
      <c r="Z212" s="249"/>
      <c r="AA212" s="249"/>
      <c r="AB212" s="249"/>
      <c r="AC212" s="249"/>
      <c r="AD212" s="249"/>
      <c r="AE212" s="249"/>
      <c r="AF212" s="249"/>
      <c r="AG212" s="249"/>
      <c r="AH212" s="249"/>
      <c r="AI212" s="249"/>
      <c r="AJ212" s="249"/>
      <c r="AK212" s="249"/>
      <c r="AL212" s="249"/>
    </row>
    <row r="213" spans="1:42">
      <c r="A213" s="21">
        <v>44863</v>
      </c>
      <c r="B213" s="17">
        <f>IF(YEAR(Table9[[#This Row],[Date]]) = 2022, WEEKNUM(Table9[[#This Row],[Date]])-13, WEEKNUM(Table9[[#This Row],[Date]])+40)</f>
        <v>31</v>
      </c>
      <c r="C213" s="1" t="s">
        <v>53</v>
      </c>
      <c r="D213" s="1" t="s">
        <v>59</v>
      </c>
      <c r="E213" s="1">
        <v>1152</v>
      </c>
      <c r="F213" s="1">
        <v>481</v>
      </c>
      <c r="G213" s="19">
        <v>8.2706766917293228E-2</v>
      </c>
      <c r="H213" s="19">
        <v>-0.43610785463071511</v>
      </c>
      <c r="I213" s="1">
        <v>27450</v>
      </c>
      <c r="J213" s="1">
        <v>15463</v>
      </c>
      <c r="K213" s="1">
        <v>172939</v>
      </c>
      <c r="L213" s="1">
        <v>124441</v>
      </c>
      <c r="M213" s="18">
        <v>0.03</v>
      </c>
      <c r="N213" s="18">
        <v>0.58246527777777779</v>
      </c>
      <c r="O213" s="18">
        <v>0.41753472222222221</v>
      </c>
      <c r="P213" s="18">
        <v>1.07</v>
      </c>
      <c r="Q213" s="193"/>
      <c r="R213" s="43">
        <v>0</v>
      </c>
      <c r="S213" s="43">
        <v>0</v>
      </c>
      <c r="T213" s="1">
        <v>10</v>
      </c>
      <c r="U213" s="268" t="str">
        <f t="shared" si="15"/>
        <v>Normal</v>
      </c>
      <c r="V213" s="268" t="str">
        <f t="shared" si="16"/>
        <v>Outlier</v>
      </c>
      <c r="W213" s="270">
        <f t="shared" si="17"/>
        <v>8.2706766917293228E-2</v>
      </c>
      <c r="X213" s="270">
        <f t="shared" si="18"/>
        <v>-0.43610785463071511</v>
      </c>
      <c r="Y213" s="249"/>
      <c r="Z213" s="249"/>
      <c r="AA213" s="249"/>
      <c r="AB213" s="249"/>
      <c r="AC213" s="249"/>
      <c r="AD213" s="249"/>
      <c r="AE213" s="249"/>
      <c r="AF213" s="249"/>
      <c r="AG213" s="249"/>
      <c r="AH213" s="249"/>
      <c r="AI213" s="249"/>
      <c r="AJ213" s="249"/>
      <c r="AK213" s="249"/>
      <c r="AL213" s="249"/>
      <c r="AN213" s="50"/>
      <c r="AO213" s="50"/>
      <c r="AP213" s="50"/>
    </row>
    <row r="214" spans="1:42">
      <c r="A214" s="21">
        <v>44864</v>
      </c>
      <c r="B214" s="17">
        <f>IF(YEAR(Table9[[#This Row],[Date]]) = 2022, WEEKNUM(Table9[[#This Row],[Date]])-13, WEEKNUM(Table9[[#This Row],[Date]])+40)</f>
        <v>32</v>
      </c>
      <c r="C214" s="1" t="s">
        <v>47</v>
      </c>
      <c r="D214" s="1" t="s">
        <v>59</v>
      </c>
      <c r="E214" s="1">
        <v>0</v>
      </c>
      <c r="F214" s="1">
        <v>0</v>
      </c>
      <c r="G214" s="19">
        <v>0</v>
      </c>
      <c r="H214" s="19">
        <v>0</v>
      </c>
      <c r="I214" s="1">
        <v>0</v>
      </c>
      <c r="J214" s="1">
        <v>0</v>
      </c>
      <c r="K214" s="1">
        <v>0</v>
      </c>
      <c r="L214" s="1">
        <v>0</v>
      </c>
      <c r="M214" s="18">
        <v>0</v>
      </c>
      <c r="N214" s="18">
        <v>0</v>
      </c>
      <c r="O214" s="18">
        <v>0</v>
      </c>
      <c r="P214" s="18">
        <v>0</v>
      </c>
      <c r="Q214" s="193"/>
      <c r="R214" s="43">
        <v>0</v>
      </c>
      <c r="S214" s="43">
        <v>0</v>
      </c>
      <c r="T214" s="1">
        <v>0</v>
      </c>
      <c r="U214" s="268" t="str">
        <f t="shared" si="15"/>
        <v>Normal</v>
      </c>
      <c r="V214" s="268" t="str">
        <f t="shared" si="16"/>
        <v>Normal</v>
      </c>
      <c r="W214" s="270">
        <f t="shared" si="17"/>
        <v>0</v>
      </c>
      <c r="X214" s="270">
        <f t="shared" si="18"/>
        <v>0</v>
      </c>
      <c r="Y214" s="249"/>
      <c r="Z214" s="249"/>
      <c r="AA214" s="249"/>
      <c r="AB214" s="249"/>
      <c r="AC214" s="249"/>
      <c r="AD214" s="249"/>
      <c r="AE214" s="249"/>
      <c r="AF214" s="249"/>
      <c r="AG214" s="249"/>
      <c r="AH214" s="249"/>
      <c r="AI214" s="249"/>
      <c r="AJ214" s="249"/>
      <c r="AK214" s="249"/>
      <c r="AL214" s="249"/>
    </row>
    <row r="215" spans="1:42" s="50" customFormat="1">
      <c r="A215" s="54">
        <v>44865</v>
      </c>
      <c r="B215" s="131">
        <f>IF(YEAR(Table9[[#This Row],[Date]]) = 2022, WEEKNUM(Table9[[#This Row],[Date]])-13, WEEKNUM(Table9[[#This Row],[Date]])+40)</f>
        <v>32</v>
      </c>
      <c r="C215" s="52" t="s">
        <v>48</v>
      </c>
      <c r="D215" s="52" t="s">
        <v>59</v>
      </c>
      <c r="E215" s="52">
        <v>1328</v>
      </c>
      <c r="F215" s="52">
        <v>638</v>
      </c>
      <c r="G215" s="143">
        <v>-2.4963289280469897E-2</v>
      </c>
      <c r="H215" s="143">
        <v>-6.1764705882352944E-2</v>
      </c>
      <c r="I215" s="52">
        <v>28778</v>
      </c>
      <c r="J215" s="52">
        <v>16101</v>
      </c>
      <c r="K215" s="52">
        <v>173115</v>
      </c>
      <c r="L215" s="52">
        <v>124598</v>
      </c>
      <c r="M215" s="53">
        <v>0.04</v>
      </c>
      <c r="N215" s="53">
        <v>0.52</v>
      </c>
      <c r="O215" s="53">
        <v>0.48042168674698793</v>
      </c>
      <c r="P215" s="53">
        <v>1.23</v>
      </c>
      <c r="Q215" s="193"/>
      <c r="R215" s="101">
        <v>0</v>
      </c>
      <c r="S215" s="101">
        <v>0</v>
      </c>
      <c r="T215" s="52">
        <v>10</v>
      </c>
      <c r="U215" s="268" t="str">
        <f t="shared" si="15"/>
        <v>Normal</v>
      </c>
      <c r="V215" s="268" t="str">
        <f t="shared" si="16"/>
        <v>Normal</v>
      </c>
      <c r="W215" s="270">
        <f t="shared" si="17"/>
        <v>-2.4963289280469897E-2</v>
      </c>
      <c r="X215" s="270">
        <f t="shared" si="18"/>
        <v>-6.1764705882352944E-2</v>
      </c>
      <c r="Y215" s="250"/>
      <c r="Z215" s="250"/>
      <c r="AA215" s="250"/>
      <c r="AB215" s="250"/>
      <c r="AC215" s="250"/>
      <c r="AD215" s="250"/>
      <c r="AE215" s="250"/>
      <c r="AF215" s="250"/>
      <c r="AG215" s="250"/>
      <c r="AH215" s="250"/>
      <c r="AI215" s="250"/>
      <c r="AJ215" s="250"/>
      <c r="AK215" s="250"/>
      <c r="AL215" s="250"/>
      <c r="AN215"/>
      <c r="AO215"/>
      <c r="AP215"/>
    </row>
    <row r="216" spans="1:42">
      <c r="A216" s="21">
        <v>44866</v>
      </c>
      <c r="B216" s="17">
        <f>IF(YEAR(Table9[[#This Row],[Date]]) = 2022, WEEKNUM(Table9[[#This Row],[Date]])-13, WEEKNUM(Table9[[#This Row],[Date]])+40)</f>
        <v>32</v>
      </c>
      <c r="C216" s="1" t="s">
        <v>49</v>
      </c>
      <c r="D216" s="1" t="s">
        <v>59</v>
      </c>
      <c r="E216" s="1">
        <v>1217</v>
      </c>
      <c r="F216" s="1">
        <v>528</v>
      </c>
      <c r="G216" s="19">
        <v>-9.2468307233407904E-2</v>
      </c>
      <c r="H216" s="19">
        <v>-0.11260504201680673</v>
      </c>
      <c r="I216" s="1">
        <v>1217</v>
      </c>
      <c r="J216" s="1">
        <v>528</v>
      </c>
      <c r="K216" s="1">
        <v>174332</v>
      </c>
      <c r="L216" s="1">
        <v>125126</v>
      </c>
      <c r="M216" s="18">
        <v>0.05</v>
      </c>
      <c r="N216" s="18">
        <v>0.56614626129827439</v>
      </c>
      <c r="O216" s="18">
        <v>0.43385373870172556</v>
      </c>
      <c r="P216" s="18">
        <v>1.88</v>
      </c>
      <c r="Q216" s="193"/>
      <c r="R216" s="43">
        <v>0</v>
      </c>
      <c r="S216" s="43">
        <v>0</v>
      </c>
      <c r="T216" s="1">
        <v>6</v>
      </c>
      <c r="U216" s="268" t="str">
        <f t="shared" si="15"/>
        <v>Normal</v>
      </c>
      <c r="V216" s="268" t="str">
        <f t="shared" si="16"/>
        <v>Normal</v>
      </c>
      <c r="W216" s="270">
        <f t="shared" si="17"/>
        <v>-9.2468307233407904E-2</v>
      </c>
      <c r="X216" s="270">
        <f t="shared" si="18"/>
        <v>-0.11260504201680673</v>
      </c>
      <c r="Y216" s="249"/>
      <c r="Z216" s="249"/>
      <c r="AA216" s="249"/>
      <c r="AB216" s="249"/>
      <c r="AC216" s="249"/>
      <c r="AD216" s="249"/>
      <c r="AE216" s="249"/>
      <c r="AF216" s="249"/>
      <c r="AG216" s="249"/>
      <c r="AH216" s="249"/>
      <c r="AI216" s="249"/>
      <c r="AJ216" s="249"/>
      <c r="AK216" s="249"/>
      <c r="AL216" s="249"/>
    </row>
    <row r="217" spans="1:42">
      <c r="A217" s="21">
        <v>44867</v>
      </c>
      <c r="B217" s="17">
        <f>IF(YEAR(Table9[[#This Row],[Date]]) = 2022, WEEKNUM(Table9[[#This Row],[Date]])-13, WEEKNUM(Table9[[#This Row],[Date]])+40)</f>
        <v>32</v>
      </c>
      <c r="C217" s="1" t="s">
        <v>50</v>
      </c>
      <c r="D217" s="1" t="s">
        <v>59</v>
      </c>
      <c r="E217" s="1">
        <v>1055</v>
      </c>
      <c r="F217" s="1">
        <v>773</v>
      </c>
      <c r="G217" s="19">
        <v>-0.2496443812233286</v>
      </c>
      <c r="H217" s="19">
        <v>0.18015267175572519</v>
      </c>
      <c r="I217" s="1">
        <v>2272</v>
      </c>
      <c r="J217" s="1">
        <v>1301</v>
      </c>
      <c r="K217" s="1">
        <v>175387</v>
      </c>
      <c r="L217" s="1">
        <v>125899</v>
      </c>
      <c r="M217" s="18">
        <v>0.26</v>
      </c>
      <c r="N217" s="18">
        <v>0.27</v>
      </c>
      <c r="O217" s="18">
        <v>0.73</v>
      </c>
      <c r="P217" s="18">
        <v>1.0900000000000001</v>
      </c>
      <c r="Q217" s="193"/>
      <c r="R217" s="43">
        <v>0</v>
      </c>
      <c r="S217" s="43">
        <v>0</v>
      </c>
      <c r="T217" s="1">
        <v>9</v>
      </c>
      <c r="U217" s="268" t="str">
        <f t="shared" si="15"/>
        <v>Normal</v>
      </c>
      <c r="V217" s="268" t="str">
        <f t="shared" si="16"/>
        <v>Normal</v>
      </c>
      <c r="W217" s="270">
        <f t="shared" si="17"/>
        <v>-0.2496443812233286</v>
      </c>
      <c r="X217" s="270">
        <f t="shared" si="18"/>
        <v>0.18015267175572519</v>
      </c>
      <c r="Y217" s="249"/>
      <c r="Z217" s="249"/>
      <c r="AA217" s="249"/>
      <c r="AB217" s="249"/>
      <c r="AC217" s="249"/>
      <c r="AD217" s="249"/>
      <c r="AE217" s="249"/>
      <c r="AF217" s="249"/>
      <c r="AG217" s="249"/>
      <c r="AH217" s="249"/>
      <c r="AI217" s="249"/>
      <c r="AJ217" s="249"/>
      <c r="AK217" s="249"/>
      <c r="AL217" s="249"/>
    </row>
    <row r="218" spans="1:42">
      <c r="A218" s="21">
        <v>44868</v>
      </c>
      <c r="B218" s="17">
        <f>IF(YEAR(Table9[[#This Row],[Date]]) = 2022, WEEKNUM(Table9[[#This Row],[Date]])-13, WEEKNUM(Table9[[#This Row],[Date]])+40)</f>
        <v>32</v>
      </c>
      <c r="C218" s="1" t="s">
        <v>51</v>
      </c>
      <c r="D218" s="1" t="s">
        <v>59</v>
      </c>
      <c r="E218" s="1">
        <v>933</v>
      </c>
      <c r="F218" s="1">
        <v>721</v>
      </c>
      <c r="G218" s="19">
        <v>-0.35964310226492796</v>
      </c>
      <c r="H218" s="19">
        <v>0.52754237288135597</v>
      </c>
      <c r="I218" s="1">
        <v>3205</v>
      </c>
      <c r="J218" s="1">
        <v>2022</v>
      </c>
      <c r="K218" s="1">
        <v>176320</v>
      </c>
      <c r="L218" s="1">
        <v>126620</v>
      </c>
      <c r="M218" s="18">
        <v>0.3</v>
      </c>
      <c r="N218" s="18">
        <v>0.23</v>
      </c>
      <c r="O218" s="18">
        <v>0.77</v>
      </c>
      <c r="P218" s="18">
        <v>0.66</v>
      </c>
      <c r="Q218" s="193"/>
      <c r="R218" s="43">
        <v>0</v>
      </c>
      <c r="S218" s="43">
        <v>0</v>
      </c>
      <c r="T218" s="1">
        <v>13</v>
      </c>
      <c r="U218" s="268" t="str">
        <f t="shared" si="15"/>
        <v>Outlier</v>
      </c>
      <c r="V218" s="268" t="str">
        <f t="shared" si="16"/>
        <v>Outlier</v>
      </c>
      <c r="W218" s="270">
        <f t="shared" si="17"/>
        <v>-0.35964310226492796</v>
      </c>
      <c r="X218" s="270">
        <f t="shared" si="18"/>
        <v>0.52754237288135597</v>
      </c>
      <c r="Y218" s="249"/>
      <c r="Z218" s="249"/>
      <c r="AA218" s="249"/>
      <c r="AB218" s="249"/>
      <c r="AC218" s="249"/>
      <c r="AD218" s="249"/>
      <c r="AE218" s="249"/>
      <c r="AF218" s="249"/>
      <c r="AG218" s="249"/>
      <c r="AH218" s="249"/>
      <c r="AI218" s="249"/>
      <c r="AJ218" s="249"/>
      <c r="AK218" s="249"/>
      <c r="AL218" s="249"/>
    </row>
    <row r="219" spans="1:42">
      <c r="A219" s="21">
        <v>44869</v>
      </c>
      <c r="B219" s="17">
        <f>IF(YEAR(Table9[[#This Row],[Date]]) = 2022, WEEKNUM(Table9[[#This Row],[Date]])-13, WEEKNUM(Table9[[#This Row],[Date]])+40)</f>
        <v>32</v>
      </c>
      <c r="C219" s="1" t="s">
        <v>52</v>
      </c>
      <c r="D219" s="1" t="s">
        <v>59</v>
      </c>
      <c r="E219" s="1">
        <v>906</v>
      </c>
      <c r="F219" s="1">
        <v>761</v>
      </c>
      <c r="G219" s="19">
        <v>-0.32988165680473375</v>
      </c>
      <c r="H219" s="19">
        <v>0.49215686274509801</v>
      </c>
      <c r="I219" s="1">
        <v>4111</v>
      </c>
      <c r="J219" s="1">
        <v>2783</v>
      </c>
      <c r="K219" s="1">
        <v>177226</v>
      </c>
      <c r="L219" s="1">
        <v>127381</v>
      </c>
      <c r="M219" s="18">
        <v>0.43</v>
      </c>
      <c r="N219" s="18">
        <v>0.16</v>
      </c>
      <c r="O219" s="18">
        <v>0.84</v>
      </c>
      <c r="P219" s="18">
        <v>0.7</v>
      </c>
      <c r="Q219" s="193"/>
      <c r="R219" s="43">
        <v>0</v>
      </c>
      <c r="S219" s="43">
        <v>0</v>
      </c>
      <c r="T219" s="1">
        <v>12</v>
      </c>
      <c r="U219" s="268" t="str">
        <f t="shared" si="15"/>
        <v>Outlier</v>
      </c>
      <c r="V219" s="268" t="str">
        <f t="shared" si="16"/>
        <v>Outlier</v>
      </c>
      <c r="W219" s="270">
        <f t="shared" si="17"/>
        <v>-0.32988165680473375</v>
      </c>
      <c r="X219" s="270">
        <f t="shared" si="18"/>
        <v>0.49215686274509801</v>
      </c>
      <c r="Y219" s="249"/>
      <c r="Z219" s="249"/>
      <c r="AA219" s="249"/>
      <c r="AB219" s="249"/>
      <c r="AC219" s="249"/>
      <c r="AD219" s="249"/>
      <c r="AE219" s="249"/>
      <c r="AF219" s="249"/>
      <c r="AG219" s="249"/>
      <c r="AH219" s="249"/>
      <c r="AI219" s="249"/>
      <c r="AJ219" s="249"/>
      <c r="AK219" s="249"/>
      <c r="AL219" s="249"/>
    </row>
    <row r="220" spans="1:42">
      <c r="A220" s="21">
        <v>44870</v>
      </c>
      <c r="B220" s="17">
        <f>IF(YEAR(Table9[[#This Row],[Date]]) = 2022, WEEKNUM(Table9[[#This Row],[Date]])-13, WEEKNUM(Table9[[#This Row],[Date]])+40)</f>
        <v>32</v>
      </c>
      <c r="C220" s="1" t="s">
        <v>53</v>
      </c>
      <c r="D220" s="1" t="s">
        <v>59</v>
      </c>
      <c r="E220" s="1">
        <v>776</v>
      </c>
      <c r="F220" s="1">
        <v>579</v>
      </c>
      <c r="G220" s="19">
        <v>-0.3263888888888889</v>
      </c>
      <c r="H220" s="19">
        <v>0.20374220374220375</v>
      </c>
      <c r="I220" s="1">
        <v>4887</v>
      </c>
      <c r="J220" s="1">
        <v>3362</v>
      </c>
      <c r="K220" s="1">
        <v>178002</v>
      </c>
      <c r="L220" s="1">
        <v>127960</v>
      </c>
      <c r="M220" s="18">
        <v>0.33</v>
      </c>
      <c r="N220" s="18">
        <v>0.25</v>
      </c>
      <c r="O220" s="18">
        <v>0.75</v>
      </c>
      <c r="P220" s="18">
        <v>0.9</v>
      </c>
      <c r="Q220" s="193"/>
      <c r="R220" s="43">
        <v>0</v>
      </c>
      <c r="S220" s="43">
        <v>0</v>
      </c>
      <c r="T220" s="1">
        <v>8</v>
      </c>
      <c r="U220" s="268" t="str">
        <f t="shared" si="15"/>
        <v>Outlier</v>
      </c>
      <c r="V220" s="268" t="str">
        <f t="shared" si="16"/>
        <v>Normal</v>
      </c>
      <c r="W220" s="270">
        <f t="shared" si="17"/>
        <v>-0.3263888888888889</v>
      </c>
      <c r="X220" s="270">
        <f t="shared" si="18"/>
        <v>0.20374220374220375</v>
      </c>
      <c r="Y220" s="249"/>
      <c r="Z220" s="249"/>
      <c r="AA220" s="249"/>
      <c r="AB220" s="249"/>
      <c r="AC220" s="249"/>
      <c r="AD220" s="249"/>
      <c r="AE220" s="249"/>
      <c r="AF220" s="249"/>
      <c r="AG220" s="249"/>
      <c r="AH220" s="249"/>
      <c r="AI220" s="249"/>
      <c r="AJ220" s="249"/>
      <c r="AK220" s="249"/>
      <c r="AL220" s="249"/>
    </row>
    <row r="221" spans="1:42">
      <c r="A221" s="21">
        <v>44871</v>
      </c>
      <c r="B221" s="17">
        <f>IF(YEAR(Table9[[#This Row],[Date]]) = 2022, WEEKNUM(Table9[[#This Row],[Date]])-13, WEEKNUM(Table9[[#This Row],[Date]])+40)</f>
        <v>33</v>
      </c>
      <c r="C221" s="1" t="s">
        <v>47</v>
      </c>
      <c r="D221" s="1" t="s">
        <v>59</v>
      </c>
      <c r="E221" s="1">
        <v>0</v>
      </c>
      <c r="F221" s="1">
        <v>0</v>
      </c>
      <c r="G221" s="19">
        <v>0</v>
      </c>
      <c r="H221" s="19">
        <v>0</v>
      </c>
      <c r="I221" s="1">
        <v>0</v>
      </c>
      <c r="J221" s="1">
        <v>0</v>
      </c>
      <c r="K221" s="1">
        <v>0</v>
      </c>
      <c r="L221" s="1">
        <v>0</v>
      </c>
      <c r="M221" s="18">
        <v>0</v>
      </c>
      <c r="N221" s="18">
        <v>0</v>
      </c>
      <c r="O221" s="18">
        <v>0</v>
      </c>
      <c r="P221" s="18">
        <v>0</v>
      </c>
      <c r="Q221" s="193"/>
      <c r="R221" s="43">
        <v>0</v>
      </c>
      <c r="S221" s="43">
        <v>0</v>
      </c>
      <c r="T221" s="1">
        <v>0</v>
      </c>
      <c r="U221" s="268" t="str">
        <f t="shared" si="15"/>
        <v>Normal</v>
      </c>
      <c r="V221" s="268" t="str">
        <f t="shared" si="16"/>
        <v>Normal</v>
      </c>
      <c r="W221" s="270">
        <f t="shared" si="17"/>
        <v>0</v>
      </c>
      <c r="X221" s="270">
        <f t="shared" si="18"/>
        <v>0</v>
      </c>
      <c r="Y221" s="249"/>
      <c r="Z221" s="249"/>
      <c r="AA221" s="249"/>
      <c r="AB221" s="249"/>
      <c r="AC221" s="249"/>
      <c r="AD221" s="249"/>
      <c r="AE221" s="249"/>
      <c r="AF221" s="249"/>
      <c r="AG221" s="249"/>
      <c r="AH221" s="249"/>
      <c r="AI221" s="249"/>
      <c r="AJ221" s="249"/>
      <c r="AK221" s="249"/>
      <c r="AL221" s="249"/>
    </row>
    <row r="222" spans="1:42">
      <c r="A222" s="21">
        <v>44872</v>
      </c>
      <c r="B222" s="17">
        <f>IF(YEAR(Table9[[#This Row],[Date]]) = 2022, WEEKNUM(Table9[[#This Row],[Date]])-13, WEEKNUM(Table9[[#This Row],[Date]])+40)</f>
        <v>33</v>
      </c>
      <c r="C222" s="1" t="s">
        <v>48</v>
      </c>
      <c r="D222" s="1" t="s">
        <v>59</v>
      </c>
      <c r="E222" s="1">
        <v>1067</v>
      </c>
      <c r="F222" s="1">
        <v>775</v>
      </c>
      <c r="G222" s="87">
        <v>-0.19653614457831325</v>
      </c>
      <c r="H222" s="87">
        <v>0.21473354231974923</v>
      </c>
      <c r="I222" s="1">
        <v>1067</v>
      </c>
      <c r="J222" s="1">
        <v>775</v>
      </c>
      <c r="K222" s="1">
        <v>178293</v>
      </c>
      <c r="L222" s="1">
        <v>128156</v>
      </c>
      <c r="M222" s="18">
        <v>0.17</v>
      </c>
      <c r="N222" s="18">
        <v>0.27366447985004683</v>
      </c>
      <c r="O222" s="18">
        <v>0.72633552014995317</v>
      </c>
      <c r="P222" s="18">
        <v>0.70568783068783059</v>
      </c>
      <c r="Q222" s="193"/>
      <c r="R222" s="43">
        <v>0</v>
      </c>
      <c r="S222" s="43">
        <v>0</v>
      </c>
      <c r="T222" s="1">
        <v>14</v>
      </c>
      <c r="U222" s="268" t="str">
        <f t="shared" si="15"/>
        <v>Normal</v>
      </c>
      <c r="V222" s="268" t="str">
        <f t="shared" si="16"/>
        <v>Normal</v>
      </c>
      <c r="W222" s="270">
        <f t="shared" si="17"/>
        <v>-0.19653614457831325</v>
      </c>
      <c r="X222" s="270">
        <f t="shared" si="18"/>
        <v>0.21473354231974923</v>
      </c>
      <c r="Y222" s="249"/>
      <c r="Z222" s="249"/>
      <c r="AA222" s="249"/>
      <c r="AB222" s="249"/>
      <c r="AC222" s="249"/>
      <c r="AD222" s="249"/>
      <c r="AE222" s="249"/>
      <c r="AF222" s="249"/>
      <c r="AG222" s="249"/>
      <c r="AH222" s="249"/>
      <c r="AI222" s="249"/>
      <c r="AJ222" s="249"/>
      <c r="AK222" s="249"/>
      <c r="AL222" s="249"/>
    </row>
    <row r="223" spans="1:42">
      <c r="A223" s="21">
        <v>44873</v>
      </c>
      <c r="B223" s="17">
        <f>IF(YEAR(Table9[[#This Row],[Date]]) = 2022, WEEKNUM(Table9[[#This Row],[Date]])-13, WEEKNUM(Table9[[#This Row],[Date]])+40)</f>
        <v>33</v>
      </c>
      <c r="C223" s="1" t="s">
        <v>49</v>
      </c>
      <c r="D223" s="1" t="s">
        <v>59</v>
      </c>
      <c r="E223" s="1">
        <v>1022</v>
      </c>
      <c r="F223" s="1">
        <v>697</v>
      </c>
      <c r="G223" s="87">
        <v>-0.16023007395234182</v>
      </c>
      <c r="H223" s="87">
        <v>0.32007575757575757</v>
      </c>
      <c r="I223" s="1">
        <v>2089</v>
      </c>
      <c r="J223" s="1">
        <v>1472</v>
      </c>
      <c r="K223" s="1">
        <v>179315</v>
      </c>
      <c r="L223" s="1">
        <v>128853</v>
      </c>
      <c r="M223" s="18">
        <v>0.16</v>
      </c>
      <c r="N223" s="18">
        <v>0.31800391389432481</v>
      </c>
      <c r="O223" s="18">
        <v>0.68199608610567519</v>
      </c>
      <c r="P223" s="18">
        <v>0.9462962962962963</v>
      </c>
      <c r="Q223" s="193"/>
      <c r="R223" s="43">
        <v>0</v>
      </c>
      <c r="S223" s="43">
        <v>0</v>
      </c>
      <c r="T223" s="1">
        <v>10</v>
      </c>
      <c r="U223" s="268" t="str">
        <f t="shared" si="15"/>
        <v>Normal</v>
      </c>
      <c r="V223" s="268" t="str">
        <f t="shared" si="16"/>
        <v>Normal</v>
      </c>
      <c r="W223" s="270">
        <f t="shared" si="17"/>
        <v>-0.16023007395234182</v>
      </c>
      <c r="X223" s="270">
        <f t="shared" si="18"/>
        <v>0.32007575757575757</v>
      </c>
      <c r="Y223" s="249"/>
      <c r="Z223" s="249"/>
      <c r="AA223" s="249"/>
      <c r="AB223" s="249"/>
      <c r="AC223" s="249"/>
      <c r="AD223" s="249"/>
      <c r="AE223" s="249"/>
      <c r="AF223" s="249"/>
      <c r="AG223" s="249"/>
      <c r="AH223" s="249"/>
      <c r="AI223" s="249"/>
      <c r="AJ223" s="249"/>
      <c r="AK223" s="249"/>
      <c r="AL223" s="249"/>
    </row>
    <row r="224" spans="1:42">
      <c r="A224" s="21">
        <v>44874</v>
      </c>
      <c r="B224" s="17">
        <f>IF(YEAR(Table9[[#This Row],[Date]]) = 2022, WEEKNUM(Table9[[#This Row],[Date]])-13, WEEKNUM(Table9[[#This Row],[Date]])+40)</f>
        <v>33</v>
      </c>
      <c r="C224" s="1" t="s">
        <v>50</v>
      </c>
      <c r="D224" s="1" t="s">
        <v>59</v>
      </c>
      <c r="E224" s="1">
        <v>855</v>
      </c>
      <c r="F224" s="1">
        <v>706</v>
      </c>
      <c r="G224" s="87">
        <v>-0.1895734597156398</v>
      </c>
      <c r="H224" s="87">
        <v>-8.6675291073738683E-2</v>
      </c>
      <c r="I224" s="1">
        <v>2944</v>
      </c>
      <c r="J224" s="1">
        <v>2178</v>
      </c>
      <c r="K224" s="1">
        <v>180170</v>
      </c>
      <c r="L224" s="1">
        <v>129559</v>
      </c>
      <c r="M224" s="18">
        <v>0.5</v>
      </c>
      <c r="N224" s="18">
        <v>0.17426900584795324</v>
      </c>
      <c r="O224" s="18">
        <v>0.82573099415204676</v>
      </c>
      <c r="P224" s="18">
        <v>0.65972222222222221</v>
      </c>
      <c r="Q224" s="193"/>
      <c r="R224" s="43">
        <v>0</v>
      </c>
      <c r="S224" s="43">
        <v>0</v>
      </c>
      <c r="T224" s="1">
        <v>12</v>
      </c>
      <c r="U224" s="268" t="str">
        <f t="shared" si="15"/>
        <v>Normal</v>
      </c>
      <c r="V224" s="268" t="str">
        <f t="shared" si="16"/>
        <v>Normal</v>
      </c>
      <c r="W224" s="270">
        <f t="shared" si="17"/>
        <v>-0.1895734597156398</v>
      </c>
      <c r="X224" s="270">
        <f t="shared" si="18"/>
        <v>-8.6675291073738683E-2</v>
      </c>
      <c r="Y224" s="249"/>
      <c r="Z224" s="249"/>
      <c r="AA224" s="249"/>
      <c r="AB224" s="249"/>
      <c r="AC224" s="249"/>
      <c r="AD224" s="249"/>
      <c r="AE224" s="249"/>
      <c r="AF224" s="249"/>
      <c r="AG224" s="249"/>
      <c r="AH224" s="249"/>
      <c r="AI224" s="249"/>
      <c r="AJ224" s="249"/>
      <c r="AK224" s="249"/>
      <c r="AL224" s="249"/>
    </row>
    <row r="225" spans="1:42">
      <c r="A225" s="21">
        <v>44875</v>
      </c>
      <c r="B225" s="17">
        <f>IF(YEAR(Table9[[#This Row],[Date]]) = 2022, WEEKNUM(Table9[[#This Row],[Date]])-13, WEEKNUM(Table9[[#This Row],[Date]])+40)</f>
        <v>33</v>
      </c>
      <c r="C225" s="1" t="s">
        <v>51</v>
      </c>
      <c r="D225" s="1" t="s">
        <v>59</v>
      </c>
      <c r="E225" s="1">
        <v>830</v>
      </c>
      <c r="F225" s="1">
        <v>747</v>
      </c>
      <c r="G225" s="87">
        <v>-0.11039657020364416</v>
      </c>
      <c r="H225" s="87">
        <v>3.6061026352288486E-2</v>
      </c>
      <c r="I225" s="1">
        <v>3774</v>
      </c>
      <c r="J225" s="1">
        <v>2925</v>
      </c>
      <c r="K225" s="1">
        <v>181000</v>
      </c>
      <c r="L225" s="1">
        <v>130306</v>
      </c>
      <c r="M225" s="18">
        <v>0.79</v>
      </c>
      <c r="N225" s="18">
        <v>9.9999999999999978E-2</v>
      </c>
      <c r="O225" s="18">
        <v>0.9</v>
      </c>
      <c r="P225" s="18">
        <v>0.69865319865319864</v>
      </c>
      <c r="Q225" s="193"/>
      <c r="R225" s="43">
        <v>0</v>
      </c>
      <c r="S225" s="43">
        <v>0</v>
      </c>
      <c r="T225" s="1">
        <v>11</v>
      </c>
      <c r="U225" s="268" t="str">
        <f t="shared" si="15"/>
        <v>Normal</v>
      </c>
      <c r="V225" s="268" t="str">
        <f t="shared" si="16"/>
        <v>Normal</v>
      </c>
      <c r="W225" s="270">
        <f t="shared" si="17"/>
        <v>-0.11039657020364416</v>
      </c>
      <c r="X225" s="270">
        <f t="shared" si="18"/>
        <v>3.6061026352288486E-2</v>
      </c>
      <c r="Y225" s="249"/>
      <c r="Z225" s="249"/>
      <c r="AA225" s="249"/>
      <c r="AB225" s="249"/>
      <c r="AC225" s="249"/>
      <c r="AD225" s="249"/>
      <c r="AE225" s="249"/>
      <c r="AF225" s="249"/>
      <c r="AG225" s="249"/>
      <c r="AH225" s="249"/>
      <c r="AI225" s="249"/>
      <c r="AJ225" s="249"/>
      <c r="AK225" s="249"/>
      <c r="AL225" s="249"/>
    </row>
    <row r="226" spans="1:42">
      <c r="A226" s="21">
        <v>44876</v>
      </c>
      <c r="B226" s="17">
        <f>IF(YEAR(Table9[[#This Row],[Date]]) = 2022, WEEKNUM(Table9[[#This Row],[Date]])-13, WEEKNUM(Table9[[#This Row],[Date]])+40)</f>
        <v>33</v>
      </c>
      <c r="C226" s="1" t="s">
        <v>52</v>
      </c>
      <c r="D226" s="1" t="s">
        <v>59</v>
      </c>
      <c r="E226" s="1">
        <v>909</v>
      </c>
      <c r="F226" s="1">
        <v>644</v>
      </c>
      <c r="G226" s="87">
        <v>3.3112582781456954E-3</v>
      </c>
      <c r="H226" s="87">
        <v>-0.15374507227332457</v>
      </c>
      <c r="I226" s="1">
        <v>4683</v>
      </c>
      <c r="J226" s="1">
        <v>3569</v>
      </c>
      <c r="K226" s="1">
        <v>181909</v>
      </c>
      <c r="L226" s="1">
        <v>130950</v>
      </c>
      <c r="M226" s="18">
        <v>0.26</v>
      </c>
      <c r="N226" s="18">
        <v>0.29152915291529158</v>
      </c>
      <c r="O226" s="18">
        <v>0.70847084708470842</v>
      </c>
      <c r="P226" s="18">
        <v>0.60119047619047616</v>
      </c>
      <c r="Q226" s="193"/>
      <c r="R226" s="43">
        <v>0</v>
      </c>
      <c r="S226" s="43">
        <v>0</v>
      </c>
      <c r="T226" s="1">
        <v>14</v>
      </c>
      <c r="U226" s="268" t="str">
        <f t="shared" si="15"/>
        <v>Normal</v>
      </c>
      <c r="V226" s="268" t="str">
        <f t="shared" si="16"/>
        <v>Normal</v>
      </c>
      <c r="W226" s="270">
        <f t="shared" si="17"/>
        <v>3.3112582781456954E-3</v>
      </c>
      <c r="X226" s="270">
        <f t="shared" si="18"/>
        <v>-0.15374507227332457</v>
      </c>
      <c r="Y226" s="249"/>
      <c r="Z226" s="249"/>
      <c r="AA226" s="249"/>
      <c r="AB226" s="249"/>
      <c r="AC226" s="249"/>
      <c r="AD226" s="249"/>
      <c r="AE226" s="249"/>
      <c r="AF226" s="249"/>
      <c r="AG226" s="249"/>
      <c r="AH226" s="249"/>
      <c r="AI226" s="249"/>
      <c r="AJ226" s="249"/>
      <c r="AK226" s="249"/>
      <c r="AL226" s="249"/>
    </row>
    <row r="227" spans="1:42">
      <c r="A227" s="21">
        <v>44877</v>
      </c>
      <c r="B227" s="17">
        <f>IF(YEAR(Table9[[#This Row],[Date]]) = 2022, WEEKNUM(Table9[[#This Row],[Date]])-13, WEEKNUM(Table9[[#This Row],[Date]])+40)</f>
        <v>33</v>
      </c>
      <c r="C227" s="1" t="s">
        <v>53</v>
      </c>
      <c r="D227" s="1" t="s">
        <v>59</v>
      </c>
      <c r="E227" s="1">
        <v>788</v>
      </c>
      <c r="F227" s="1">
        <v>632</v>
      </c>
      <c r="G227" s="87">
        <v>1.5463917525773196E-2</v>
      </c>
      <c r="H227" s="87">
        <v>9.1537132987910191E-2</v>
      </c>
      <c r="I227" s="1">
        <v>5471</v>
      </c>
      <c r="J227" s="1">
        <v>4201</v>
      </c>
      <c r="K227" s="1">
        <v>182697</v>
      </c>
      <c r="L227" s="1">
        <v>131582</v>
      </c>
      <c r="M227" s="18">
        <v>0.46</v>
      </c>
      <c r="N227" s="18">
        <v>0.19796954314720816</v>
      </c>
      <c r="O227" s="18">
        <v>0.80203045685279184</v>
      </c>
      <c r="P227" s="18">
        <v>0.66329966329966339</v>
      </c>
      <c r="Q227" s="193"/>
      <c r="R227" s="43">
        <v>0</v>
      </c>
      <c r="S227" s="43">
        <v>0</v>
      </c>
      <c r="T227" s="1">
        <v>11</v>
      </c>
      <c r="U227" s="268" t="str">
        <f t="shared" si="15"/>
        <v>Normal</v>
      </c>
      <c r="V227" s="268" t="str">
        <f t="shared" si="16"/>
        <v>Normal</v>
      </c>
      <c r="W227" s="270">
        <f t="shared" si="17"/>
        <v>1.5463917525773196E-2</v>
      </c>
      <c r="X227" s="270">
        <f t="shared" si="18"/>
        <v>9.1537132987910191E-2</v>
      </c>
      <c r="Y227" s="249"/>
      <c r="Z227" s="249"/>
      <c r="AA227" s="249"/>
      <c r="AB227" s="249"/>
      <c r="AC227" s="249"/>
      <c r="AD227" s="249"/>
      <c r="AE227" s="249"/>
      <c r="AF227" s="249"/>
      <c r="AG227" s="249"/>
      <c r="AH227" s="249"/>
      <c r="AI227" s="249"/>
      <c r="AJ227" s="249"/>
      <c r="AK227" s="249"/>
      <c r="AL227" s="249"/>
    </row>
    <row r="228" spans="1:42">
      <c r="A228" s="21">
        <v>44878</v>
      </c>
      <c r="B228" s="17">
        <f>IF(YEAR(Table9[[#This Row],[Date]]) = 2022, WEEKNUM(Table9[[#This Row],[Date]])-13, WEEKNUM(Table9[[#This Row],[Date]])+40)</f>
        <v>34</v>
      </c>
      <c r="C228" s="1" t="s">
        <v>47</v>
      </c>
      <c r="D228" s="1" t="s">
        <v>59</v>
      </c>
      <c r="E228" s="1">
        <v>0</v>
      </c>
      <c r="F228" s="1">
        <v>0</v>
      </c>
      <c r="G228" s="87">
        <v>0</v>
      </c>
      <c r="H228" s="87">
        <v>0</v>
      </c>
      <c r="I228" s="1">
        <v>0</v>
      </c>
      <c r="J228" s="1">
        <v>0</v>
      </c>
      <c r="K228" s="1">
        <v>0</v>
      </c>
      <c r="L228" s="1">
        <v>0</v>
      </c>
      <c r="M228" s="18">
        <v>0</v>
      </c>
      <c r="N228" s="18">
        <v>0</v>
      </c>
      <c r="O228" s="18">
        <v>0</v>
      </c>
      <c r="P228" s="18">
        <v>0</v>
      </c>
      <c r="Q228" s="193"/>
      <c r="R228" s="43">
        <v>0</v>
      </c>
      <c r="S228" s="43">
        <v>0</v>
      </c>
      <c r="T228" s="1">
        <v>0</v>
      </c>
      <c r="U228" s="268" t="str">
        <f t="shared" si="15"/>
        <v>Normal</v>
      </c>
      <c r="V228" s="268" t="str">
        <f t="shared" si="16"/>
        <v>Normal</v>
      </c>
      <c r="W228" s="270">
        <f t="shared" si="17"/>
        <v>0</v>
      </c>
      <c r="X228" s="270">
        <f t="shared" si="18"/>
        <v>0</v>
      </c>
      <c r="Y228" s="249"/>
      <c r="Z228" s="249"/>
      <c r="AA228" s="249"/>
      <c r="AB228" s="249"/>
      <c r="AC228" s="249"/>
      <c r="AD228" s="249"/>
      <c r="AE228" s="249"/>
      <c r="AF228" s="249"/>
      <c r="AG228" s="249"/>
      <c r="AH228" s="249"/>
      <c r="AI228" s="249"/>
      <c r="AJ228" s="249"/>
      <c r="AK228" s="249"/>
      <c r="AL228" s="249"/>
    </row>
    <row r="229" spans="1:42">
      <c r="A229" s="21">
        <v>44879</v>
      </c>
      <c r="B229" s="17">
        <f>IF(YEAR(Table9[[#This Row],[Date]]) = 2022, WEEKNUM(Table9[[#This Row],[Date]])-13, WEEKNUM(Table9[[#This Row],[Date]])+40)</f>
        <v>34</v>
      </c>
      <c r="C229" s="1" t="s">
        <v>48</v>
      </c>
      <c r="D229" s="1" t="s">
        <v>59</v>
      </c>
      <c r="E229" s="1">
        <v>1133</v>
      </c>
      <c r="F229" s="1">
        <v>685</v>
      </c>
      <c r="G229" s="87">
        <v>6.1855670103092786E-2</v>
      </c>
      <c r="H229" s="87">
        <v>-0.11612903225806452</v>
      </c>
      <c r="I229" s="1">
        <v>6604</v>
      </c>
      <c r="J229" s="1">
        <v>4886</v>
      </c>
      <c r="K229" s="1">
        <v>183830</v>
      </c>
      <c r="L229" s="1">
        <v>132267</v>
      </c>
      <c r="M229" s="18">
        <v>0.12</v>
      </c>
      <c r="N229" s="18">
        <v>0.39541041482789052</v>
      </c>
      <c r="O229" s="18">
        <v>0.60458958517210948</v>
      </c>
      <c r="P229" s="18">
        <v>0.95</v>
      </c>
      <c r="Q229" s="193"/>
      <c r="R229" s="43">
        <v>0</v>
      </c>
      <c r="S229" s="43">
        <v>0</v>
      </c>
      <c r="T229" s="1">
        <v>11</v>
      </c>
      <c r="U229" s="268" t="str">
        <f t="shared" si="15"/>
        <v>Normal</v>
      </c>
      <c r="V229" s="268" t="str">
        <f t="shared" si="16"/>
        <v>Normal</v>
      </c>
      <c r="W229" s="270">
        <f t="shared" si="17"/>
        <v>6.1855670103092786E-2</v>
      </c>
      <c r="X229" s="270">
        <f t="shared" si="18"/>
        <v>-0.11612903225806452</v>
      </c>
      <c r="Y229" s="249"/>
      <c r="Z229" s="249"/>
      <c r="AA229" s="249"/>
      <c r="AB229" s="249"/>
      <c r="AC229" s="249"/>
      <c r="AD229" s="249"/>
      <c r="AE229" s="249"/>
      <c r="AF229" s="249"/>
      <c r="AG229" s="249"/>
      <c r="AH229" s="249"/>
      <c r="AI229" s="249"/>
      <c r="AJ229" s="249"/>
      <c r="AK229" s="249"/>
      <c r="AL229" s="249"/>
    </row>
    <row r="230" spans="1:42">
      <c r="A230" s="21">
        <v>44880</v>
      </c>
      <c r="B230" s="17">
        <f>IF(YEAR(Table9[[#This Row],[Date]]) = 2022, WEEKNUM(Table9[[#This Row],[Date]])-13, WEEKNUM(Table9[[#This Row],[Date]])+40)</f>
        <v>34</v>
      </c>
      <c r="C230" s="1" t="s">
        <v>49</v>
      </c>
      <c r="D230" s="1" t="s">
        <v>59</v>
      </c>
      <c r="E230" s="1">
        <v>1008</v>
      </c>
      <c r="F230" s="1">
        <v>771</v>
      </c>
      <c r="G230" s="87">
        <v>-1.3698630136986301E-2</v>
      </c>
      <c r="H230" s="87">
        <v>0.10616929698708752</v>
      </c>
      <c r="I230" s="1">
        <v>7612</v>
      </c>
      <c r="J230" s="1">
        <v>5657</v>
      </c>
      <c r="K230" s="1">
        <v>184838</v>
      </c>
      <c r="L230" s="1">
        <v>133038</v>
      </c>
      <c r="M230" s="18">
        <v>0.44</v>
      </c>
      <c r="N230" s="18">
        <v>0.23511904761904767</v>
      </c>
      <c r="O230" s="18">
        <v>0.76488095238095233</v>
      </c>
      <c r="P230" s="18">
        <v>0.72</v>
      </c>
      <c r="Q230" s="193"/>
      <c r="R230" s="43">
        <v>0</v>
      </c>
      <c r="S230" s="43">
        <v>0</v>
      </c>
      <c r="T230" s="1">
        <v>13</v>
      </c>
      <c r="U230" s="268" t="str">
        <f t="shared" si="15"/>
        <v>Normal</v>
      </c>
      <c r="V230" s="268" t="str">
        <f t="shared" si="16"/>
        <v>Normal</v>
      </c>
      <c r="W230" s="270">
        <f t="shared" si="17"/>
        <v>-1.3698630136986301E-2</v>
      </c>
      <c r="X230" s="270">
        <f t="shared" si="18"/>
        <v>0.10616929698708752</v>
      </c>
      <c r="Y230" s="249"/>
      <c r="Z230" s="249"/>
      <c r="AA230" s="249"/>
      <c r="AB230" s="249"/>
      <c r="AC230" s="249"/>
      <c r="AD230" s="249"/>
      <c r="AE230" s="249"/>
      <c r="AF230" s="249"/>
      <c r="AG230" s="249"/>
      <c r="AH230" s="249"/>
      <c r="AI230" s="249"/>
      <c r="AJ230" s="249"/>
      <c r="AK230" s="249"/>
      <c r="AL230" s="249"/>
    </row>
    <row r="231" spans="1:42">
      <c r="A231" s="21">
        <v>44881</v>
      </c>
      <c r="B231" s="17">
        <f>IF(YEAR(Table9[[#This Row],[Date]]) = 2022, WEEKNUM(Table9[[#This Row],[Date]])-13, WEEKNUM(Table9[[#This Row],[Date]])+40)</f>
        <v>34</v>
      </c>
      <c r="C231" s="1" t="s">
        <v>50</v>
      </c>
      <c r="D231" s="1" t="s">
        <v>59</v>
      </c>
      <c r="E231" s="1">
        <v>1045</v>
      </c>
      <c r="F231" s="1">
        <v>806</v>
      </c>
      <c r="G231" s="87">
        <v>0.22222222222222221</v>
      </c>
      <c r="H231" s="87">
        <v>0.14164305949008499</v>
      </c>
      <c r="I231" s="1">
        <v>8657</v>
      </c>
      <c r="J231" s="1">
        <v>6463</v>
      </c>
      <c r="K231" s="1">
        <v>185883</v>
      </c>
      <c r="L231" s="1">
        <v>133844</v>
      </c>
      <c r="M231" s="18">
        <v>0.36</v>
      </c>
      <c r="N231" s="18">
        <v>0.22870813397129186</v>
      </c>
      <c r="O231" s="18">
        <v>0.77129186602870814</v>
      </c>
      <c r="P231" s="18">
        <v>0.74</v>
      </c>
      <c r="Q231" s="193"/>
      <c r="R231" s="43">
        <v>0</v>
      </c>
      <c r="S231" s="43">
        <v>0</v>
      </c>
      <c r="T231" s="1">
        <v>13</v>
      </c>
      <c r="U231" s="268" t="str">
        <f t="shared" si="15"/>
        <v>Normal</v>
      </c>
      <c r="V231" s="268" t="str">
        <f t="shared" si="16"/>
        <v>Normal</v>
      </c>
      <c r="W231" s="270">
        <f t="shared" si="17"/>
        <v>0.22222222222222221</v>
      </c>
      <c r="X231" s="270">
        <f t="shared" si="18"/>
        <v>0.14164305949008499</v>
      </c>
      <c r="Y231" s="249"/>
      <c r="Z231" s="249"/>
      <c r="AA231" s="249"/>
      <c r="AB231" s="249"/>
      <c r="AC231" s="249"/>
      <c r="AD231" s="249"/>
      <c r="AE231" s="249"/>
      <c r="AF231" s="249"/>
      <c r="AG231" s="249"/>
      <c r="AH231" s="249"/>
      <c r="AI231" s="249"/>
      <c r="AJ231" s="249"/>
      <c r="AK231" s="249"/>
      <c r="AL231" s="249"/>
    </row>
    <row r="232" spans="1:42">
      <c r="A232" s="21">
        <v>44882</v>
      </c>
      <c r="B232" s="17">
        <f>IF(YEAR(Table9[[#This Row],[Date]]) = 2022, WEEKNUM(Table9[[#This Row],[Date]])-13, WEEKNUM(Table9[[#This Row],[Date]])+40)</f>
        <v>34</v>
      </c>
      <c r="C232" s="1" t="s">
        <v>51</v>
      </c>
      <c r="D232" s="1" t="s">
        <v>59</v>
      </c>
      <c r="E232" s="1">
        <v>910</v>
      </c>
      <c r="F232" s="1">
        <v>834</v>
      </c>
      <c r="G232" s="87">
        <v>9.6385542168674704E-2</v>
      </c>
      <c r="H232" s="87">
        <v>0.11646586345381527</v>
      </c>
      <c r="I232" s="1">
        <v>9567</v>
      </c>
      <c r="J232" s="1">
        <v>7297</v>
      </c>
      <c r="K232" s="1">
        <v>186793</v>
      </c>
      <c r="L232" s="1">
        <v>134678</v>
      </c>
      <c r="M232" s="18">
        <v>0.73</v>
      </c>
      <c r="N232" s="18">
        <v>8.3516483516483553E-2</v>
      </c>
      <c r="O232" s="18">
        <v>0.91648351648351645</v>
      </c>
      <c r="P232" s="18">
        <v>0.7</v>
      </c>
      <c r="Q232" s="193"/>
      <c r="R232" s="43">
        <v>0</v>
      </c>
      <c r="S232" s="43">
        <v>0</v>
      </c>
      <c r="T232" s="1">
        <v>12</v>
      </c>
      <c r="U232" s="268" t="str">
        <f t="shared" si="15"/>
        <v>Normal</v>
      </c>
      <c r="V232" s="268" t="str">
        <f t="shared" si="16"/>
        <v>Normal</v>
      </c>
      <c r="W232" s="270">
        <f t="shared" si="17"/>
        <v>9.6385542168674704E-2</v>
      </c>
      <c r="X232" s="270">
        <f t="shared" si="18"/>
        <v>0.11646586345381527</v>
      </c>
      <c r="Y232" s="249"/>
      <c r="Z232" s="249"/>
      <c r="AA232" s="249"/>
      <c r="AB232" s="249"/>
      <c r="AC232" s="249"/>
      <c r="AD232" s="249"/>
      <c r="AE232" s="249"/>
      <c r="AF232" s="249"/>
      <c r="AG232" s="249"/>
      <c r="AH232" s="249"/>
      <c r="AI232" s="249"/>
      <c r="AJ232" s="249"/>
      <c r="AK232" s="249"/>
      <c r="AL232" s="249"/>
    </row>
    <row r="233" spans="1:42">
      <c r="A233" s="21">
        <v>44883</v>
      </c>
      <c r="B233" s="17">
        <f>IF(YEAR(Table9[[#This Row],[Date]]) = 2022, WEEKNUM(Table9[[#This Row],[Date]])-13, WEEKNUM(Table9[[#This Row],[Date]])+40)</f>
        <v>34</v>
      </c>
      <c r="C233" s="1" t="s">
        <v>52</v>
      </c>
      <c r="D233" s="1" t="s">
        <v>59</v>
      </c>
      <c r="E233" s="1">
        <v>969</v>
      </c>
      <c r="F233" s="1">
        <v>862</v>
      </c>
      <c r="G233" s="87">
        <v>6.6006600660066E-2</v>
      </c>
      <c r="H233" s="87">
        <v>0.33850931677018631</v>
      </c>
      <c r="I233" s="1">
        <v>10536</v>
      </c>
      <c r="J233" s="1">
        <v>8159</v>
      </c>
      <c r="K233" s="1">
        <v>187762</v>
      </c>
      <c r="L233" s="1">
        <v>135540</v>
      </c>
      <c r="M233" s="18">
        <v>0.69</v>
      </c>
      <c r="N233" s="18">
        <v>0.1104231166150671</v>
      </c>
      <c r="O233" s="18">
        <v>0.8895768833849329</v>
      </c>
      <c r="P233" s="18">
        <v>0.6</v>
      </c>
      <c r="Q233" s="193"/>
      <c r="R233" s="43">
        <v>0</v>
      </c>
      <c r="S233" s="43">
        <v>0</v>
      </c>
      <c r="T233" s="1">
        <v>15</v>
      </c>
      <c r="U233" s="268" t="str">
        <f t="shared" si="15"/>
        <v>Normal</v>
      </c>
      <c r="V233" s="268" t="str">
        <f t="shared" si="16"/>
        <v>Normal</v>
      </c>
      <c r="W233" s="270">
        <f t="shared" si="17"/>
        <v>6.6006600660066E-2</v>
      </c>
      <c r="X233" s="270">
        <f t="shared" si="18"/>
        <v>0.33850931677018631</v>
      </c>
      <c r="Y233" s="249"/>
      <c r="Z233" s="249"/>
      <c r="AA233" s="249"/>
      <c r="AB233" s="249"/>
      <c r="AC233" s="249"/>
      <c r="AD233" s="249"/>
      <c r="AE233" s="249"/>
      <c r="AF233" s="249"/>
      <c r="AG233" s="249"/>
      <c r="AH233" s="249"/>
      <c r="AI233" s="249"/>
      <c r="AJ233" s="249"/>
      <c r="AK233" s="249"/>
      <c r="AL233" s="249"/>
    </row>
    <row r="234" spans="1:42">
      <c r="A234" s="21">
        <v>44884</v>
      </c>
      <c r="B234" s="17">
        <f>IF(YEAR(Table9[[#This Row],[Date]]) = 2022, WEEKNUM(Table9[[#This Row],[Date]])-13, WEEKNUM(Table9[[#This Row],[Date]])+40)</f>
        <v>34</v>
      </c>
      <c r="C234" s="1" t="s">
        <v>53</v>
      </c>
      <c r="D234" s="1" t="s">
        <v>59</v>
      </c>
      <c r="E234" s="1">
        <v>777</v>
      </c>
      <c r="F234" s="1">
        <v>714</v>
      </c>
      <c r="G234" s="87">
        <v>-1.3959390862944163E-2</v>
      </c>
      <c r="H234" s="87">
        <v>0.12974683544303797</v>
      </c>
      <c r="I234" s="1">
        <v>11313</v>
      </c>
      <c r="J234" s="1">
        <v>8873</v>
      </c>
      <c r="K234" s="1">
        <v>188539</v>
      </c>
      <c r="L234" s="1">
        <v>136254</v>
      </c>
      <c r="M234" s="18">
        <v>0.74</v>
      </c>
      <c r="N234" s="18">
        <v>8.108108108108103E-2</v>
      </c>
      <c r="O234" s="18">
        <v>0.91891891891891897</v>
      </c>
      <c r="P234" s="18">
        <v>0.48</v>
      </c>
      <c r="Q234" s="193"/>
      <c r="R234" s="43">
        <v>0</v>
      </c>
      <c r="S234" s="43">
        <v>0</v>
      </c>
      <c r="T234" s="1">
        <v>15</v>
      </c>
      <c r="U234" s="268" t="str">
        <f t="shared" si="15"/>
        <v>Normal</v>
      </c>
      <c r="V234" s="268" t="str">
        <f t="shared" si="16"/>
        <v>Normal</v>
      </c>
      <c r="W234" s="270">
        <f t="shared" si="17"/>
        <v>-1.3959390862944163E-2</v>
      </c>
      <c r="X234" s="270">
        <f t="shared" si="18"/>
        <v>0.12974683544303797</v>
      </c>
      <c r="Y234" s="249"/>
      <c r="Z234" s="249"/>
      <c r="AA234" s="249"/>
      <c r="AB234" s="249"/>
      <c r="AC234" s="249"/>
      <c r="AD234" s="249"/>
      <c r="AE234" s="249"/>
      <c r="AF234" s="249"/>
      <c r="AG234" s="249"/>
      <c r="AH234" s="249"/>
      <c r="AI234" s="249"/>
      <c r="AJ234" s="249"/>
      <c r="AK234" s="249"/>
      <c r="AL234" s="249"/>
    </row>
    <row r="235" spans="1:42">
      <c r="A235" s="21">
        <v>44885</v>
      </c>
      <c r="B235" s="17">
        <f>IF(YEAR(Table9[[#This Row],[Date]]) = 2022, WEEKNUM(Table9[[#This Row],[Date]])-13, WEEKNUM(Table9[[#This Row],[Date]])+40)</f>
        <v>35</v>
      </c>
      <c r="C235" s="1" t="s">
        <v>47</v>
      </c>
      <c r="D235" s="1" t="s">
        <v>59</v>
      </c>
      <c r="E235" s="1">
        <v>0</v>
      </c>
      <c r="F235" s="1">
        <v>0</v>
      </c>
      <c r="G235" s="19">
        <v>0</v>
      </c>
      <c r="H235" s="19">
        <v>0</v>
      </c>
      <c r="I235" s="1">
        <v>0</v>
      </c>
      <c r="J235" s="1">
        <v>0</v>
      </c>
      <c r="K235" s="1">
        <v>0</v>
      </c>
      <c r="L235" s="1">
        <v>0</v>
      </c>
      <c r="M235" s="18">
        <v>0</v>
      </c>
      <c r="N235" s="18">
        <v>0</v>
      </c>
      <c r="O235" s="18">
        <v>0</v>
      </c>
      <c r="P235" s="18">
        <v>0</v>
      </c>
      <c r="Q235" s="193"/>
      <c r="R235" s="43">
        <v>0</v>
      </c>
      <c r="S235" s="43">
        <v>0</v>
      </c>
      <c r="T235" s="1">
        <v>0</v>
      </c>
      <c r="U235" s="268" t="str">
        <f t="shared" si="15"/>
        <v>Normal</v>
      </c>
      <c r="V235" s="268" t="str">
        <f t="shared" si="16"/>
        <v>Normal</v>
      </c>
      <c r="W235" s="270">
        <f t="shared" si="17"/>
        <v>0</v>
      </c>
      <c r="X235" s="270">
        <f t="shared" si="18"/>
        <v>0</v>
      </c>
      <c r="Y235" s="249"/>
      <c r="Z235" s="249"/>
      <c r="AA235" s="249"/>
      <c r="AB235" s="249"/>
      <c r="AC235" s="249"/>
      <c r="AD235" s="249"/>
      <c r="AE235" s="249"/>
      <c r="AF235" s="249"/>
      <c r="AG235" s="249"/>
      <c r="AH235" s="249"/>
      <c r="AI235" s="249"/>
      <c r="AJ235" s="249"/>
      <c r="AK235" s="249"/>
      <c r="AL235" s="249"/>
    </row>
    <row r="236" spans="1:42">
      <c r="A236" s="21">
        <v>44886</v>
      </c>
      <c r="B236" s="17">
        <f>IF(YEAR(Table9[[#This Row],[Date]]) = 2022, WEEKNUM(Table9[[#This Row],[Date]])-13, WEEKNUM(Table9[[#This Row],[Date]])+40)</f>
        <v>35</v>
      </c>
      <c r="C236" s="1" t="s">
        <v>48</v>
      </c>
      <c r="D236" s="1" t="s">
        <v>59</v>
      </c>
      <c r="E236" s="1">
        <v>1094</v>
      </c>
      <c r="F236" s="1">
        <v>1013</v>
      </c>
      <c r="G236" s="87">
        <v>-3.442188879082083E-2</v>
      </c>
      <c r="H236" s="87">
        <v>0.47883211678832116</v>
      </c>
      <c r="I236" s="1">
        <v>12407</v>
      </c>
      <c r="J236" s="1">
        <v>9886</v>
      </c>
      <c r="K236" s="1">
        <v>189633</v>
      </c>
      <c r="L236" s="1">
        <v>137267</v>
      </c>
      <c r="M236" s="18">
        <v>0.72</v>
      </c>
      <c r="N236" s="18">
        <v>7.0000000000000007E-2</v>
      </c>
      <c r="O236" s="18">
        <v>0.93</v>
      </c>
      <c r="P236" s="18">
        <v>0.68</v>
      </c>
      <c r="Q236" s="193"/>
      <c r="R236" s="43">
        <v>0</v>
      </c>
      <c r="S236" s="43">
        <v>0</v>
      </c>
      <c r="T236" s="1">
        <v>15</v>
      </c>
      <c r="U236" s="268" t="str">
        <f t="shared" si="15"/>
        <v>Normal</v>
      </c>
      <c r="V236" s="268" t="str">
        <f t="shared" si="16"/>
        <v>Outlier</v>
      </c>
      <c r="W236" s="270">
        <f t="shared" si="17"/>
        <v>-3.442188879082083E-2</v>
      </c>
      <c r="X236" s="270">
        <f t="shared" si="18"/>
        <v>0.47883211678832116</v>
      </c>
      <c r="Y236" s="249"/>
      <c r="Z236" s="249"/>
      <c r="AA236" s="249"/>
      <c r="AB236" s="249"/>
      <c r="AC236" s="249"/>
      <c r="AD236" s="249"/>
      <c r="AE236" s="249"/>
      <c r="AF236" s="249"/>
      <c r="AG236" s="249"/>
      <c r="AH236" s="249"/>
      <c r="AI236" s="249"/>
      <c r="AJ236" s="249"/>
      <c r="AK236" s="249"/>
      <c r="AL236" s="249"/>
    </row>
    <row r="237" spans="1:42">
      <c r="A237" s="21">
        <v>44887</v>
      </c>
      <c r="B237" s="17">
        <f>IF(YEAR(Table9[[#This Row],[Date]]) = 2022, WEEKNUM(Table9[[#This Row],[Date]])-13, WEEKNUM(Table9[[#This Row],[Date]])+40)</f>
        <v>35</v>
      </c>
      <c r="C237" s="1" t="s">
        <v>49</v>
      </c>
      <c r="D237" s="1" t="s">
        <v>59</v>
      </c>
      <c r="E237" s="1">
        <v>1007</v>
      </c>
      <c r="F237" s="1">
        <v>982</v>
      </c>
      <c r="G237" s="87">
        <v>-9.9206349206349201E-4</v>
      </c>
      <c r="H237" s="87">
        <v>0.27367055771725035</v>
      </c>
      <c r="I237" s="1">
        <v>13414</v>
      </c>
      <c r="J237" s="1">
        <v>10868</v>
      </c>
      <c r="K237" s="1">
        <v>190640</v>
      </c>
      <c r="L237" s="1">
        <v>138249</v>
      </c>
      <c r="M237" s="18">
        <v>0.91</v>
      </c>
      <c r="N237" s="18">
        <v>0.02</v>
      </c>
      <c r="O237" s="18">
        <v>0.98</v>
      </c>
      <c r="P237" s="18">
        <v>0.62</v>
      </c>
      <c r="Q237" s="193"/>
      <c r="R237" s="43">
        <v>0</v>
      </c>
      <c r="S237" s="43">
        <v>0</v>
      </c>
      <c r="T237" s="1">
        <v>15</v>
      </c>
      <c r="U237" s="268" t="str">
        <f t="shared" si="15"/>
        <v>Normal</v>
      </c>
      <c r="V237" s="268" t="str">
        <f t="shared" si="16"/>
        <v>Normal</v>
      </c>
      <c r="W237" s="270">
        <f t="shared" si="17"/>
        <v>-9.9206349206349201E-4</v>
      </c>
      <c r="X237" s="270">
        <f t="shared" si="18"/>
        <v>0.27367055771725035</v>
      </c>
      <c r="Y237" s="249"/>
      <c r="Z237" s="249"/>
      <c r="AA237" s="249"/>
      <c r="AB237" s="249"/>
      <c r="AC237" s="249"/>
      <c r="AD237" s="249"/>
      <c r="AE237" s="249"/>
      <c r="AF237" s="249"/>
      <c r="AG237" s="249"/>
      <c r="AH237" s="249"/>
      <c r="AI237" s="249"/>
      <c r="AJ237" s="249"/>
      <c r="AK237" s="249"/>
      <c r="AL237" s="249"/>
      <c r="AN237" s="50"/>
      <c r="AO237" s="50"/>
      <c r="AP237" s="50"/>
    </row>
    <row r="238" spans="1:42">
      <c r="A238" s="21">
        <v>44888</v>
      </c>
      <c r="B238" s="17">
        <f>IF(YEAR(Table9[[#This Row],[Date]]) = 2022, WEEKNUM(Table9[[#This Row],[Date]])-13, WEEKNUM(Table9[[#This Row],[Date]])+40)</f>
        <v>35</v>
      </c>
      <c r="C238" s="1" t="s">
        <v>50</v>
      </c>
      <c r="D238" s="1" t="s">
        <v>59</v>
      </c>
      <c r="E238" s="1">
        <v>1054</v>
      </c>
      <c r="F238" s="1">
        <v>928</v>
      </c>
      <c r="G238" s="87">
        <v>8.6124401913875593E-3</v>
      </c>
      <c r="H238" s="87">
        <v>0.15136476426799009</v>
      </c>
      <c r="I238" s="1">
        <v>14468</v>
      </c>
      <c r="J238" s="1">
        <v>11796</v>
      </c>
      <c r="K238" s="1">
        <v>191694</v>
      </c>
      <c r="L238" s="1">
        <v>139177</v>
      </c>
      <c r="M238" s="18">
        <v>0.63</v>
      </c>
      <c r="N238" s="18">
        <v>0.12</v>
      </c>
      <c r="O238" s="18">
        <v>0.88</v>
      </c>
      <c r="P238" s="18">
        <v>0.75</v>
      </c>
      <c r="Q238" s="193"/>
      <c r="R238" s="43">
        <v>0</v>
      </c>
      <c r="S238" s="43">
        <v>0</v>
      </c>
      <c r="T238" s="1">
        <v>15</v>
      </c>
      <c r="U238" s="268" t="str">
        <f t="shared" si="15"/>
        <v>Normal</v>
      </c>
      <c r="V238" s="268" t="str">
        <f t="shared" si="16"/>
        <v>Normal</v>
      </c>
      <c r="W238" s="270">
        <f t="shared" si="17"/>
        <v>8.6124401913875593E-3</v>
      </c>
      <c r="X238" s="270">
        <f t="shared" si="18"/>
        <v>0.15136476426799009</v>
      </c>
      <c r="Y238" s="249"/>
      <c r="Z238" s="249"/>
      <c r="AA238" s="249"/>
      <c r="AB238" s="249"/>
      <c r="AC238" s="249"/>
      <c r="AD238" s="249"/>
      <c r="AE238" s="249"/>
      <c r="AF238" s="249"/>
      <c r="AG238" s="249"/>
      <c r="AH238" s="249"/>
      <c r="AI238" s="249"/>
      <c r="AJ238" s="249"/>
      <c r="AK238" s="249"/>
      <c r="AL238" s="249"/>
    </row>
    <row r="239" spans="1:42">
      <c r="A239" s="21">
        <v>44889</v>
      </c>
      <c r="B239" s="17">
        <f>IF(YEAR(Table9[[#This Row],[Date]]) = 2022, WEEKNUM(Table9[[#This Row],[Date]])-13, WEEKNUM(Table9[[#This Row],[Date]])+40)</f>
        <v>35</v>
      </c>
      <c r="C239" s="1" t="s">
        <v>51</v>
      </c>
      <c r="D239" s="1" t="s">
        <v>59</v>
      </c>
      <c r="E239" s="1">
        <v>1085</v>
      </c>
      <c r="F239" s="1">
        <v>769</v>
      </c>
      <c r="G239" s="87">
        <v>0.19230769230769232</v>
      </c>
      <c r="H239" s="87">
        <v>-7.7937649880095924E-2</v>
      </c>
      <c r="I239" s="1">
        <v>15553</v>
      </c>
      <c r="J239" s="1">
        <v>12565</v>
      </c>
      <c r="K239" s="1">
        <v>192779</v>
      </c>
      <c r="L239" s="1">
        <v>139946</v>
      </c>
      <c r="M239" s="18">
        <v>0.27</v>
      </c>
      <c r="N239" s="18">
        <v>0.28999999999999998</v>
      </c>
      <c r="O239" s="18">
        <v>0.71</v>
      </c>
      <c r="P239" s="18">
        <v>0.84</v>
      </c>
      <c r="Q239" s="193"/>
      <c r="R239" s="43">
        <v>0</v>
      </c>
      <c r="S239" s="43">
        <v>0</v>
      </c>
      <c r="T239" s="1">
        <v>12</v>
      </c>
      <c r="U239" s="268" t="str">
        <f t="shared" si="15"/>
        <v>Normal</v>
      </c>
      <c r="V239" s="268" t="str">
        <f t="shared" si="16"/>
        <v>Normal</v>
      </c>
      <c r="W239" s="270">
        <f t="shared" si="17"/>
        <v>0.19230769230769232</v>
      </c>
      <c r="X239" s="270">
        <f t="shared" si="18"/>
        <v>-7.7937649880095924E-2</v>
      </c>
      <c r="Y239" s="249"/>
      <c r="Z239" s="249"/>
      <c r="AA239" s="249"/>
      <c r="AB239" s="249"/>
      <c r="AC239" s="249"/>
      <c r="AD239" s="249"/>
      <c r="AE239" s="249"/>
      <c r="AF239" s="249"/>
      <c r="AG239" s="249"/>
      <c r="AH239" s="249"/>
      <c r="AI239" s="249"/>
      <c r="AJ239" s="249"/>
      <c r="AK239" s="249"/>
      <c r="AL239" s="249"/>
    </row>
    <row r="240" spans="1:42">
      <c r="A240" s="21">
        <v>44890</v>
      </c>
      <c r="B240" s="17">
        <f>IF(YEAR(Table9[[#This Row],[Date]]) = 2022, WEEKNUM(Table9[[#This Row],[Date]])-13, WEEKNUM(Table9[[#This Row],[Date]])+40)</f>
        <v>35</v>
      </c>
      <c r="C240" s="1" t="s">
        <v>52</v>
      </c>
      <c r="D240" s="1" t="s">
        <v>59</v>
      </c>
      <c r="E240" s="1">
        <v>1294</v>
      </c>
      <c r="F240" s="1">
        <v>1106</v>
      </c>
      <c r="G240" s="87">
        <v>0.33539731682146545</v>
      </c>
      <c r="H240" s="87">
        <v>0.28306264501160094</v>
      </c>
      <c r="I240" s="1">
        <v>16847</v>
      </c>
      <c r="J240" s="1">
        <v>13671</v>
      </c>
      <c r="K240" s="1">
        <v>194073</v>
      </c>
      <c r="L240" s="1">
        <v>141052</v>
      </c>
      <c r="M240" s="18">
        <v>0.52</v>
      </c>
      <c r="N240" s="18">
        <v>0.15</v>
      </c>
      <c r="O240" s="18">
        <v>0.85</v>
      </c>
      <c r="P240" s="18">
        <v>0.8</v>
      </c>
      <c r="Q240" s="193"/>
      <c r="R240" s="43">
        <v>0</v>
      </c>
      <c r="S240" s="43">
        <v>0</v>
      </c>
      <c r="T240" s="1">
        <v>15</v>
      </c>
      <c r="U240" s="268" t="str">
        <f t="shared" si="15"/>
        <v>Outlier</v>
      </c>
      <c r="V240" s="268" t="str">
        <f t="shared" si="16"/>
        <v>Normal</v>
      </c>
      <c r="W240" s="270">
        <f t="shared" si="17"/>
        <v>0.33539731682146545</v>
      </c>
      <c r="X240" s="270">
        <f t="shared" si="18"/>
        <v>0.28306264501160094</v>
      </c>
      <c r="Y240" s="249"/>
      <c r="Z240" s="249"/>
      <c r="AA240" s="249"/>
      <c r="AB240" s="249"/>
      <c r="AC240" s="249"/>
      <c r="AD240" s="249"/>
      <c r="AE240" s="249"/>
      <c r="AF240" s="249"/>
      <c r="AG240" s="249"/>
      <c r="AH240" s="249"/>
      <c r="AI240" s="249"/>
      <c r="AJ240" s="249"/>
      <c r="AK240" s="249"/>
      <c r="AL240" s="249"/>
    </row>
    <row r="241" spans="1:42">
      <c r="A241" s="21">
        <v>44891</v>
      </c>
      <c r="B241" s="17">
        <f>IF(YEAR(Table9[[#This Row],[Date]]) = 2022, WEEKNUM(Table9[[#This Row],[Date]])-13, WEEKNUM(Table9[[#This Row],[Date]])+40)</f>
        <v>35</v>
      </c>
      <c r="C241" s="1" t="s">
        <v>53</v>
      </c>
      <c r="D241" s="1" t="s">
        <v>59</v>
      </c>
      <c r="E241" s="1">
        <v>1099</v>
      </c>
      <c r="F241" s="1">
        <v>758</v>
      </c>
      <c r="G241" s="87">
        <v>0.4144144144144144</v>
      </c>
      <c r="H241" s="87">
        <v>6.1624649859943981E-2</v>
      </c>
      <c r="I241" s="1">
        <v>17946</v>
      </c>
      <c r="J241" s="1">
        <v>14429</v>
      </c>
      <c r="K241" s="1">
        <v>195172</v>
      </c>
      <c r="L241" s="1">
        <v>141810</v>
      </c>
      <c r="M241" s="18">
        <v>0.15</v>
      </c>
      <c r="N241" s="18">
        <v>0.31</v>
      </c>
      <c r="O241" s="18">
        <v>0.69</v>
      </c>
      <c r="P241" s="18">
        <v>0.93</v>
      </c>
      <c r="Q241" s="193"/>
      <c r="R241" s="43">
        <v>0</v>
      </c>
      <c r="S241" s="43">
        <v>0</v>
      </c>
      <c r="T241" s="1">
        <v>11</v>
      </c>
      <c r="U241" s="268" t="str">
        <f t="shared" si="15"/>
        <v>Outlier</v>
      </c>
      <c r="V241" s="268" t="str">
        <f t="shared" si="16"/>
        <v>Normal</v>
      </c>
      <c r="W241" s="270">
        <f t="shared" si="17"/>
        <v>0.4144144144144144</v>
      </c>
      <c r="X241" s="270">
        <f t="shared" si="18"/>
        <v>6.1624649859943981E-2</v>
      </c>
      <c r="Y241" s="249"/>
      <c r="Z241" s="249"/>
      <c r="AA241" s="249"/>
      <c r="AB241" s="249"/>
      <c r="AC241" s="249"/>
      <c r="AD241" s="249"/>
      <c r="AE241" s="249"/>
      <c r="AF241" s="249"/>
      <c r="AG241" s="249"/>
      <c r="AH241" s="249"/>
      <c r="AI241" s="249"/>
      <c r="AJ241" s="249"/>
      <c r="AK241" s="249"/>
      <c r="AL241" s="249"/>
    </row>
    <row r="242" spans="1:42">
      <c r="A242" s="21">
        <v>44892</v>
      </c>
      <c r="B242" s="17">
        <f>IF(YEAR(Table9[[#This Row],[Date]]) = 2022, WEEKNUM(Table9[[#This Row],[Date]])-13, WEEKNUM(Table9[[#This Row],[Date]])+40)</f>
        <v>36</v>
      </c>
      <c r="C242" s="1" t="s">
        <v>47</v>
      </c>
      <c r="D242" s="1" t="s">
        <v>59</v>
      </c>
      <c r="E242" s="1">
        <v>272</v>
      </c>
      <c r="F242" s="1">
        <v>208</v>
      </c>
      <c r="G242" s="87">
        <v>0</v>
      </c>
      <c r="H242" s="87">
        <v>0</v>
      </c>
      <c r="I242" s="1">
        <v>18218</v>
      </c>
      <c r="J242" s="1">
        <v>14637</v>
      </c>
      <c r="K242" s="1">
        <v>195444</v>
      </c>
      <c r="L242" s="1">
        <v>142018</v>
      </c>
      <c r="M242" s="18">
        <v>0.47</v>
      </c>
      <c r="N242" s="18">
        <v>0.24</v>
      </c>
      <c r="O242" s="18">
        <v>0.76</v>
      </c>
      <c r="P242" s="18">
        <v>0.42</v>
      </c>
      <c r="Q242" s="193"/>
      <c r="R242" s="43">
        <v>0</v>
      </c>
      <c r="S242" s="43">
        <v>0</v>
      </c>
      <c r="T242" s="1">
        <v>6</v>
      </c>
      <c r="U242" s="268" t="str">
        <f t="shared" si="15"/>
        <v>Normal</v>
      </c>
      <c r="V242" s="268" t="str">
        <f t="shared" si="16"/>
        <v>Normal</v>
      </c>
      <c r="W242" s="270">
        <f t="shared" si="17"/>
        <v>0</v>
      </c>
      <c r="X242" s="270">
        <f t="shared" si="18"/>
        <v>0</v>
      </c>
      <c r="Y242" s="249"/>
      <c r="Z242" s="249"/>
      <c r="AA242" s="249"/>
      <c r="AB242" s="249"/>
      <c r="AC242" s="249"/>
      <c r="AD242" s="249"/>
      <c r="AE242" s="249"/>
      <c r="AF242" s="249"/>
      <c r="AG242" s="249"/>
      <c r="AH242" s="249"/>
      <c r="AI242" s="249"/>
      <c r="AJ242" s="249"/>
      <c r="AK242" s="249"/>
      <c r="AL242" s="249"/>
    </row>
    <row r="243" spans="1:42">
      <c r="A243" s="21">
        <v>44893</v>
      </c>
      <c r="B243" s="17">
        <f>IF(YEAR(Table9[[#This Row],[Date]]) = 2022, WEEKNUM(Table9[[#This Row],[Date]])-13, WEEKNUM(Table9[[#This Row],[Date]])+40)</f>
        <v>36</v>
      </c>
      <c r="C243" s="1" t="s">
        <v>48</v>
      </c>
      <c r="D243" s="1" t="s">
        <v>59</v>
      </c>
      <c r="E243" s="1">
        <v>1812</v>
      </c>
      <c r="F243" s="1">
        <v>995</v>
      </c>
      <c r="G243" s="87">
        <v>0.65630712979890315</v>
      </c>
      <c r="H243" s="87">
        <v>-1.7769002961500493E-2</v>
      </c>
      <c r="I243" s="1">
        <v>20030</v>
      </c>
      <c r="J243" s="1">
        <v>15632</v>
      </c>
      <c r="K243" s="1">
        <v>197256</v>
      </c>
      <c r="L243" s="1">
        <v>143013</v>
      </c>
      <c r="M243" s="18">
        <v>0.05</v>
      </c>
      <c r="N243" s="18">
        <v>0.45</v>
      </c>
      <c r="O243" s="18">
        <v>0.55000000000000004</v>
      </c>
      <c r="P243" s="18">
        <v>1.2</v>
      </c>
      <c r="Q243" s="193"/>
      <c r="R243" s="43">
        <v>0</v>
      </c>
      <c r="S243" s="43">
        <v>0</v>
      </c>
      <c r="T243" s="1">
        <v>14</v>
      </c>
      <c r="U243" s="268" t="str">
        <f t="shared" si="15"/>
        <v>Outlier</v>
      </c>
      <c r="V243" s="268" t="str">
        <f t="shared" si="16"/>
        <v>Normal</v>
      </c>
      <c r="W243" s="270">
        <f t="shared" si="17"/>
        <v>0.65630712979890315</v>
      </c>
      <c r="X243" s="270">
        <f t="shared" si="18"/>
        <v>-1.7769002961500493E-2</v>
      </c>
      <c r="Y243" s="249"/>
      <c r="Z243" s="249"/>
      <c r="AA243" s="249"/>
      <c r="AB243" s="249"/>
      <c r="AC243" s="249"/>
      <c r="AD243" s="249"/>
      <c r="AE243" s="249"/>
      <c r="AF243" s="249"/>
      <c r="AG243" s="249"/>
      <c r="AH243" s="249"/>
      <c r="AI243" s="249"/>
      <c r="AJ243" s="249"/>
      <c r="AK243" s="249"/>
      <c r="AL243" s="249"/>
    </row>
    <row r="244" spans="1:42">
      <c r="A244" s="21">
        <v>44894</v>
      </c>
      <c r="B244" s="17">
        <f>IF(YEAR(Table9[[#This Row],[Date]]) = 2022, WEEKNUM(Table9[[#This Row],[Date]])-13, WEEKNUM(Table9[[#This Row],[Date]])+40)</f>
        <v>36</v>
      </c>
      <c r="C244" s="1" t="s">
        <v>49</v>
      </c>
      <c r="D244" s="1" t="s">
        <v>59</v>
      </c>
      <c r="E244" s="1">
        <v>1656</v>
      </c>
      <c r="F244" s="1">
        <v>1042</v>
      </c>
      <c r="G244" s="87">
        <v>0.64448857994041708</v>
      </c>
      <c r="H244" s="87">
        <v>6.1099796334012219E-2</v>
      </c>
      <c r="I244" s="1">
        <v>21686</v>
      </c>
      <c r="J244" s="1">
        <v>16674</v>
      </c>
      <c r="K244" s="1">
        <v>198912</v>
      </c>
      <c r="L244" s="1">
        <v>144055</v>
      </c>
      <c r="M244" s="18">
        <v>0.09</v>
      </c>
      <c r="N244" s="18">
        <v>0.37</v>
      </c>
      <c r="O244" s="18">
        <v>0.63</v>
      </c>
      <c r="P244" s="18">
        <v>0.96</v>
      </c>
      <c r="Q244" s="193"/>
      <c r="R244" s="43">
        <v>0</v>
      </c>
      <c r="S244" s="43">
        <v>0</v>
      </c>
      <c r="T244" s="1">
        <v>16</v>
      </c>
      <c r="U244" s="268" t="str">
        <f t="shared" si="15"/>
        <v>Outlier</v>
      </c>
      <c r="V244" s="268" t="str">
        <f t="shared" si="16"/>
        <v>Normal</v>
      </c>
      <c r="W244" s="270">
        <f t="shared" si="17"/>
        <v>0.64448857994041708</v>
      </c>
      <c r="X244" s="270">
        <f t="shared" si="18"/>
        <v>6.1099796334012219E-2</v>
      </c>
      <c r="Y244" s="249"/>
      <c r="Z244" s="249"/>
      <c r="AA244" s="249"/>
      <c r="AB244" s="249"/>
      <c r="AC244" s="249"/>
      <c r="AD244" s="249"/>
      <c r="AE244" s="249"/>
      <c r="AF244" s="249"/>
      <c r="AG244" s="249"/>
      <c r="AH244" s="249"/>
      <c r="AI244" s="249"/>
      <c r="AJ244" s="249"/>
      <c r="AK244" s="249"/>
      <c r="AL244" s="249"/>
      <c r="AN244">
        <f>AVERAGEIF(M349:M355,"&lt;&gt;0")</f>
        <v>0.85999999999999988</v>
      </c>
    </row>
    <row r="245" spans="1:42">
      <c r="A245" s="21">
        <v>44895</v>
      </c>
      <c r="B245" s="17">
        <f>IF(YEAR(Table9[[#This Row],[Date]]) = 2022, WEEKNUM(Table9[[#This Row],[Date]])-13, WEEKNUM(Table9[[#This Row],[Date]])+40)</f>
        <v>36</v>
      </c>
      <c r="C245" s="1" t="s">
        <v>50</v>
      </c>
      <c r="D245" s="1" t="s">
        <v>59</v>
      </c>
      <c r="E245" s="1">
        <v>1525</v>
      </c>
      <c r="F245" s="1">
        <v>828</v>
      </c>
      <c r="G245" s="87">
        <v>0.44686907020872868</v>
      </c>
      <c r="H245" s="87">
        <v>-0.10775862068965517</v>
      </c>
      <c r="I245" s="1">
        <v>23211</v>
      </c>
      <c r="J245" s="1">
        <v>17502</v>
      </c>
      <c r="K245" s="1">
        <v>200437</v>
      </c>
      <c r="L245" s="1">
        <v>144883</v>
      </c>
      <c r="M245" s="18">
        <v>0.02</v>
      </c>
      <c r="N245" s="18">
        <v>0.46</v>
      </c>
      <c r="O245" s="18">
        <v>0.54</v>
      </c>
      <c r="P245" s="18">
        <v>0.94</v>
      </c>
      <c r="Q245" s="193"/>
      <c r="R245" s="43">
        <v>0</v>
      </c>
      <c r="S245" s="43">
        <v>0</v>
      </c>
      <c r="T245" s="1">
        <v>15</v>
      </c>
      <c r="U245" s="268" t="str">
        <f t="shared" si="15"/>
        <v>Outlier</v>
      </c>
      <c r="V245" s="268" t="str">
        <f t="shared" si="16"/>
        <v>Normal</v>
      </c>
      <c r="W245" s="270">
        <f t="shared" si="17"/>
        <v>0.44686907020872868</v>
      </c>
      <c r="X245" s="270">
        <f t="shared" si="18"/>
        <v>-0.10775862068965517</v>
      </c>
      <c r="Y245" s="249"/>
      <c r="Z245" s="249"/>
      <c r="AA245" s="249"/>
      <c r="AB245" s="249"/>
      <c r="AC245" s="249"/>
      <c r="AD245" s="249"/>
      <c r="AE245" s="249"/>
      <c r="AF245" s="249"/>
      <c r="AG245" s="249"/>
      <c r="AH245" s="249"/>
      <c r="AI245" s="249"/>
      <c r="AJ245" s="249"/>
      <c r="AK245" s="249"/>
      <c r="AL245" s="249"/>
    </row>
    <row r="246" spans="1:42" s="50" customFormat="1">
      <c r="A246" s="54">
        <v>44896</v>
      </c>
      <c r="B246" s="131">
        <f>IF(YEAR(Table9[[#This Row],[Date]]) = 2022, WEEKNUM(Table9[[#This Row],[Date]])-13, WEEKNUM(Table9[[#This Row],[Date]])+40)</f>
        <v>36</v>
      </c>
      <c r="C246" s="52" t="s">
        <v>51</v>
      </c>
      <c r="D246" s="52" t="s">
        <v>59</v>
      </c>
      <c r="E246" s="52">
        <v>1363</v>
      </c>
      <c r="F246" s="52">
        <v>769</v>
      </c>
      <c r="G246" s="143">
        <v>0.25622119815668204</v>
      </c>
      <c r="H246" s="143">
        <v>0</v>
      </c>
      <c r="I246" s="52">
        <v>1363</v>
      </c>
      <c r="J246" s="52">
        <v>769</v>
      </c>
      <c r="K246" s="52">
        <v>201800</v>
      </c>
      <c r="L246" s="52">
        <v>145652</v>
      </c>
      <c r="M246" s="53">
        <v>7.0000000000000007E-2</v>
      </c>
      <c r="N246" s="53">
        <v>0.44</v>
      </c>
      <c r="O246" s="53">
        <v>0.56000000000000005</v>
      </c>
      <c r="P246" s="53">
        <v>0.59</v>
      </c>
      <c r="Q246" s="193"/>
      <c r="R246" s="101">
        <v>0</v>
      </c>
      <c r="S246" s="101">
        <v>0</v>
      </c>
      <c r="T246" s="52">
        <v>12</v>
      </c>
      <c r="U246" s="268" t="str">
        <f t="shared" si="15"/>
        <v>Normal</v>
      </c>
      <c r="V246" s="268" t="str">
        <f t="shared" si="16"/>
        <v>Normal</v>
      </c>
      <c r="W246" s="270">
        <f t="shared" si="17"/>
        <v>0.25622119815668204</v>
      </c>
      <c r="X246" s="270">
        <f t="shared" si="18"/>
        <v>0</v>
      </c>
      <c r="Y246" s="250"/>
      <c r="Z246" s="250"/>
      <c r="AA246" s="250"/>
      <c r="AB246" s="250"/>
      <c r="AC246" s="250"/>
      <c r="AD246" s="250"/>
      <c r="AE246" s="250"/>
      <c r="AF246" s="250"/>
      <c r="AG246" s="250"/>
      <c r="AH246" s="250"/>
      <c r="AI246" s="250"/>
      <c r="AJ246" s="250"/>
      <c r="AK246" s="250"/>
      <c r="AL246" s="250"/>
      <c r="AN246"/>
      <c r="AO246"/>
      <c r="AP246"/>
    </row>
    <row r="247" spans="1:42">
      <c r="A247" s="21">
        <v>44897</v>
      </c>
      <c r="B247" s="17">
        <f>IF(YEAR(Table9[[#This Row],[Date]]) = 2022, WEEKNUM(Table9[[#This Row],[Date]])-13, WEEKNUM(Table9[[#This Row],[Date]])+40)</f>
        <v>36</v>
      </c>
      <c r="C247" s="1" t="s">
        <v>52</v>
      </c>
      <c r="D247" s="1" t="s">
        <v>59</v>
      </c>
      <c r="E247" s="1">
        <v>1309</v>
      </c>
      <c r="F247" s="1">
        <v>815</v>
      </c>
      <c r="G247" s="87">
        <v>1.1591962905718702E-2</v>
      </c>
      <c r="H247" s="87">
        <v>-0.2631103074141049</v>
      </c>
      <c r="I247" s="1">
        <v>2672</v>
      </c>
      <c r="J247" s="1">
        <v>1584</v>
      </c>
      <c r="K247" s="1">
        <v>203109</v>
      </c>
      <c r="L247" s="1">
        <v>146467</v>
      </c>
      <c r="M247" s="18">
        <v>7.0000000000000007E-2</v>
      </c>
      <c r="N247" s="18">
        <v>0.38</v>
      </c>
      <c r="O247" s="18">
        <v>0.62</v>
      </c>
      <c r="P247" s="18">
        <v>0.69</v>
      </c>
      <c r="Q247" s="193"/>
      <c r="R247" s="43">
        <v>0</v>
      </c>
      <c r="S247" s="43">
        <v>0</v>
      </c>
      <c r="T247" s="1">
        <v>11</v>
      </c>
      <c r="U247" s="268" t="str">
        <f t="shared" si="15"/>
        <v>Normal</v>
      </c>
      <c r="V247" s="268" t="str">
        <f t="shared" si="16"/>
        <v>Normal</v>
      </c>
      <c r="W247" s="270">
        <f t="shared" si="17"/>
        <v>1.1591962905718702E-2</v>
      </c>
      <c r="X247" s="270">
        <f t="shared" si="18"/>
        <v>-0.2631103074141049</v>
      </c>
      <c r="Y247" s="249"/>
      <c r="Z247" s="249"/>
      <c r="AA247" s="249"/>
      <c r="AB247" s="249"/>
      <c r="AC247" s="249"/>
      <c r="AD247" s="249"/>
      <c r="AE247" s="249"/>
      <c r="AF247" s="249"/>
      <c r="AG247" s="249"/>
      <c r="AH247" s="249"/>
      <c r="AI247" s="249"/>
      <c r="AJ247" s="249"/>
      <c r="AK247" s="249"/>
      <c r="AL247" s="249"/>
    </row>
    <row r="248" spans="1:42">
      <c r="A248" s="21">
        <v>44898</v>
      </c>
      <c r="B248" s="17">
        <f>IF(YEAR(Table9[[#This Row],[Date]]) = 2022, WEEKNUM(Table9[[#This Row],[Date]])-13, WEEKNUM(Table9[[#This Row],[Date]])+40)</f>
        <v>36</v>
      </c>
      <c r="C248" s="1" t="s">
        <v>53</v>
      </c>
      <c r="D248" s="1" t="s">
        <v>59</v>
      </c>
      <c r="E248" s="1">
        <v>1066</v>
      </c>
      <c r="F248" s="1">
        <v>556</v>
      </c>
      <c r="G248" s="87">
        <v>-3.0027297543221108E-2</v>
      </c>
      <c r="H248" s="87">
        <v>-0.26649076517150394</v>
      </c>
      <c r="I248" s="1">
        <v>3738</v>
      </c>
      <c r="J248" s="1">
        <v>2140</v>
      </c>
      <c r="K248" s="1">
        <v>204175</v>
      </c>
      <c r="L248" s="1">
        <v>147023</v>
      </c>
      <c r="M248" s="18">
        <v>7.0000000000000007E-2</v>
      </c>
      <c r="N248" s="18">
        <v>0.48</v>
      </c>
      <c r="O248" s="18">
        <v>0.52</v>
      </c>
      <c r="P248" s="18">
        <v>0.64</v>
      </c>
      <c r="Q248" s="193"/>
      <c r="R248" s="43">
        <v>0</v>
      </c>
      <c r="S248" s="43">
        <v>0</v>
      </c>
      <c r="T248" s="1">
        <v>8</v>
      </c>
      <c r="U248" s="268" t="str">
        <f t="shared" si="15"/>
        <v>Normal</v>
      </c>
      <c r="V248" s="268" t="str">
        <f t="shared" si="16"/>
        <v>Normal</v>
      </c>
      <c r="W248" s="270">
        <f t="shared" si="17"/>
        <v>-3.0027297543221108E-2</v>
      </c>
      <c r="X248" s="270">
        <f t="shared" si="18"/>
        <v>-0.26649076517150394</v>
      </c>
      <c r="Y248" s="249"/>
      <c r="Z248" s="249"/>
      <c r="AA248" s="249"/>
      <c r="AB248" s="249"/>
      <c r="AC248" s="249"/>
      <c r="AD248" s="249"/>
      <c r="AE248" s="249"/>
      <c r="AF248" s="249"/>
      <c r="AG248" s="249"/>
      <c r="AH248" s="249"/>
      <c r="AI248" s="249"/>
      <c r="AJ248" s="249"/>
      <c r="AK248" s="249"/>
      <c r="AL248" s="249"/>
    </row>
    <row r="249" spans="1:42">
      <c r="A249" s="21">
        <v>44899</v>
      </c>
      <c r="B249" s="17">
        <f>IF(YEAR(Table9[[#This Row],[Date]]) = 2022, WEEKNUM(Table9[[#This Row],[Date]])-13, WEEKNUM(Table9[[#This Row],[Date]])+40)</f>
        <v>37</v>
      </c>
      <c r="C249" s="1" t="s">
        <v>47</v>
      </c>
      <c r="D249" s="1" t="s">
        <v>59</v>
      </c>
      <c r="E249" s="1">
        <v>172</v>
      </c>
      <c r="F249" s="1">
        <v>147</v>
      </c>
      <c r="G249" s="87">
        <v>-0.36764705882352944</v>
      </c>
      <c r="H249" s="87">
        <v>-0.29326923076923078</v>
      </c>
      <c r="I249" s="1">
        <v>3910</v>
      </c>
      <c r="J249" s="1">
        <v>2287</v>
      </c>
      <c r="K249" s="1">
        <v>204347</v>
      </c>
      <c r="L249" s="1">
        <v>147170</v>
      </c>
      <c r="M249" s="18">
        <v>0.56000000000000005</v>
      </c>
      <c r="N249" s="18">
        <v>0.15</v>
      </c>
      <c r="O249" s="18">
        <v>0.85</v>
      </c>
      <c r="P249" s="18">
        <v>0.27</v>
      </c>
      <c r="Q249" s="193"/>
      <c r="R249" s="43">
        <v>0</v>
      </c>
      <c r="S249" s="43">
        <v>0</v>
      </c>
      <c r="T249" s="1">
        <v>5</v>
      </c>
      <c r="U249" s="268" t="str">
        <f t="shared" si="15"/>
        <v>Outlier</v>
      </c>
      <c r="V249" s="268" t="str">
        <f t="shared" si="16"/>
        <v>Normal</v>
      </c>
      <c r="W249" s="270">
        <f t="shared" si="17"/>
        <v>-0.36764705882352944</v>
      </c>
      <c r="X249" s="270">
        <f t="shared" si="18"/>
        <v>-0.29326923076923078</v>
      </c>
      <c r="Y249" s="249"/>
      <c r="Z249" s="249"/>
      <c r="AA249" s="249"/>
      <c r="AB249" s="249"/>
      <c r="AC249" s="249"/>
      <c r="AD249" s="249"/>
      <c r="AE249" s="249"/>
      <c r="AF249" s="249"/>
      <c r="AG249" s="249"/>
      <c r="AH249" s="249"/>
      <c r="AI249" s="249"/>
      <c r="AJ249" s="249"/>
      <c r="AK249" s="249"/>
      <c r="AL249" s="249"/>
    </row>
    <row r="250" spans="1:42">
      <c r="A250" s="21">
        <v>44900</v>
      </c>
      <c r="B250" s="17">
        <f>IF(YEAR(Table9[[#This Row],[Date]]) = 2022, WEEKNUM(Table9[[#This Row],[Date]])-13, WEEKNUM(Table9[[#This Row],[Date]])+40)</f>
        <v>37</v>
      </c>
      <c r="C250" s="1" t="s">
        <v>48</v>
      </c>
      <c r="D250" s="1" t="s">
        <v>59</v>
      </c>
      <c r="E250" s="1">
        <v>1292</v>
      </c>
      <c r="F250" s="1">
        <v>857</v>
      </c>
      <c r="G250" s="87">
        <v>-0.28697571743929362</v>
      </c>
      <c r="H250" s="87">
        <v>-0.13869346733668342</v>
      </c>
      <c r="I250" s="1">
        <v>5202</v>
      </c>
      <c r="J250" s="1">
        <v>3144</v>
      </c>
      <c r="K250" s="1">
        <v>205639</v>
      </c>
      <c r="L250" s="1">
        <v>148027</v>
      </c>
      <c r="M250" s="18">
        <v>0.13</v>
      </c>
      <c r="N250" s="18">
        <v>0.34</v>
      </c>
      <c r="O250" s="18">
        <v>0.66</v>
      </c>
      <c r="P250" s="18">
        <v>0.66</v>
      </c>
      <c r="Q250" s="193"/>
      <c r="R250" s="43">
        <v>0</v>
      </c>
      <c r="S250" s="43">
        <v>0</v>
      </c>
      <c r="T250" s="1">
        <v>12</v>
      </c>
      <c r="U250" s="268" t="str">
        <f t="shared" si="15"/>
        <v>Normal</v>
      </c>
      <c r="V250" s="268" t="str">
        <f t="shared" si="16"/>
        <v>Normal</v>
      </c>
      <c r="W250" s="270">
        <f t="shared" si="17"/>
        <v>-0.28697571743929362</v>
      </c>
      <c r="X250" s="270">
        <f t="shared" si="18"/>
        <v>-0.13869346733668342</v>
      </c>
      <c r="Y250" s="249"/>
      <c r="Z250" s="249"/>
      <c r="AA250" s="249"/>
      <c r="AB250" s="249"/>
      <c r="AC250" s="249"/>
      <c r="AD250" s="249"/>
      <c r="AE250" s="249"/>
      <c r="AF250" s="249"/>
      <c r="AG250" s="249"/>
      <c r="AH250" s="249"/>
      <c r="AI250" s="249"/>
      <c r="AJ250" s="249"/>
      <c r="AK250" s="249"/>
      <c r="AL250" s="249"/>
    </row>
    <row r="251" spans="1:42">
      <c r="A251" s="21">
        <v>44901</v>
      </c>
      <c r="B251" s="17">
        <f>IF(YEAR(Table9[[#This Row],[Date]]) = 2022, WEEKNUM(Table9[[#This Row],[Date]])-13, WEEKNUM(Table9[[#This Row],[Date]])+40)</f>
        <v>37</v>
      </c>
      <c r="C251" s="1" t="s">
        <v>49</v>
      </c>
      <c r="D251" s="1" t="s">
        <v>59</v>
      </c>
      <c r="E251" s="1">
        <v>1135</v>
      </c>
      <c r="F251" s="1">
        <v>900</v>
      </c>
      <c r="G251" s="87">
        <v>-0.31461352657004832</v>
      </c>
      <c r="H251" s="87">
        <v>-0.1362763915547025</v>
      </c>
      <c r="I251" s="1">
        <v>6337</v>
      </c>
      <c r="J251" s="1">
        <v>4044</v>
      </c>
      <c r="K251" s="1">
        <v>206774</v>
      </c>
      <c r="L251" s="1">
        <v>148927</v>
      </c>
      <c r="M251" s="18">
        <v>0.37</v>
      </c>
      <c r="N251" s="18">
        <v>0.21</v>
      </c>
      <c r="O251" s="18">
        <v>0.79</v>
      </c>
      <c r="P251" s="18">
        <v>0.64</v>
      </c>
      <c r="Q251" s="193"/>
      <c r="R251" s="43">
        <v>0</v>
      </c>
      <c r="S251" s="43">
        <v>0</v>
      </c>
      <c r="T251" s="1">
        <v>13</v>
      </c>
      <c r="U251" s="268" t="str">
        <f t="shared" si="15"/>
        <v>Normal</v>
      </c>
      <c r="V251" s="268" t="str">
        <f t="shared" si="16"/>
        <v>Normal</v>
      </c>
      <c r="W251" s="270">
        <f t="shared" si="17"/>
        <v>-0.31461352657004832</v>
      </c>
      <c r="X251" s="270">
        <f t="shared" si="18"/>
        <v>-0.1362763915547025</v>
      </c>
      <c r="Y251" s="249"/>
      <c r="Z251" s="249"/>
      <c r="AA251" s="249"/>
      <c r="AB251" s="249"/>
      <c r="AC251" s="249"/>
      <c r="AD251" s="249"/>
      <c r="AE251" s="249"/>
      <c r="AF251" s="249"/>
      <c r="AG251" s="249"/>
      <c r="AH251" s="249"/>
      <c r="AI251" s="249"/>
      <c r="AJ251" s="249"/>
      <c r="AK251" s="249"/>
      <c r="AL251" s="249"/>
    </row>
    <row r="252" spans="1:42">
      <c r="A252" s="21">
        <v>44902</v>
      </c>
      <c r="B252" s="17">
        <f>IF(YEAR(Table9[[#This Row],[Date]]) = 2022, WEEKNUM(Table9[[#This Row],[Date]])-13, WEEKNUM(Table9[[#This Row],[Date]])+40)</f>
        <v>37</v>
      </c>
      <c r="C252" s="1" t="s">
        <v>50</v>
      </c>
      <c r="D252" s="1" t="s">
        <v>59</v>
      </c>
      <c r="E252" s="1">
        <v>1240</v>
      </c>
      <c r="F252" s="1">
        <v>773</v>
      </c>
      <c r="G252" s="87">
        <v>-0.18688524590163935</v>
      </c>
      <c r="H252" s="87">
        <v>-6.6425120772946863E-2</v>
      </c>
      <c r="I252" s="1">
        <v>7577</v>
      </c>
      <c r="J252" s="1">
        <v>4817</v>
      </c>
      <c r="K252" s="1">
        <v>208014</v>
      </c>
      <c r="L252" s="1">
        <v>149700</v>
      </c>
      <c r="M252" s="18">
        <v>0.06</v>
      </c>
      <c r="N252" s="18">
        <v>0.21</v>
      </c>
      <c r="O252" s="18">
        <v>0.79</v>
      </c>
      <c r="P252" s="18">
        <v>0.72</v>
      </c>
      <c r="Q252" s="193"/>
      <c r="R252" s="173">
        <v>0</v>
      </c>
      <c r="S252" s="173">
        <v>0</v>
      </c>
      <c r="T252" s="1">
        <v>10</v>
      </c>
      <c r="U252" s="268" t="str">
        <f t="shared" si="15"/>
        <v>Normal</v>
      </c>
      <c r="V252" s="268" t="str">
        <f t="shared" si="16"/>
        <v>Normal</v>
      </c>
      <c r="W252" s="270">
        <f t="shared" si="17"/>
        <v>-0.18688524590163935</v>
      </c>
      <c r="X252" s="270">
        <f t="shared" si="18"/>
        <v>-6.6425120772946863E-2</v>
      </c>
      <c r="Y252" s="249"/>
      <c r="Z252" s="249"/>
      <c r="AA252" s="249"/>
      <c r="AB252" s="249"/>
      <c r="AC252" s="249"/>
      <c r="AD252" s="249"/>
      <c r="AE252" s="249"/>
      <c r="AF252" s="249"/>
      <c r="AG252" s="249"/>
      <c r="AH252" s="249"/>
      <c r="AI252" s="249"/>
      <c r="AJ252" s="249"/>
      <c r="AK252" s="249"/>
      <c r="AL252" s="249"/>
    </row>
    <row r="253" spans="1:42">
      <c r="A253" s="21">
        <v>44903</v>
      </c>
      <c r="B253" s="17">
        <f>IF(YEAR(Table9[[#This Row],[Date]]) = 2022, WEEKNUM(Table9[[#This Row],[Date]])-13, WEEKNUM(Table9[[#This Row],[Date]])+40)</f>
        <v>37</v>
      </c>
      <c r="C253" s="1" t="s">
        <v>51</v>
      </c>
      <c r="D253" s="1" t="s">
        <v>59</v>
      </c>
      <c r="E253" s="1">
        <v>1143</v>
      </c>
      <c r="F253" s="1">
        <v>705</v>
      </c>
      <c r="G253" s="87">
        <v>-0.16140865737344093</v>
      </c>
      <c r="H253" s="87">
        <v>-8.3224967490247076E-2</v>
      </c>
      <c r="I253" s="1">
        <v>8720</v>
      </c>
      <c r="J253" s="1">
        <v>5522</v>
      </c>
      <c r="K253" s="1">
        <v>209157</v>
      </c>
      <c r="L253" s="1">
        <v>150405</v>
      </c>
      <c r="M253" s="18">
        <v>0.12</v>
      </c>
      <c r="N253" s="18">
        <v>0.38</v>
      </c>
      <c r="O253" s="18">
        <v>0.62</v>
      </c>
      <c r="P253" s="18">
        <v>0.54</v>
      </c>
      <c r="Q253" s="193"/>
      <c r="R253" s="173">
        <v>0</v>
      </c>
      <c r="S253" s="173">
        <v>0</v>
      </c>
      <c r="T253" s="1">
        <v>12</v>
      </c>
      <c r="U253" s="268" t="str">
        <f t="shared" si="15"/>
        <v>Normal</v>
      </c>
      <c r="V253" s="268" t="str">
        <f t="shared" si="16"/>
        <v>Normal</v>
      </c>
      <c r="W253" s="270">
        <f t="shared" si="17"/>
        <v>-0.16140865737344093</v>
      </c>
      <c r="X253" s="270">
        <f t="shared" si="18"/>
        <v>-8.3224967490247076E-2</v>
      </c>
      <c r="Y253" s="249"/>
      <c r="Z253" s="249"/>
      <c r="AA253" s="249"/>
      <c r="AB253" s="249"/>
      <c r="AC253" s="249"/>
      <c r="AD253" s="249"/>
      <c r="AE253" s="249"/>
      <c r="AF253" s="249"/>
      <c r="AG253" s="249"/>
      <c r="AH253" s="249"/>
      <c r="AI253" s="249"/>
      <c r="AJ253" s="249"/>
      <c r="AK253" s="249"/>
      <c r="AL253" s="249"/>
    </row>
    <row r="254" spans="1:42">
      <c r="A254" s="21">
        <v>44904</v>
      </c>
      <c r="B254" s="17">
        <f>IF(YEAR(Table9[[#This Row],[Date]]) = 2022, WEEKNUM(Table9[[#This Row],[Date]])-13, WEEKNUM(Table9[[#This Row],[Date]])+40)</f>
        <v>37</v>
      </c>
      <c r="C254" s="1" t="s">
        <v>52</v>
      </c>
      <c r="D254" s="1" t="s">
        <v>59</v>
      </c>
      <c r="E254" s="1">
        <v>1008</v>
      </c>
      <c r="F254" s="1">
        <v>725</v>
      </c>
      <c r="G254" s="87">
        <v>-0.22994652406417113</v>
      </c>
      <c r="H254" s="87">
        <v>-0.11042944785276074</v>
      </c>
      <c r="I254" s="1">
        <v>9728</v>
      </c>
      <c r="J254" s="1">
        <v>6247</v>
      </c>
      <c r="K254" s="1">
        <v>210165</v>
      </c>
      <c r="L254" s="1">
        <v>151130</v>
      </c>
      <c r="M254" s="18">
        <v>0.28000000000000003</v>
      </c>
      <c r="N254" s="18">
        <v>0.28000000000000003</v>
      </c>
      <c r="O254" s="18">
        <v>0.72</v>
      </c>
      <c r="P254" s="18">
        <v>0.52</v>
      </c>
      <c r="Q254" s="193"/>
      <c r="R254" s="173">
        <v>0</v>
      </c>
      <c r="S254" s="173">
        <v>0</v>
      </c>
      <c r="T254" s="1">
        <v>13</v>
      </c>
      <c r="U254" s="268" t="str">
        <f t="shared" si="15"/>
        <v>Normal</v>
      </c>
      <c r="V254" s="268" t="str">
        <f t="shared" si="16"/>
        <v>Normal</v>
      </c>
      <c r="W254" s="270">
        <f t="shared" si="17"/>
        <v>-0.22994652406417113</v>
      </c>
      <c r="X254" s="270">
        <f t="shared" si="18"/>
        <v>-0.11042944785276074</v>
      </c>
      <c r="Y254" s="249"/>
      <c r="Z254" s="249"/>
      <c r="AA254" s="249"/>
      <c r="AB254" s="249"/>
      <c r="AC254" s="249"/>
      <c r="AD254" s="249"/>
      <c r="AE254" s="249"/>
      <c r="AF254" s="249"/>
      <c r="AG254" s="249"/>
      <c r="AH254" s="249"/>
      <c r="AI254" s="249"/>
      <c r="AJ254" s="249"/>
      <c r="AK254" s="249"/>
      <c r="AL254" s="249"/>
    </row>
    <row r="255" spans="1:42">
      <c r="A255" s="21">
        <v>44905</v>
      </c>
      <c r="B255" s="17">
        <f>IF(YEAR(Table9[[#This Row],[Date]]) = 2022, WEEKNUM(Table9[[#This Row],[Date]])-13, WEEKNUM(Table9[[#This Row],[Date]])+40)</f>
        <v>37</v>
      </c>
      <c r="C255" s="1" t="s">
        <v>53</v>
      </c>
      <c r="D255" s="1" t="s">
        <v>59</v>
      </c>
      <c r="E255" s="1">
        <v>1028</v>
      </c>
      <c r="F255" s="1">
        <v>745</v>
      </c>
      <c r="G255" s="87">
        <v>-3.5647279549718573E-2</v>
      </c>
      <c r="H255" s="87">
        <v>0.33992805755395683</v>
      </c>
      <c r="I255" s="1">
        <v>10756</v>
      </c>
      <c r="J255" s="1">
        <v>6992</v>
      </c>
      <c r="K255" s="1">
        <v>211193</v>
      </c>
      <c r="L255" s="1">
        <v>151875</v>
      </c>
      <c r="M255" s="18">
        <v>0.24</v>
      </c>
      <c r="N255" s="18">
        <v>0.28000000000000003</v>
      </c>
      <c r="O255" s="18">
        <v>0.72</v>
      </c>
      <c r="P255" s="18">
        <v>0.86</v>
      </c>
      <c r="Q255" s="193"/>
      <c r="R255" s="173">
        <v>0</v>
      </c>
      <c r="S255" s="173">
        <v>0</v>
      </c>
      <c r="T255" s="1">
        <v>8</v>
      </c>
      <c r="U255" s="268" t="str">
        <f t="shared" si="15"/>
        <v>Normal</v>
      </c>
      <c r="V255" s="268" t="str">
        <f t="shared" si="16"/>
        <v>Normal</v>
      </c>
      <c r="W255" s="270">
        <f t="shared" si="17"/>
        <v>-3.5647279549718573E-2</v>
      </c>
      <c r="X255" s="270">
        <f t="shared" si="18"/>
        <v>0.33992805755395683</v>
      </c>
      <c r="Y255" s="249"/>
      <c r="Z255" s="249"/>
      <c r="AA255" s="249"/>
      <c r="AB255" s="249"/>
      <c r="AC255" s="249"/>
      <c r="AD255" s="249"/>
      <c r="AE255" s="249"/>
      <c r="AF255" s="249"/>
      <c r="AG255" s="249"/>
      <c r="AH255" s="249"/>
      <c r="AI255" s="249"/>
      <c r="AJ255" s="249"/>
      <c r="AK255" s="249"/>
      <c r="AL255" s="249"/>
    </row>
    <row r="256" spans="1:42">
      <c r="A256" s="21">
        <v>44906</v>
      </c>
      <c r="B256" s="17">
        <f>IF(YEAR(Table9[[#This Row],[Date]]) = 2022, WEEKNUM(Table9[[#This Row],[Date]])-13, WEEKNUM(Table9[[#This Row],[Date]])+40)</f>
        <v>38</v>
      </c>
      <c r="C256" s="1" t="s">
        <v>47</v>
      </c>
      <c r="D256" s="1" t="s">
        <v>59</v>
      </c>
      <c r="E256" s="1">
        <v>210</v>
      </c>
      <c r="F256" s="1">
        <v>209</v>
      </c>
      <c r="G256" s="87">
        <v>0.22093023255813954</v>
      </c>
      <c r="H256" s="87">
        <v>0.42176870748299322</v>
      </c>
      <c r="I256" s="1">
        <v>10966</v>
      </c>
      <c r="J256" s="1">
        <v>7201</v>
      </c>
      <c r="K256" s="1">
        <v>211403</v>
      </c>
      <c r="L256" s="1">
        <v>152084</v>
      </c>
      <c r="M256" s="18">
        <v>1</v>
      </c>
      <c r="N256" s="18">
        <v>0</v>
      </c>
      <c r="O256" s="18">
        <v>1</v>
      </c>
      <c r="P256" s="18">
        <v>0.48</v>
      </c>
      <c r="Q256" s="193"/>
      <c r="R256" s="173">
        <v>0</v>
      </c>
      <c r="S256" s="173">
        <v>0</v>
      </c>
      <c r="T256" s="1">
        <v>4</v>
      </c>
      <c r="U256" s="268" t="str">
        <f t="shared" si="15"/>
        <v>Normal</v>
      </c>
      <c r="V256" s="268" t="str">
        <f t="shared" si="16"/>
        <v>Outlier</v>
      </c>
      <c r="W256" s="270">
        <f t="shared" si="17"/>
        <v>0.22093023255813954</v>
      </c>
      <c r="X256" s="270">
        <f t="shared" si="18"/>
        <v>0.42176870748299322</v>
      </c>
      <c r="Y256" s="249"/>
      <c r="Z256" s="249"/>
      <c r="AA256" s="249"/>
      <c r="AB256" s="249"/>
      <c r="AC256" s="249"/>
      <c r="AD256" s="249"/>
      <c r="AE256" s="249"/>
      <c r="AF256" s="249"/>
      <c r="AG256" s="249"/>
      <c r="AH256" s="249"/>
      <c r="AI256" s="249"/>
      <c r="AJ256" s="249"/>
      <c r="AK256" s="249"/>
      <c r="AL256" s="249"/>
      <c r="AN256" s="163">
        <f>AVERAGEIF(R279:R341,"&lt;&gt;0")</f>
        <v>303.05555555555554</v>
      </c>
    </row>
    <row r="257" spans="1:42">
      <c r="A257" s="21">
        <v>44907</v>
      </c>
      <c r="B257" s="17">
        <f>IF(YEAR(Table9[[#This Row],[Date]]) = 2022, WEEKNUM(Table9[[#This Row],[Date]])-13, WEEKNUM(Table9[[#This Row],[Date]])+40)</f>
        <v>38</v>
      </c>
      <c r="C257" s="1" t="s">
        <v>48</v>
      </c>
      <c r="D257" s="1" t="s">
        <v>59</v>
      </c>
      <c r="E257" s="1">
        <v>1121</v>
      </c>
      <c r="F257" s="1">
        <v>995</v>
      </c>
      <c r="G257" s="87">
        <v>-0.13235294117647059</v>
      </c>
      <c r="H257" s="87">
        <v>0.16102683780630106</v>
      </c>
      <c r="I257" s="1">
        <v>12087</v>
      </c>
      <c r="J257" s="1">
        <v>8196</v>
      </c>
      <c r="K257" s="1">
        <v>212524</v>
      </c>
      <c r="L257" s="1">
        <v>153079</v>
      </c>
      <c r="M257" s="18">
        <v>0.56999999999999995</v>
      </c>
      <c r="N257" s="18">
        <v>0.11</v>
      </c>
      <c r="O257" s="18">
        <v>0.89</v>
      </c>
      <c r="P257" s="18">
        <v>0.66</v>
      </c>
      <c r="Q257" s="193"/>
      <c r="R257" s="173">
        <v>0</v>
      </c>
      <c r="S257" s="173">
        <v>0</v>
      </c>
      <c r="T257" s="1">
        <v>14</v>
      </c>
      <c r="U257" s="268" t="str">
        <f t="shared" si="15"/>
        <v>Normal</v>
      </c>
      <c r="V257" s="268" t="str">
        <f t="shared" si="16"/>
        <v>Normal</v>
      </c>
      <c r="W257" s="270">
        <f t="shared" si="17"/>
        <v>-0.13235294117647059</v>
      </c>
      <c r="X257" s="270">
        <f t="shared" si="18"/>
        <v>0.16102683780630106</v>
      </c>
      <c r="Y257" s="249"/>
      <c r="Z257" s="249"/>
      <c r="AA257" s="249"/>
      <c r="AB257" s="249"/>
      <c r="AC257" s="249"/>
      <c r="AD257" s="249"/>
      <c r="AE257" s="249"/>
      <c r="AF257" s="249"/>
      <c r="AG257" s="249"/>
      <c r="AH257" s="249"/>
      <c r="AI257" s="249"/>
      <c r="AJ257" s="249"/>
      <c r="AK257" s="249"/>
      <c r="AL257" s="249"/>
    </row>
    <row r="258" spans="1:42">
      <c r="A258" s="21">
        <v>44908</v>
      </c>
      <c r="B258" s="17">
        <f>IF(YEAR(Table9[[#This Row],[Date]]) = 2022, WEEKNUM(Table9[[#This Row],[Date]])-13, WEEKNUM(Table9[[#This Row],[Date]])+40)</f>
        <v>38</v>
      </c>
      <c r="C258" s="1" t="s">
        <v>49</v>
      </c>
      <c r="D258" s="1" t="s">
        <v>59</v>
      </c>
      <c r="E258" s="1">
        <v>1165</v>
      </c>
      <c r="F258" s="1">
        <v>961</v>
      </c>
      <c r="G258" s="87">
        <v>2.643171806167401E-2</v>
      </c>
      <c r="H258" s="87">
        <v>6.7777777777777784E-2</v>
      </c>
      <c r="I258" s="1">
        <v>13252</v>
      </c>
      <c r="J258" s="1">
        <v>9157</v>
      </c>
      <c r="K258" s="1">
        <v>213689</v>
      </c>
      <c r="L258" s="1">
        <v>154040</v>
      </c>
      <c r="M258" s="18">
        <v>0.67</v>
      </c>
      <c r="N258" s="18">
        <v>0.18</v>
      </c>
      <c r="O258" s="18">
        <v>0.82</v>
      </c>
      <c r="P258" s="18">
        <v>0.59</v>
      </c>
      <c r="Q258" s="193"/>
      <c r="R258" s="173">
        <v>0</v>
      </c>
      <c r="S258" s="173">
        <v>0</v>
      </c>
      <c r="T258" s="1">
        <v>15</v>
      </c>
      <c r="U258" s="268" t="str">
        <f t="shared" si="15"/>
        <v>Normal</v>
      </c>
      <c r="V258" s="268" t="str">
        <f t="shared" si="16"/>
        <v>Normal</v>
      </c>
      <c r="W258" s="270">
        <f t="shared" si="17"/>
        <v>2.643171806167401E-2</v>
      </c>
      <c r="X258" s="270">
        <f t="shared" si="18"/>
        <v>6.7777777777777784E-2</v>
      </c>
      <c r="Y258" s="249"/>
      <c r="Z258" s="249"/>
      <c r="AA258" s="249"/>
      <c r="AB258" s="249"/>
      <c r="AC258" s="249"/>
      <c r="AD258" s="249"/>
      <c r="AE258" s="249"/>
      <c r="AF258" s="249"/>
      <c r="AG258" s="249"/>
      <c r="AH258" s="249"/>
      <c r="AI258" s="249"/>
      <c r="AJ258" s="249"/>
      <c r="AK258" s="249"/>
      <c r="AL258" s="249"/>
    </row>
    <row r="259" spans="1:42">
      <c r="A259" s="21">
        <v>44909</v>
      </c>
      <c r="B259" s="17">
        <f>IF(YEAR(Table9[[#This Row],[Date]]) = 2022, WEEKNUM(Table9[[#This Row],[Date]])-13, WEEKNUM(Table9[[#This Row],[Date]])+40)</f>
        <v>38</v>
      </c>
      <c r="C259" s="1" t="s">
        <v>50</v>
      </c>
      <c r="D259" s="1" t="s">
        <v>59</v>
      </c>
      <c r="E259" s="1">
        <v>1077</v>
      </c>
      <c r="F259" s="1">
        <v>948</v>
      </c>
      <c r="G259" s="87">
        <v>-0.1314516129032258</v>
      </c>
      <c r="H259" s="87">
        <v>0.22639068564036222</v>
      </c>
      <c r="I259" s="1">
        <v>14329</v>
      </c>
      <c r="J259" s="1">
        <v>10105</v>
      </c>
      <c r="K259" s="1">
        <v>214766</v>
      </c>
      <c r="L259" s="1">
        <v>154988</v>
      </c>
      <c r="M259" s="18">
        <v>0.64</v>
      </c>
      <c r="N259" s="18">
        <v>0.12</v>
      </c>
      <c r="O259" s="18">
        <v>0.88</v>
      </c>
      <c r="P259" s="18">
        <v>0.63</v>
      </c>
      <c r="Q259" s="193"/>
      <c r="R259" s="173">
        <v>0</v>
      </c>
      <c r="S259" s="173">
        <v>0</v>
      </c>
      <c r="T259" s="1">
        <v>14</v>
      </c>
      <c r="U259" s="268" t="str">
        <f t="shared" ref="U259:U322" si="19">IF(OR(G259&lt;$AA$5,G259&gt;$AB$5), "Outlier", "Normal")</f>
        <v>Normal</v>
      </c>
      <c r="V259" s="268" t="str">
        <f t="shared" ref="V259:V322" si="20">IF(OR(H259&lt;$AA$6,H259&gt;$AB$6), "Outlier", "Normal")</f>
        <v>Normal</v>
      </c>
      <c r="W259" s="270">
        <f t="shared" ref="W259:W322" si="21">IF(U259="Normal",$G259,IF($G259&lt;150%, $G259, $AA$9))</f>
        <v>-0.1314516129032258</v>
      </c>
      <c r="X259" s="270">
        <f t="shared" ref="X259:X322" si="22">IF(V259="Normal",$H259,IF($H259&lt;150%, $H259, $AE$9))</f>
        <v>0.22639068564036222</v>
      </c>
      <c r="Y259" s="249"/>
      <c r="Z259" s="249"/>
      <c r="AA259" s="249"/>
      <c r="AB259" s="249"/>
      <c r="AC259" s="249"/>
      <c r="AD259" s="249"/>
      <c r="AE259" s="249"/>
      <c r="AF259" s="249"/>
      <c r="AG259" s="249"/>
      <c r="AH259" s="249"/>
      <c r="AI259" s="249"/>
      <c r="AJ259" s="249"/>
      <c r="AK259" s="249"/>
      <c r="AL259" s="249"/>
    </row>
    <row r="260" spans="1:42">
      <c r="A260" s="21">
        <v>44910</v>
      </c>
      <c r="B260" s="17">
        <f>IF(YEAR(Table9[[#This Row],[Date]]) = 2022, WEEKNUM(Table9[[#This Row],[Date]])-13, WEEKNUM(Table9[[#This Row],[Date]])+40)</f>
        <v>38</v>
      </c>
      <c r="C260" s="1" t="s">
        <v>51</v>
      </c>
      <c r="D260" s="1" t="s">
        <v>59</v>
      </c>
      <c r="E260" s="1">
        <v>1006</v>
      </c>
      <c r="F260" s="1">
        <v>905</v>
      </c>
      <c r="G260" s="87">
        <v>-0.11986001749781278</v>
      </c>
      <c r="H260" s="87">
        <v>0.28368794326241137</v>
      </c>
      <c r="I260" s="1">
        <v>15335</v>
      </c>
      <c r="J260" s="1">
        <v>11010</v>
      </c>
      <c r="K260" s="1">
        <v>215772</v>
      </c>
      <c r="L260" s="1">
        <v>155893</v>
      </c>
      <c r="M260" s="18">
        <v>0.61</v>
      </c>
      <c r="N260" s="18">
        <v>0.1</v>
      </c>
      <c r="O260" s="18">
        <v>0.9</v>
      </c>
      <c r="P260" s="18">
        <v>0.56000000000000005</v>
      </c>
      <c r="Q260" s="193"/>
      <c r="R260" s="173">
        <v>0</v>
      </c>
      <c r="S260" s="173">
        <v>0</v>
      </c>
      <c r="T260" s="1">
        <v>15</v>
      </c>
      <c r="U260" s="268" t="str">
        <f t="shared" si="19"/>
        <v>Normal</v>
      </c>
      <c r="V260" s="268" t="str">
        <f t="shared" si="20"/>
        <v>Normal</v>
      </c>
      <c r="W260" s="270">
        <f t="shared" si="21"/>
        <v>-0.11986001749781278</v>
      </c>
      <c r="X260" s="270">
        <f t="shared" si="22"/>
        <v>0.28368794326241137</v>
      </c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</row>
    <row r="261" spans="1:42">
      <c r="A261" s="21">
        <v>44911</v>
      </c>
      <c r="B261" s="17">
        <f>IF(YEAR(Table9[[#This Row],[Date]]) = 2022, WEEKNUM(Table9[[#This Row],[Date]])-13, WEEKNUM(Table9[[#This Row],[Date]])+40)</f>
        <v>38</v>
      </c>
      <c r="C261" s="1" t="s">
        <v>52</v>
      </c>
      <c r="D261" s="1" t="s">
        <v>59</v>
      </c>
      <c r="E261" s="1">
        <v>991</v>
      </c>
      <c r="F261" s="1">
        <v>905</v>
      </c>
      <c r="G261" s="87">
        <v>-1.6865079365079364E-2</v>
      </c>
      <c r="H261" s="87">
        <v>0.24827586206896551</v>
      </c>
      <c r="I261" s="1">
        <v>16326</v>
      </c>
      <c r="J261" s="1">
        <v>11915</v>
      </c>
      <c r="K261" s="1">
        <v>216763</v>
      </c>
      <c r="L261" s="1">
        <v>156798</v>
      </c>
      <c r="M261" s="18">
        <v>0.72</v>
      </c>
      <c r="N261" s="18">
        <v>0.09</v>
      </c>
      <c r="O261" s="18">
        <v>0.91</v>
      </c>
      <c r="P261" s="18">
        <v>0.6</v>
      </c>
      <c r="Q261" s="193"/>
      <c r="R261" s="173">
        <v>0</v>
      </c>
      <c r="S261" s="173">
        <v>0</v>
      </c>
      <c r="T261" s="1">
        <v>14</v>
      </c>
      <c r="U261" s="268" t="str">
        <f t="shared" si="19"/>
        <v>Normal</v>
      </c>
      <c r="V261" s="268" t="str">
        <f t="shared" si="20"/>
        <v>Normal</v>
      </c>
      <c r="W261" s="270">
        <f t="shared" si="21"/>
        <v>-1.6865079365079364E-2</v>
      </c>
      <c r="X261" s="270">
        <f t="shared" si="22"/>
        <v>0.24827586206896551</v>
      </c>
      <c r="Y261" s="249"/>
      <c r="Z261" s="249"/>
      <c r="AA261" s="249"/>
      <c r="AB261" s="249"/>
      <c r="AC261" s="249"/>
      <c r="AD261" s="249"/>
      <c r="AE261" s="249"/>
      <c r="AF261" s="249"/>
      <c r="AG261" s="249"/>
      <c r="AH261" s="249"/>
      <c r="AI261" s="249"/>
      <c r="AJ261" s="249"/>
      <c r="AK261" s="249"/>
      <c r="AL261" s="249"/>
    </row>
    <row r="262" spans="1:42">
      <c r="A262" s="21">
        <v>44912</v>
      </c>
      <c r="B262" s="17">
        <f>IF(YEAR(Table9[[#This Row],[Date]]) = 2022, WEEKNUM(Table9[[#This Row],[Date]])-13, WEEKNUM(Table9[[#This Row],[Date]])+40)</f>
        <v>38</v>
      </c>
      <c r="C262" s="1" t="s">
        <v>53</v>
      </c>
      <c r="D262" s="1" t="s">
        <v>59</v>
      </c>
      <c r="E262" s="1">
        <v>1346</v>
      </c>
      <c r="F262" s="1">
        <v>969</v>
      </c>
      <c r="G262" s="87">
        <v>0.30933852140077822</v>
      </c>
      <c r="H262" s="87">
        <v>0.30067114093959729</v>
      </c>
      <c r="I262" s="1">
        <v>17672</v>
      </c>
      <c r="J262" s="1">
        <v>12884</v>
      </c>
      <c r="K262" s="1">
        <v>218109</v>
      </c>
      <c r="L262" s="1">
        <v>157767</v>
      </c>
      <c r="M262" s="18">
        <v>0.3</v>
      </c>
      <c r="N262" s="18">
        <v>0.28000000000000003</v>
      </c>
      <c r="O262" s="18">
        <v>0.72</v>
      </c>
      <c r="P262" s="18">
        <v>0.9</v>
      </c>
      <c r="Q262" s="193"/>
      <c r="R262" s="173">
        <v>0</v>
      </c>
      <c r="S262" s="173">
        <v>0</v>
      </c>
      <c r="T262" s="1">
        <v>10</v>
      </c>
      <c r="U262" s="268" t="str">
        <f t="shared" si="19"/>
        <v>Outlier</v>
      </c>
      <c r="V262" s="268" t="str">
        <f t="shared" si="20"/>
        <v>Normal</v>
      </c>
      <c r="W262" s="270">
        <f t="shared" si="21"/>
        <v>0.30933852140077822</v>
      </c>
      <c r="X262" s="270">
        <f t="shared" si="22"/>
        <v>0.30067114093959729</v>
      </c>
      <c r="Y262" s="249"/>
      <c r="Z262" s="249"/>
      <c r="AA262" s="249"/>
      <c r="AB262" s="249"/>
      <c r="AC262" s="249"/>
      <c r="AD262" s="249"/>
      <c r="AE262" s="249"/>
      <c r="AF262" s="249"/>
      <c r="AG262" s="249"/>
      <c r="AH262" s="249"/>
      <c r="AI262" s="249"/>
      <c r="AJ262" s="249"/>
      <c r="AK262" s="249"/>
      <c r="AL262" s="249"/>
    </row>
    <row r="263" spans="1:42">
      <c r="A263" s="21">
        <v>44913</v>
      </c>
      <c r="B263" s="17">
        <f>IF(YEAR(Table9[[#This Row],[Date]]) = 2022, WEEKNUM(Table9[[#This Row],[Date]])-13, WEEKNUM(Table9[[#This Row],[Date]])+40)</f>
        <v>39</v>
      </c>
      <c r="C263" s="1" t="s">
        <v>47</v>
      </c>
      <c r="D263" s="1" t="s">
        <v>59</v>
      </c>
      <c r="E263" s="1">
        <v>169</v>
      </c>
      <c r="F263" s="1">
        <v>152</v>
      </c>
      <c r="G263" s="87">
        <v>-0.19523809523809524</v>
      </c>
      <c r="H263" s="87">
        <v>-0.27272727272727271</v>
      </c>
      <c r="I263" s="1">
        <v>17841</v>
      </c>
      <c r="J263" s="1">
        <v>13036</v>
      </c>
      <c r="K263" s="1">
        <v>218278</v>
      </c>
      <c r="L263" s="1">
        <v>157919</v>
      </c>
      <c r="M263" s="18">
        <v>0.61</v>
      </c>
      <c r="N263" s="18">
        <v>0.1</v>
      </c>
      <c r="O263" s="18">
        <v>0.9</v>
      </c>
      <c r="P263" s="18">
        <v>0.35</v>
      </c>
      <c r="Q263" s="193"/>
      <c r="R263" s="173">
        <v>0</v>
      </c>
      <c r="S263" s="173">
        <v>0</v>
      </c>
      <c r="T263" s="1">
        <v>4</v>
      </c>
      <c r="U263" s="268" t="str">
        <f t="shared" si="19"/>
        <v>Normal</v>
      </c>
      <c r="V263" s="268" t="str">
        <f t="shared" si="20"/>
        <v>Normal</v>
      </c>
      <c r="W263" s="270">
        <f t="shared" si="21"/>
        <v>-0.19523809523809524</v>
      </c>
      <c r="X263" s="270">
        <f t="shared" si="22"/>
        <v>-0.27272727272727271</v>
      </c>
      <c r="Y263" s="249"/>
      <c r="Z263" s="249"/>
      <c r="AA263" s="249"/>
      <c r="AB263" s="249"/>
      <c r="AC263" s="249"/>
      <c r="AD263" s="249"/>
      <c r="AE263" s="249"/>
      <c r="AF263" s="249"/>
      <c r="AG263" s="249"/>
      <c r="AH263" s="249"/>
      <c r="AI263" s="249"/>
      <c r="AJ263" s="249"/>
      <c r="AK263" s="249"/>
      <c r="AL263" s="249"/>
    </row>
    <row r="264" spans="1:42">
      <c r="A264" s="21">
        <v>44914</v>
      </c>
      <c r="B264" s="17">
        <f>IF(YEAR(Table9[[#This Row],[Date]]) = 2022, WEEKNUM(Table9[[#This Row],[Date]])-13, WEEKNUM(Table9[[#This Row],[Date]])+40)</f>
        <v>39</v>
      </c>
      <c r="C264" s="1" t="s">
        <v>48</v>
      </c>
      <c r="D264" s="1" t="s">
        <v>59</v>
      </c>
      <c r="E264" s="1">
        <v>1190</v>
      </c>
      <c r="F264" s="1">
        <v>1079</v>
      </c>
      <c r="G264" s="87">
        <f>IFERROR((Table6[[#This Row],[Calls Off]]-E257)/E257,0)</f>
        <v>6.1552185548617307E-2</v>
      </c>
      <c r="H264" s="87">
        <f>IFERROR((Table6[[#This Row],[Calls Ans]]-F257)/F257,0)</f>
        <v>8.4422110552763815E-2</v>
      </c>
      <c r="I264" s="1">
        <f>I263+Table6[[#This Row],[Calls Off]]</f>
        <v>19031</v>
      </c>
      <c r="J264" s="1">
        <f>J263+Table6[[#This Row],[Calls Ans]]</f>
        <v>14115</v>
      </c>
      <c r="K264" s="1">
        <f>K263+Table6[[#This Row],[Calls Off]]</f>
        <v>219468</v>
      </c>
      <c r="L264" s="1">
        <f>L263+Table6[[#This Row],[Calls Ans]]</f>
        <v>158998</v>
      </c>
      <c r="M264" s="18">
        <v>0.66</v>
      </c>
      <c r="N264" s="18">
        <v>0.09</v>
      </c>
      <c r="O264" s="18">
        <v>0.91</v>
      </c>
      <c r="P264" s="18">
        <v>0.71</v>
      </c>
      <c r="Q264" s="193"/>
      <c r="R264" s="173">
        <v>0</v>
      </c>
      <c r="S264" s="173">
        <v>0</v>
      </c>
      <c r="T264" s="1">
        <v>14</v>
      </c>
      <c r="U264" s="268" t="str">
        <f t="shared" si="19"/>
        <v>Normal</v>
      </c>
      <c r="V264" s="268" t="str">
        <f t="shared" si="20"/>
        <v>Normal</v>
      </c>
      <c r="W264" s="270">
        <f t="shared" si="21"/>
        <v>6.1552185548617307E-2</v>
      </c>
      <c r="X264" s="270">
        <f t="shared" si="22"/>
        <v>8.4422110552763815E-2</v>
      </c>
      <c r="Y264" s="249"/>
      <c r="Z264" s="249"/>
      <c r="AA264" s="249"/>
      <c r="AB264" s="249"/>
      <c r="AC264" s="249"/>
      <c r="AD264" s="249"/>
      <c r="AE264" s="249"/>
      <c r="AF264" s="249"/>
      <c r="AG264" s="249"/>
      <c r="AH264" s="249"/>
      <c r="AI264" s="249"/>
      <c r="AJ264" s="249"/>
      <c r="AK264" s="249"/>
      <c r="AL264" s="249"/>
      <c r="AN264" s="50"/>
      <c r="AO264" s="50"/>
      <c r="AP264" s="50"/>
    </row>
    <row r="265" spans="1:42">
      <c r="A265" s="21">
        <v>44915</v>
      </c>
      <c r="B265" s="17">
        <f>IF(YEAR(Table9[[#This Row],[Date]]) = 2022, WEEKNUM(Table9[[#This Row],[Date]])-13, WEEKNUM(Table9[[#This Row],[Date]])+40)</f>
        <v>39</v>
      </c>
      <c r="C265" s="1" t="s">
        <v>49</v>
      </c>
      <c r="D265" s="1" t="s">
        <v>59</v>
      </c>
      <c r="E265" s="1">
        <v>1230</v>
      </c>
      <c r="F265" s="1">
        <v>845</v>
      </c>
      <c r="G265" s="87">
        <f>IFERROR((Table6[[#This Row],[Calls Off]]-E258)/E258,0)</f>
        <v>5.5793991416309016E-2</v>
      </c>
      <c r="H265" s="87">
        <f>IFERROR((Table6[[#This Row],[Calls Ans]]-F258)/F258,0)</f>
        <v>-0.12070759625390219</v>
      </c>
      <c r="I265" s="1">
        <f>I264+Table6[[#This Row],[Calls Off]]</f>
        <v>20261</v>
      </c>
      <c r="J265" s="1">
        <f>J264+Table6[[#This Row],[Calls Ans]]</f>
        <v>14960</v>
      </c>
      <c r="K265" s="1">
        <f>K264+Table6[[#This Row],[Calls Off]]</f>
        <v>220698</v>
      </c>
      <c r="L265" s="1">
        <f>L264+Table6[[#This Row],[Calls Ans]]</f>
        <v>159843</v>
      </c>
      <c r="M265" s="18">
        <v>0.24</v>
      </c>
      <c r="N265" s="18">
        <v>0.31</v>
      </c>
      <c r="O265" s="18">
        <v>0.69</v>
      </c>
      <c r="P265" s="18">
        <v>0.71</v>
      </c>
      <c r="Q265" s="193"/>
      <c r="R265" s="173">
        <v>0</v>
      </c>
      <c r="S265" s="173">
        <v>0</v>
      </c>
      <c r="T265" s="1">
        <v>11</v>
      </c>
      <c r="U265" s="268" t="str">
        <f t="shared" si="19"/>
        <v>Normal</v>
      </c>
      <c r="V265" s="268" t="str">
        <f t="shared" si="20"/>
        <v>Normal</v>
      </c>
      <c r="W265" s="270">
        <f t="shared" si="21"/>
        <v>5.5793991416309016E-2</v>
      </c>
      <c r="X265" s="270">
        <f t="shared" si="22"/>
        <v>-0.12070759625390219</v>
      </c>
      <c r="Y265" s="249"/>
      <c r="Z265" s="249"/>
      <c r="AA265" s="249"/>
      <c r="AB265" s="249"/>
      <c r="AC265" s="249"/>
      <c r="AD265" s="249"/>
      <c r="AE265" s="249"/>
      <c r="AF265" s="249"/>
      <c r="AG265" s="249"/>
      <c r="AH265" s="249"/>
      <c r="AI265" s="249"/>
      <c r="AJ265" s="249"/>
      <c r="AK265" s="249"/>
      <c r="AL265" s="249"/>
    </row>
    <row r="266" spans="1:42">
      <c r="A266" s="21">
        <v>44916</v>
      </c>
      <c r="B266" s="17">
        <f>IF(YEAR(Table9[[#This Row],[Date]]) = 2022, WEEKNUM(Table9[[#This Row],[Date]])-13, WEEKNUM(Table9[[#This Row],[Date]])+40)</f>
        <v>39</v>
      </c>
      <c r="C266" s="1" t="s">
        <v>50</v>
      </c>
      <c r="D266" s="1" t="s">
        <v>59</v>
      </c>
      <c r="E266" s="1">
        <v>1321</v>
      </c>
      <c r="F266" s="1">
        <v>867</v>
      </c>
      <c r="G266" s="87">
        <f>IFERROR((Table6[[#This Row],[Calls Off]]-E259)/E259,0)</f>
        <v>0.2265552460538533</v>
      </c>
      <c r="H266" s="87">
        <f>IFERROR((Table6[[#This Row],[Calls Ans]]-F259)/F259,0)</f>
        <v>-8.5443037974683542E-2</v>
      </c>
      <c r="I266" s="1">
        <f>I265+Table6[[#This Row],[Calls Off]]</f>
        <v>21582</v>
      </c>
      <c r="J266" s="1">
        <f>J265+Table6[[#This Row],[Calls Ans]]</f>
        <v>15827</v>
      </c>
      <c r="K266" s="1">
        <f>K265+Table6[[#This Row],[Calls Off]]</f>
        <v>222019</v>
      </c>
      <c r="L266" s="1">
        <f>L265+Table6[[#This Row],[Calls Ans]]</f>
        <v>160710</v>
      </c>
      <c r="M266" s="18">
        <v>0.11</v>
      </c>
      <c r="N266" s="18">
        <v>0.34</v>
      </c>
      <c r="O266" s="18">
        <v>0.66</v>
      </c>
      <c r="P266" s="18">
        <v>0.67</v>
      </c>
      <c r="Q266" s="193"/>
      <c r="R266" s="173">
        <v>0</v>
      </c>
      <c r="S266" s="173">
        <v>0</v>
      </c>
      <c r="T266" s="1">
        <v>12</v>
      </c>
      <c r="U266" s="268" t="str">
        <f t="shared" si="19"/>
        <v>Normal</v>
      </c>
      <c r="V266" s="268" t="str">
        <f t="shared" si="20"/>
        <v>Normal</v>
      </c>
      <c r="W266" s="270">
        <f t="shared" si="21"/>
        <v>0.2265552460538533</v>
      </c>
      <c r="X266" s="270">
        <f t="shared" si="22"/>
        <v>-8.5443037974683542E-2</v>
      </c>
      <c r="Y266" s="249"/>
      <c r="Z266" s="249"/>
      <c r="AA266" s="249"/>
      <c r="AB266" s="249"/>
      <c r="AC266" s="249"/>
      <c r="AD266" s="249"/>
      <c r="AE266" s="249"/>
      <c r="AF266" s="249"/>
      <c r="AG266" s="249"/>
      <c r="AH266" s="249"/>
      <c r="AI266" s="249"/>
      <c r="AJ266" s="249"/>
      <c r="AK266" s="249"/>
      <c r="AL266" s="249"/>
    </row>
    <row r="267" spans="1:42">
      <c r="A267" s="21">
        <v>44917</v>
      </c>
      <c r="B267" s="17">
        <f>IF(YEAR(Table9[[#This Row],[Date]]) = 2022, WEEKNUM(Table9[[#This Row],[Date]])-13, WEEKNUM(Table9[[#This Row],[Date]])+40)</f>
        <v>39</v>
      </c>
      <c r="C267" s="1" t="s">
        <v>51</v>
      </c>
      <c r="D267" s="1" t="s">
        <v>59</v>
      </c>
      <c r="E267" s="1">
        <v>1294</v>
      </c>
      <c r="F267" s="1">
        <v>974</v>
      </c>
      <c r="G267" s="87">
        <f>IFERROR((Table6[[#This Row],[Calls Off]]-E260)/E260,0)</f>
        <v>0.28628230616302186</v>
      </c>
      <c r="H267" s="87">
        <f>IFERROR((Table6[[#This Row],[Calls Ans]]-F260)/F260,0)</f>
        <v>7.6243093922651939E-2</v>
      </c>
      <c r="I267" s="1">
        <f>I266+Table6[[#This Row],[Calls Off]]</f>
        <v>22876</v>
      </c>
      <c r="J267" s="1">
        <f>J266+Table6[[#This Row],[Calls Ans]]</f>
        <v>16801</v>
      </c>
      <c r="K267" s="1">
        <f>K266+Table6[[#This Row],[Calls Off]]</f>
        <v>223313</v>
      </c>
      <c r="L267" s="1">
        <f>L266+Table6[[#This Row],[Calls Ans]]</f>
        <v>161684</v>
      </c>
      <c r="M267" s="18">
        <v>0.27</v>
      </c>
      <c r="N267" s="18">
        <v>0.25</v>
      </c>
      <c r="O267" s="18">
        <v>0.75</v>
      </c>
      <c r="P267" s="18">
        <v>0.6</v>
      </c>
      <c r="Q267" s="193"/>
      <c r="R267" s="173">
        <v>0</v>
      </c>
      <c r="S267" s="173">
        <v>0</v>
      </c>
      <c r="T267" s="1">
        <v>15</v>
      </c>
      <c r="U267" s="268" t="str">
        <f t="shared" si="19"/>
        <v>Normal</v>
      </c>
      <c r="V267" s="268" t="str">
        <f t="shared" si="20"/>
        <v>Normal</v>
      </c>
      <c r="W267" s="270">
        <f t="shared" si="21"/>
        <v>0.28628230616302186</v>
      </c>
      <c r="X267" s="270">
        <f t="shared" si="22"/>
        <v>7.6243093922651939E-2</v>
      </c>
      <c r="Y267" s="249"/>
      <c r="Z267" s="249"/>
      <c r="AA267" s="249"/>
      <c r="AB267" s="249"/>
      <c r="AC267" s="249"/>
      <c r="AD267" s="249"/>
      <c r="AE267" s="249"/>
      <c r="AF267" s="249"/>
      <c r="AG267" s="249"/>
      <c r="AH267" s="249"/>
      <c r="AI267" s="249"/>
      <c r="AJ267" s="249"/>
      <c r="AK267" s="249"/>
      <c r="AL267" s="249"/>
    </row>
    <row r="268" spans="1:42">
      <c r="A268" s="21">
        <v>44918</v>
      </c>
      <c r="B268" s="17">
        <f>IF(YEAR(Table9[[#This Row],[Date]]) = 2022, WEEKNUM(Table9[[#This Row],[Date]])-13, WEEKNUM(Table9[[#This Row],[Date]])+40)</f>
        <v>39</v>
      </c>
      <c r="C268" s="1" t="s">
        <v>52</v>
      </c>
      <c r="D268" s="1" t="s">
        <v>59</v>
      </c>
      <c r="E268" s="1">
        <v>1237</v>
      </c>
      <c r="F268" s="1">
        <v>886</v>
      </c>
      <c r="G268" s="87">
        <f>IFERROR((Table6[[#This Row],[Calls Off]]-E261)/E261,0)</f>
        <v>0.24823410696266399</v>
      </c>
      <c r="H268" s="87">
        <f>IFERROR((Table6[[#This Row],[Calls Ans]]-F261)/F261,0)</f>
        <v>-2.0994475138121547E-2</v>
      </c>
      <c r="I268" s="1">
        <f>I267+Table6[[#This Row],[Calls Off]]</f>
        <v>24113</v>
      </c>
      <c r="J268" s="1">
        <f>J267+Table6[[#This Row],[Calls Ans]]</f>
        <v>17687</v>
      </c>
      <c r="K268" s="1">
        <f>K267+Table6[[#This Row],[Calls Off]]</f>
        <v>224550</v>
      </c>
      <c r="L268" s="1">
        <f>L267+Table6[[#This Row],[Calls Ans]]</f>
        <v>162570</v>
      </c>
      <c r="M268" s="18">
        <v>0.23</v>
      </c>
      <c r="N268" s="18">
        <v>0.28000000000000003</v>
      </c>
      <c r="O268" s="18">
        <v>0.72</v>
      </c>
      <c r="P268" s="18">
        <v>0.51</v>
      </c>
      <c r="Q268" s="193"/>
      <c r="R268" s="173">
        <v>0</v>
      </c>
      <c r="S268" s="173">
        <v>0</v>
      </c>
      <c r="T268" s="1">
        <v>16</v>
      </c>
      <c r="U268" s="268" t="str">
        <f t="shared" si="19"/>
        <v>Normal</v>
      </c>
      <c r="V268" s="268" t="str">
        <f t="shared" si="20"/>
        <v>Normal</v>
      </c>
      <c r="W268" s="270">
        <f t="shared" si="21"/>
        <v>0.24823410696266399</v>
      </c>
      <c r="X268" s="270">
        <f t="shared" si="22"/>
        <v>-2.0994475138121547E-2</v>
      </c>
      <c r="Y268" s="249"/>
      <c r="Z268" s="249"/>
      <c r="AA268" s="249"/>
      <c r="AB268" s="249"/>
      <c r="AC268" s="249"/>
      <c r="AD268" s="249"/>
      <c r="AE268" s="249"/>
      <c r="AF268" s="249"/>
      <c r="AG268" s="249"/>
      <c r="AH268" s="249"/>
      <c r="AI268" s="249"/>
      <c r="AJ268" s="249"/>
      <c r="AK268" s="249"/>
      <c r="AL268" s="249"/>
    </row>
    <row r="269" spans="1:42">
      <c r="A269" s="21">
        <v>44919</v>
      </c>
      <c r="B269" s="17">
        <f>IF(YEAR(Table9[[#This Row],[Date]]) = 2022, WEEKNUM(Table9[[#This Row],[Date]])-13, WEEKNUM(Table9[[#This Row],[Date]])+40)</f>
        <v>39</v>
      </c>
      <c r="C269" s="1" t="s">
        <v>53</v>
      </c>
      <c r="D269" s="1" t="s">
        <v>59</v>
      </c>
      <c r="E269" s="1">
        <v>814</v>
      </c>
      <c r="F269" s="1">
        <v>597</v>
      </c>
      <c r="G269" s="87">
        <f>IFERROR((Table6[[#This Row],[Calls Off]]-E262)/E262,0)</f>
        <v>-0.3952451708766716</v>
      </c>
      <c r="H269" s="87">
        <f>IFERROR((Table6[[#This Row],[Calls Ans]]-F262)/F262,0)</f>
        <v>-0.38390092879256965</v>
      </c>
      <c r="I269" s="1">
        <f>I268+Table6[[#This Row],[Calls Off]]</f>
        <v>24927</v>
      </c>
      <c r="J269" s="1">
        <f>J268+Table6[[#This Row],[Calls Ans]]</f>
        <v>18284</v>
      </c>
      <c r="K269" s="1">
        <f>K268+Table6[[#This Row],[Calls Off]]</f>
        <v>225364</v>
      </c>
      <c r="L269" s="1">
        <f>L268+Table6[[#This Row],[Calls Ans]]</f>
        <v>163167</v>
      </c>
      <c r="M269" s="18">
        <v>0.27</v>
      </c>
      <c r="N269" s="18">
        <v>0.27</v>
      </c>
      <c r="O269" s="18">
        <v>0.73</v>
      </c>
      <c r="P269" s="18">
        <v>0.43</v>
      </c>
      <c r="Q269" s="193"/>
      <c r="R269" s="173">
        <v>0</v>
      </c>
      <c r="S269" s="173">
        <v>0</v>
      </c>
      <c r="T269" s="1">
        <v>13</v>
      </c>
      <c r="U269" s="268" t="str">
        <f t="shared" si="19"/>
        <v>Outlier</v>
      </c>
      <c r="V269" s="268" t="str">
        <f t="shared" si="20"/>
        <v>Outlier</v>
      </c>
      <c r="W269" s="270">
        <f t="shared" si="21"/>
        <v>-0.3952451708766716</v>
      </c>
      <c r="X269" s="270">
        <f t="shared" si="22"/>
        <v>-0.38390092879256965</v>
      </c>
      <c r="Y269" s="249"/>
      <c r="Z269" s="249"/>
      <c r="AA269" s="249"/>
      <c r="AB269" s="249"/>
      <c r="AC269" s="249"/>
      <c r="AD269" s="249"/>
      <c r="AE269" s="249"/>
      <c r="AF269" s="249"/>
      <c r="AG269" s="249"/>
      <c r="AH269" s="249"/>
      <c r="AI269" s="249"/>
      <c r="AJ269" s="249"/>
      <c r="AK269" s="249"/>
      <c r="AL269" s="249"/>
    </row>
    <row r="270" spans="1:42">
      <c r="A270" s="21">
        <v>44920</v>
      </c>
      <c r="B270" s="17">
        <f>IF(YEAR(Table9[[#This Row],[Date]]) = 2022, WEEKNUM(Table9[[#This Row],[Date]])-13, WEEKNUM(Table9[[#This Row],[Date]])+40)</f>
        <v>40</v>
      </c>
      <c r="C270" s="1" t="s">
        <v>47</v>
      </c>
      <c r="D270" s="1" t="s">
        <v>59</v>
      </c>
      <c r="E270" s="1">
        <v>0</v>
      </c>
      <c r="F270" s="1">
        <v>0</v>
      </c>
      <c r="G270" s="19">
        <v>0</v>
      </c>
      <c r="H270" s="19">
        <v>0</v>
      </c>
      <c r="I270" s="1">
        <v>0</v>
      </c>
      <c r="J270" s="1">
        <v>0</v>
      </c>
      <c r="K270" s="1">
        <v>0</v>
      </c>
      <c r="L270" s="1">
        <v>0</v>
      </c>
      <c r="M270" s="18">
        <v>0</v>
      </c>
      <c r="N270" s="18">
        <v>0</v>
      </c>
      <c r="O270" s="18">
        <v>0</v>
      </c>
      <c r="P270" s="18">
        <v>0</v>
      </c>
      <c r="Q270" s="193"/>
      <c r="R270" s="173">
        <v>0</v>
      </c>
      <c r="S270" s="173">
        <v>0</v>
      </c>
      <c r="T270" s="1">
        <v>0</v>
      </c>
      <c r="U270" s="268" t="str">
        <f t="shared" si="19"/>
        <v>Normal</v>
      </c>
      <c r="V270" s="268" t="str">
        <f t="shared" si="20"/>
        <v>Normal</v>
      </c>
      <c r="W270" s="270">
        <f t="shared" si="21"/>
        <v>0</v>
      </c>
      <c r="X270" s="270">
        <f t="shared" si="22"/>
        <v>0</v>
      </c>
      <c r="Y270" s="249"/>
      <c r="Z270" s="249"/>
      <c r="AA270" s="249"/>
      <c r="AB270" s="249"/>
      <c r="AC270" s="249"/>
      <c r="AD270" s="249"/>
      <c r="AE270" s="249"/>
      <c r="AF270" s="249"/>
      <c r="AG270" s="249"/>
      <c r="AH270" s="249"/>
      <c r="AI270" s="249"/>
      <c r="AJ270" s="249"/>
      <c r="AK270" s="249"/>
      <c r="AL270" s="249"/>
    </row>
    <row r="271" spans="1:42">
      <c r="A271" s="21">
        <v>44921</v>
      </c>
      <c r="B271" s="17">
        <f>IF(YEAR(Table9[[#This Row],[Date]]) = 2022, WEEKNUM(Table9[[#This Row],[Date]])-13, WEEKNUM(Table9[[#This Row],[Date]])+40)</f>
        <v>40</v>
      </c>
      <c r="C271" s="1" t="s">
        <v>63</v>
      </c>
      <c r="D271" s="1" t="s">
        <v>59</v>
      </c>
      <c r="E271" s="1">
        <v>0</v>
      </c>
      <c r="F271" s="1">
        <v>0</v>
      </c>
      <c r="G271" s="19">
        <v>0</v>
      </c>
      <c r="H271" s="19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18">
        <v>0</v>
      </c>
      <c r="O271" s="18">
        <v>0</v>
      </c>
      <c r="P271" s="18">
        <v>0</v>
      </c>
      <c r="Q271" s="193"/>
      <c r="R271" s="173">
        <v>0</v>
      </c>
      <c r="S271" s="173">
        <v>0</v>
      </c>
      <c r="T271" s="1">
        <v>0</v>
      </c>
      <c r="U271" s="268" t="str">
        <f t="shared" si="19"/>
        <v>Normal</v>
      </c>
      <c r="V271" s="268" t="str">
        <f t="shared" si="20"/>
        <v>Normal</v>
      </c>
      <c r="W271" s="270">
        <f t="shared" si="21"/>
        <v>0</v>
      </c>
      <c r="X271" s="270">
        <f t="shared" si="22"/>
        <v>0</v>
      </c>
      <c r="Y271" s="249"/>
      <c r="Z271" s="249"/>
      <c r="AA271" s="249"/>
      <c r="AB271" s="249"/>
      <c r="AC271" s="249"/>
      <c r="AD271" s="249"/>
      <c r="AE271" s="249"/>
      <c r="AF271" s="249"/>
      <c r="AG271" s="249"/>
      <c r="AH271" s="249"/>
      <c r="AI271" s="249"/>
      <c r="AJ271" s="249"/>
      <c r="AK271" s="249"/>
      <c r="AL271" s="249"/>
    </row>
    <row r="272" spans="1:42">
      <c r="A272" s="21">
        <v>44922</v>
      </c>
      <c r="B272" s="17">
        <f>IF(YEAR(Table9[[#This Row],[Date]]) = 2022, WEEKNUM(Table9[[#This Row],[Date]])-13, WEEKNUM(Table9[[#This Row],[Date]])+40)</f>
        <v>40</v>
      </c>
      <c r="C272" s="1" t="s">
        <v>63</v>
      </c>
      <c r="D272" s="1" t="s">
        <v>59</v>
      </c>
      <c r="E272" s="1">
        <v>0</v>
      </c>
      <c r="F272" s="1">
        <v>0</v>
      </c>
      <c r="G272" s="19">
        <v>0</v>
      </c>
      <c r="H272" s="19">
        <v>0</v>
      </c>
      <c r="I272" s="1">
        <v>0</v>
      </c>
      <c r="J272" s="1">
        <v>0</v>
      </c>
      <c r="K272" s="1">
        <v>0</v>
      </c>
      <c r="L272" s="1">
        <v>0</v>
      </c>
      <c r="M272" s="18">
        <v>0</v>
      </c>
      <c r="N272" s="18">
        <v>0</v>
      </c>
      <c r="O272" s="18">
        <v>0</v>
      </c>
      <c r="P272" s="18">
        <v>0</v>
      </c>
      <c r="Q272" s="193"/>
      <c r="R272" s="173">
        <v>0</v>
      </c>
      <c r="S272" s="173">
        <v>0</v>
      </c>
      <c r="T272" s="1">
        <v>0</v>
      </c>
      <c r="U272" s="268" t="str">
        <f t="shared" si="19"/>
        <v>Normal</v>
      </c>
      <c r="V272" s="268" t="str">
        <f t="shared" si="20"/>
        <v>Normal</v>
      </c>
      <c r="W272" s="270">
        <f t="shared" si="21"/>
        <v>0</v>
      </c>
      <c r="X272" s="270">
        <f t="shared" si="22"/>
        <v>0</v>
      </c>
      <c r="Y272" s="249"/>
      <c r="Z272" s="249"/>
      <c r="AA272" s="249"/>
      <c r="AB272" s="249"/>
      <c r="AC272" s="249"/>
      <c r="AD272" s="249"/>
      <c r="AE272" s="249"/>
      <c r="AF272" s="249"/>
      <c r="AG272" s="249"/>
      <c r="AH272" s="249"/>
      <c r="AI272" s="249"/>
      <c r="AJ272" s="249"/>
      <c r="AK272" s="249"/>
      <c r="AL272" s="249"/>
    </row>
    <row r="273" spans="1:48">
      <c r="A273" s="21">
        <v>44923</v>
      </c>
      <c r="B273" s="17">
        <f>IF(YEAR(Table9[[#This Row],[Date]]) = 2022, WEEKNUM(Table9[[#This Row],[Date]])-13, WEEKNUM(Table9[[#This Row],[Date]])+40)</f>
        <v>40</v>
      </c>
      <c r="C273" s="1" t="s">
        <v>50</v>
      </c>
      <c r="D273" s="1" t="s">
        <v>59</v>
      </c>
      <c r="E273" s="1">
        <v>1453</v>
      </c>
      <c r="F273" s="1">
        <v>906</v>
      </c>
      <c r="G273" s="87">
        <f>IFERROR((Table6[[#This Row],[Calls Off]]-E266)/E266,0)</f>
        <v>9.9924299772899322E-2</v>
      </c>
      <c r="H273" s="87">
        <f>IFERROR((Table6[[#This Row],[Calls Ans]]-F266)/F266,0)</f>
        <v>4.4982698961937718E-2</v>
      </c>
      <c r="I273" s="1">
        <f>I269+Table6[[#This Row],[Calls Off]]</f>
        <v>26380</v>
      </c>
      <c r="J273" s="1">
        <f>J269+Table6[[#This Row],[Calls Ans]]</f>
        <v>19190</v>
      </c>
      <c r="K273" s="1">
        <f>K269+Table6[[#This Row],[Calls Off]]</f>
        <v>226817</v>
      </c>
      <c r="L273" s="1">
        <f>L269+Table6[[#This Row],[Calls Ans]]</f>
        <v>164073</v>
      </c>
      <c r="M273" s="18">
        <v>0.08</v>
      </c>
      <c r="N273" s="18">
        <v>0.38</v>
      </c>
      <c r="O273" s="18">
        <v>0.62</v>
      </c>
      <c r="P273" s="18">
        <v>0.65</v>
      </c>
      <c r="Q273" s="193"/>
      <c r="R273" s="173">
        <v>0</v>
      </c>
      <c r="S273" s="173">
        <v>0</v>
      </c>
      <c r="T273" s="1">
        <v>13</v>
      </c>
      <c r="U273" s="268" t="str">
        <f t="shared" si="19"/>
        <v>Normal</v>
      </c>
      <c r="V273" s="268" t="str">
        <f t="shared" si="20"/>
        <v>Normal</v>
      </c>
      <c r="W273" s="270">
        <f t="shared" si="21"/>
        <v>9.9924299772899322E-2</v>
      </c>
      <c r="X273" s="270">
        <f t="shared" si="22"/>
        <v>4.4982698961937718E-2</v>
      </c>
      <c r="Y273" s="249"/>
      <c r="Z273" s="249"/>
      <c r="AA273" s="249"/>
      <c r="AB273" s="249"/>
      <c r="AC273" s="249"/>
      <c r="AD273" s="249"/>
      <c r="AE273" s="249"/>
      <c r="AF273" s="249"/>
      <c r="AG273" s="249"/>
      <c r="AH273" s="249"/>
      <c r="AI273" s="249"/>
      <c r="AJ273" s="249"/>
      <c r="AK273" s="249"/>
      <c r="AL273" s="249"/>
    </row>
    <row r="274" spans="1:48">
      <c r="A274" s="21">
        <v>44924</v>
      </c>
      <c r="B274" s="17">
        <f>IF(YEAR(Table9[[#This Row],[Date]]) = 2022, WEEKNUM(Table9[[#This Row],[Date]])-13, WEEKNUM(Table9[[#This Row],[Date]])+40)</f>
        <v>40</v>
      </c>
      <c r="C274" s="1" t="s">
        <v>51</v>
      </c>
      <c r="D274" s="1" t="s">
        <v>59</v>
      </c>
      <c r="E274" s="1">
        <v>1153</v>
      </c>
      <c r="F274" s="1">
        <v>922</v>
      </c>
      <c r="G274" s="87">
        <f>IFERROR((Table6[[#This Row],[Calls Off]]-E267)/E267,0)</f>
        <v>-0.10896445131375579</v>
      </c>
      <c r="H274" s="87">
        <f>IFERROR((Table6[[#This Row],[Calls Ans]]-F267)/F267,0)</f>
        <v>-5.3388090349075976E-2</v>
      </c>
      <c r="I274" s="1">
        <f>I273+Table6[[#This Row],[Calls Off]]</f>
        <v>27533</v>
      </c>
      <c r="J274" s="1">
        <f>J273+Table6[[#This Row],[Calls Ans]]</f>
        <v>20112</v>
      </c>
      <c r="K274" s="1">
        <f>K273+Table6[[#This Row],[Calls Off]]</f>
        <v>227970</v>
      </c>
      <c r="L274" s="1">
        <f>L273+Table6[[#This Row],[Calls Ans]]</f>
        <v>164995</v>
      </c>
      <c r="M274" s="18">
        <v>0.39</v>
      </c>
      <c r="N274" s="18">
        <v>0.2</v>
      </c>
      <c r="O274" s="18">
        <v>0.8</v>
      </c>
      <c r="P274" s="18">
        <v>0.61</v>
      </c>
      <c r="Q274" s="193"/>
      <c r="R274" s="173">
        <v>0</v>
      </c>
      <c r="S274" s="173">
        <v>0</v>
      </c>
      <c r="T274" s="1">
        <v>14</v>
      </c>
      <c r="U274" s="268" t="str">
        <f t="shared" si="19"/>
        <v>Normal</v>
      </c>
      <c r="V274" s="268" t="str">
        <f t="shared" si="20"/>
        <v>Normal</v>
      </c>
      <c r="W274" s="270">
        <f t="shared" si="21"/>
        <v>-0.10896445131375579</v>
      </c>
      <c r="X274" s="270">
        <f t="shared" si="22"/>
        <v>-5.3388090349075976E-2</v>
      </c>
      <c r="Y274" s="249"/>
      <c r="Z274" s="249"/>
      <c r="AA274" s="249"/>
      <c r="AB274" s="249"/>
      <c r="AC274" s="249"/>
      <c r="AD274" s="249"/>
      <c r="AE274" s="249"/>
      <c r="AF274" s="249"/>
      <c r="AG274" s="249"/>
      <c r="AH274" s="249"/>
      <c r="AI274" s="249"/>
      <c r="AJ274" s="249"/>
      <c r="AK274" s="249"/>
      <c r="AL274" s="249"/>
    </row>
    <row r="275" spans="1:48">
      <c r="A275" s="21">
        <v>44925</v>
      </c>
      <c r="B275" s="17">
        <f>IF(YEAR(Table9[[#This Row],[Date]]) = 2022, WEEKNUM(Table9[[#This Row],[Date]])-13, WEEKNUM(Table9[[#This Row],[Date]])+40)</f>
        <v>40</v>
      </c>
      <c r="C275" s="1" t="s">
        <v>52</v>
      </c>
      <c r="D275" s="1" t="s">
        <v>59</v>
      </c>
      <c r="E275" s="1">
        <v>1115</v>
      </c>
      <c r="F275" s="1">
        <v>718</v>
      </c>
      <c r="G275" s="87">
        <f>IFERROR((Table6[[#This Row],[Calls Off]]-E268)/E268,0)</f>
        <v>-9.8625707356507678E-2</v>
      </c>
      <c r="H275" s="87">
        <f>IFERROR((Table6[[#This Row],[Calls Ans]]-F268)/F268,0)</f>
        <v>-0.18961625282167044</v>
      </c>
      <c r="I275" s="1">
        <f>I274+Table6[[#This Row],[Calls Off]]</f>
        <v>28648</v>
      </c>
      <c r="J275" s="1">
        <f>J274+Table6[[#This Row],[Calls Ans]]</f>
        <v>20830</v>
      </c>
      <c r="K275" s="1">
        <f>K274+Table6[[#This Row],[Calls Off]]</f>
        <v>229085</v>
      </c>
      <c r="L275" s="1">
        <f>L274+Table6[[#This Row],[Calls Ans]]</f>
        <v>165713</v>
      </c>
      <c r="M275" s="18">
        <v>0.13</v>
      </c>
      <c r="N275" s="18">
        <v>0.36</v>
      </c>
      <c r="O275" s="18">
        <v>0.64</v>
      </c>
      <c r="P275" s="18">
        <v>0.51</v>
      </c>
      <c r="Q275" s="193"/>
      <c r="R275" s="173">
        <v>0</v>
      </c>
      <c r="S275" s="173">
        <v>0</v>
      </c>
      <c r="T275" s="1">
        <v>13</v>
      </c>
      <c r="U275" s="268" t="str">
        <f t="shared" si="19"/>
        <v>Normal</v>
      </c>
      <c r="V275" s="268" t="str">
        <f t="shared" si="20"/>
        <v>Normal</v>
      </c>
      <c r="W275" s="270">
        <f t="shared" si="21"/>
        <v>-9.8625707356507678E-2</v>
      </c>
      <c r="X275" s="270">
        <f t="shared" si="22"/>
        <v>-0.18961625282167044</v>
      </c>
      <c r="Y275" s="249"/>
      <c r="Z275" s="249"/>
      <c r="AA275" s="249"/>
      <c r="AB275" s="249"/>
      <c r="AC275" s="249"/>
      <c r="AD275" s="249"/>
      <c r="AE275" s="249"/>
      <c r="AF275" s="249"/>
      <c r="AG275" s="249"/>
      <c r="AH275" s="249"/>
      <c r="AI275" s="249"/>
      <c r="AJ275" s="249"/>
      <c r="AK275" s="249"/>
      <c r="AL275" s="249"/>
    </row>
    <row r="276" spans="1:48">
      <c r="A276" s="21">
        <v>44926</v>
      </c>
      <c r="B276" s="17">
        <f>IF(YEAR(Table9[[#This Row],[Date]]) = 2022, WEEKNUM(Table9[[#This Row],[Date]])-13, WEEKNUM(Table9[[#This Row],[Date]])+40)</f>
        <v>40</v>
      </c>
      <c r="C276" s="1" t="s">
        <v>53</v>
      </c>
      <c r="D276" s="1" t="s">
        <v>59</v>
      </c>
      <c r="E276" s="1">
        <v>818</v>
      </c>
      <c r="F276" s="1">
        <v>564</v>
      </c>
      <c r="G276" s="87">
        <f>IFERROR((Table6[[#This Row],[Calls Off]]-E269)/E269,0)</f>
        <v>4.9140049140049139E-3</v>
      </c>
      <c r="H276" s="87">
        <f>IFERROR((Table6[[#This Row],[Calls Ans]]-F269)/F269,0)</f>
        <v>-5.5276381909547742E-2</v>
      </c>
      <c r="I276" s="1">
        <f>I275+Table6[[#This Row],[Calls Off]]</f>
        <v>29466</v>
      </c>
      <c r="J276" s="1">
        <f>J275+Table6[[#This Row],[Calls Ans]]</f>
        <v>21394</v>
      </c>
      <c r="K276" s="1">
        <f>K275+Table6[[#This Row],[Calls Off]]</f>
        <v>229903</v>
      </c>
      <c r="L276" s="1">
        <f>L275+Table6[[#This Row],[Calls Ans]]</f>
        <v>166277</v>
      </c>
      <c r="M276" s="18">
        <v>0.27</v>
      </c>
      <c r="N276" s="18">
        <v>0.31</v>
      </c>
      <c r="O276" s="18">
        <v>0.69</v>
      </c>
      <c r="P276" s="18">
        <v>1.31</v>
      </c>
      <c r="Q276" s="193"/>
      <c r="R276" s="173">
        <v>0</v>
      </c>
      <c r="S276" s="173">
        <v>0</v>
      </c>
      <c r="T276" s="1">
        <v>4</v>
      </c>
      <c r="U276" s="268" t="str">
        <f t="shared" si="19"/>
        <v>Normal</v>
      </c>
      <c r="V276" s="268" t="str">
        <f t="shared" si="20"/>
        <v>Normal</v>
      </c>
      <c r="W276" s="270">
        <f t="shared" si="21"/>
        <v>4.9140049140049139E-3</v>
      </c>
      <c r="X276" s="270">
        <f t="shared" si="22"/>
        <v>-5.5276381909547742E-2</v>
      </c>
      <c r="Y276" s="249"/>
      <c r="Z276" s="249"/>
      <c r="AA276" s="249"/>
      <c r="AB276" s="249"/>
      <c r="AC276" s="249"/>
      <c r="AD276" s="249"/>
      <c r="AE276" s="249"/>
      <c r="AF276" s="249"/>
      <c r="AG276" s="249"/>
      <c r="AH276" s="249"/>
      <c r="AI276" s="249"/>
      <c r="AJ276" s="249"/>
      <c r="AK276" s="249"/>
      <c r="AL276" s="249"/>
      <c r="AN276">
        <f>AVERAGEIF(E2:E341,"&lt;&gt;0")</f>
        <v>979.56097560975604</v>
      </c>
    </row>
    <row r="277" spans="1:48" s="49" customFormat="1">
      <c r="A277" s="150">
        <v>44927</v>
      </c>
      <c r="B277" s="216">
        <f>IF(YEAR(Table9[[#This Row],[Date]]) = 2022, WEEKNUM(Table9[[#This Row],[Date]])-13, WEEKNUM(Table9[[#This Row],[Date]])+40)</f>
        <v>41</v>
      </c>
      <c r="C277" s="68" t="s">
        <v>47</v>
      </c>
      <c r="D277" s="68" t="s">
        <v>59</v>
      </c>
      <c r="E277" s="68">
        <v>0</v>
      </c>
      <c r="F277" s="68">
        <v>0</v>
      </c>
      <c r="G277" s="148">
        <v>0</v>
      </c>
      <c r="H277" s="148">
        <v>0</v>
      </c>
      <c r="I277" s="68">
        <v>0</v>
      </c>
      <c r="J277" s="68">
        <v>0</v>
      </c>
      <c r="K277" s="68">
        <v>0</v>
      </c>
      <c r="L277" s="68">
        <v>0</v>
      </c>
      <c r="M277" s="2">
        <v>0</v>
      </c>
      <c r="N277" s="2">
        <v>0</v>
      </c>
      <c r="O277" s="2">
        <v>0</v>
      </c>
      <c r="P277" s="2">
        <v>0</v>
      </c>
      <c r="Q277" s="193"/>
      <c r="R277" s="209">
        <v>0</v>
      </c>
      <c r="S277" s="209">
        <v>0</v>
      </c>
      <c r="T277" s="209">
        <v>0</v>
      </c>
      <c r="U277" s="268" t="str">
        <f t="shared" si="19"/>
        <v>Normal</v>
      </c>
      <c r="V277" s="268" t="str">
        <f t="shared" si="20"/>
        <v>Normal</v>
      </c>
      <c r="W277" s="270">
        <f t="shared" si="21"/>
        <v>0</v>
      </c>
      <c r="X277" s="270">
        <f t="shared" si="22"/>
        <v>0</v>
      </c>
      <c r="Y277" s="267"/>
      <c r="Z277" s="267"/>
      <c r="AA277" s="267"/>
      <c r="AB277" s="267"/>
      <c r="AC277" s="267"/>
      <c r="AD277" s="267"/>
      <c r="AE277" s="267"/>
      <c r="AF277" s="267"/>
      <c r="AG277" s="267"/>
      <c r="AH277" s="267"/>
      <c r="AI277" s="267"/>
      <c r="AJ277" s="267"/>
      <c r="AK277" s="267"/>
      <c r="AL277" s="267"/>
      <c r="AN277"/>
      <c r="AO277"/>
      <c r="AP277"/>
    </row>
    <row r="278" spans="1:48">
      <c r="A278" s="21">
        <v>44928</v>
      </c>
      <c r="B278" s="17">
        <f>IF(YEAR(Table9[[#This Row],[Date]]) = 2022, WEEKNUM(Table9[[#This Row],[Date]])-13, WEEKNUM(Table9[[#This Row],[Date]])+40)</f>
        <v>41</v>
      </c>
      <c r="C278" s="1" t="s">
        <v>63</v>
      </c>
      <c r="D278" s="1" t="s">
        <v>59</v>
      </c>
      <c r="E278" s="1">
        <v>0</v>
      </c>
      <c r="F278" s="1">
        <v>0</v>
      </c>
      <c r="G278" s="19">
        <v>0</v>
      </c>
      <c r="H278" s="19">
        <v>0</v>
      </c>
      <c r="I278" s="1">
        <v>0</v>
      </c>
      <c r="J278" s="1">
        <v>0</v>
      </c>
      <c r="K278" s="1">
        <v>0</v>
      </c>
      <c r="L278" s="1">
        <v>0</v>
      </c>
      <c r="M278" s="18">
        <v>0</v>
      </c>
      <c r="N278" s="18">
        <v>0</v>
      </c>
      <c r="O278" s="18">
        <v>0</v>
      </c>
      <c r="P278" s="18">
        <v>0</v>
      </c>
      <c r="Q278" s="193"/>
      <c r="R278" s="173">
        <v>0</v>
      </c>
      <c r="S278" s="173">
        <v>0</v>
      </c>
      <c r="T278" s="173">
        <v>0</v>
      </c>
      <c r="U278" s="268" t="str">
        <f t="shared" si="19"/>
        <v>Normal</v>
      </c>
      <c r="V278" s="268" t="str">
        <f t="shared" si="20"/>
        <v>Normal</v>
      </c>
      <c r="W278" s="270">
        <f t="shared" si="21"/>
        <v>0</v>
      </c>
      <c r="X278" s="270">
        <f t="shared" si="22"/>
        <v>0</v>
      </c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</row>
    <row r="279" spans="1:48">
      <c r="A279" s="21">
        <v>44929</v>
      </c>
      <c r="B279" s="17">
        <f>IF(YEAR(Table9[[#This Row],[Date]]) = 2022, WEEKNUM(Table9[[#This Row],[Date]])-13, WEEKNUM(Table9[[#This Row],[Date]])+40)</f>
        <v>41</v>
      </c>
      <c r="C279" s="1" t="s">
        <v>49</v>
      </c>
      <c r="D279" s="1" t="s">
        <v>59</v>
      </c>
      <c r="E279" s="1">
        <v>1079</v>
      </c>
      <c r="F279" s="1">
        <v>1026</v>
      </c>
      <c r="G279" s="87">
        <f>IFERROR((Table6[[#This Row],[Calls Off]]-E272)/E272,0)</f>
        <v>0</v>
      </c>
      <c r="H279" s="87">
        <f>IFERROR((Table6[[#This Row],[Calls Ans]]-F272)/F272,0)</f>
        <v>0</v>
      </c>
      <c r="I279" s="1">
        <f>Table6[[#This Row],[Calls Off]]</f>
        <v>1079</v>
      </c>
      <c r="J279" s="1">
        <f>Table6[[#This Row],[Calls Ans]]</f>
        <v>1026</v>
      </c>
      <c r="K279" s="1">
        <f>K276+Table6[[#This Row],[Calls Off]]</f>
        <v>230982</v>
      </c>
      <c r="L279" s="1">
        <f>L276+Table6[[#This Row],[Calls Ans]]</f>
        <v>167303</v>
      </c>
      <c r="M279" s="18">
        <v>0.83</v>
      </c>
      <c r="N279" s="18">
        <v>0.05</v>
      </c>
      <c r="O279" s="18">
        <v>0.95</v>
      </c>
      <c r="P279" s="18">
        <v>0.68</v>
      </c>
      <c r="Q279" s="193"/>
      <c r="R279" s="232">
        <v>328</v>
      </c>
      <c r="S279" s="155">
        <v>1.8055555555555557E-2</v>
      </c>
      <c r="T279" s="1">
        <v>19</v>
      </c>
      <c r="U279" s="268" t="str">
        <f t="shared" si="19"/>
        <v>Normal</v>
      </c>
      <c r="V279" s="268" t="str">
        <f t="shared" si="20"/>
        <v>Normal</v>
      </c>
      <c r="W279" s="270">
        <f t="shared" si="21"/>
        <v>0</v>
      </c>
      <c r="X279" s="270">
        <f t="shared" si="22"/>
        <v>0</v>
      </c>
      <c r="Y279" s="249"/>
      <c r="Z279" s="249"/>
      <c r="AA279" s="249"/>
      <c r="AB279" s="249"/>
      <c r="AC279" s="249"/>
      <c r="AD279" s="249"/>
      <c r="AE279" s="249"/>
      <c r="AF279" s="249"/>
      <c r="AG279" s="249"/>
      <c r="AH279" s="249"/>
      <c r="AI279" s="249"/>
      <c r="AJ279" s="249"/>
      <c r="AK279" s="249"/>
      <c r="AL279" s="249"/>
      <c r="AR279">
        <f>MINUTE(Table6[[#This Row],[AHT]])</f>
        <v>0</v>
      </c>
      <c r="AS279">
        <f>SECOND(Table6[[#This Row],[AHT]])</f>
        <v>0</v>
      </c>
      <c r="AV279">
        <v>328</v>
      </c>
    </row>
    <row r="280" spans="1:48">
      <c r="A280" s="21">
        <v>44930</v>
      </c>
      <c r="B280" s="17">
        <f>IF(YEAR(Table9[[#This Row],[Date]]) = 2022, WEEKNUM(Table9[[#This Row],[Date]])-13, WEEKNUM(Table9[[#This Row],[Date]])+40)</f>
        <v>41</v>
      </c>
      <c r="C280" s="1" t="s">
        <v>50</v>
      </c>
      <c r="D280" s="1" t="s">
        <v>59</v>
      </c>
      <c r="E280" s="1">
        <v>1021</v>
      </c>
      <c r="F280" s="1">
        <v>941</v>
      </c>
      <c r="G280" s="87">
        <f>IFERROR((Table6[[#This Row],[Calls Off]]-E273)/E273,0)</f>
        <v>-0.29731589814177561</v>
      </c>
      <c r="H280" s="87">
        <f>IFERROR((Table6[[#This Row],[Calls Ans]]-F273)/F273,0)</f>
        <v>3.8631346578366449E-2</v>
      </c>
      <c r="I280" s="1">
        <f>I279+Table6[[#This Row],[Calls Off]]</f>
        <v>2100</v>
      </c>
      <c r="J280" s="1">
        <f>J279+Table6[[#This Row],[Calls Ans]]</f>
        <v>1967</v>
      </c>
      <c r="K280" s="1">
        <f>K279+Table6[[#This Row],[Calls Off]]</f>
        <v>232003</v>
      </c>
      <c r="L280" s="1">
        <f>L279+Table6[[#This Row],[Calls Ans]]</f>
        <v>168244</v>
      </c>
      <c r="M280" s="18">
        <v>0.75</v>
      </c>
      <c r="N280" s="18">
        <v>0.08</v>
      </c>
      <c r="O280" s="18">
        <v>0.92</v>
      </c>
      <c r="P280" s="18">
        <v>0.86</v>
      </c>
      <c r="Q280" s="193"/>
      <c r="R280" s="232">
        <v>356</v>
      </c>
      <c r="S280" s="155">
        <v>2.361111111111111E-2</v>
      </c>
      <c r="T280" s="1">
        <v>15</v>
      </c>
      <c r="U280" s="268" t="str">
        <f t="shared" si="19"/>
        <v>Normal</v>
      </c>
      <c r="V280" s="268" t="str">
        <f t="shared" si="20"/>
        <v>Normal</v>
      </c>
      <c r="W280" s="270">
        <f t="shared" si="21"/>
        <v>-0.29731589814177561</v>
      </c>
      <c r="X280" s="270">
        <f t="shared" si="22"/>
        <v>3.8631346578366449E-2</v>
      </c>
      <c r="Y280" s="249"/>
      <c r="Z280" s="249"/>
      <c r="AA280" s="249"/>
      <c r="AB280" s="249"/>
      <c r="AC280" s="249"/>
      <c r="AD280" s="249"/>
      <c r="AE280" s="249"/>
      <c r="AF280" s="249"/>
      <c r="AG280" s="249"/>
      <c r="AH280" s="249"/>
      <c r="AI280" s="249"/>
      <c r="AJ280" s="249"/>
      <c r="AK280" s="249"/>
      <c r="AL280" s="249"/>
      <c r="AR280">
        <f>MINUTE(Table6[[#This Row],[AHT]])</f>
        <v>0</v>
      </c>
      <c r="AS280">
        <f>SECOND(Table6[[#This Row],[AHT]])</f>
        <v>0</v>
      </c>
      <c r="AV280">
        <v>356</v>
      </c>
    </row>
    <row r="281" spans="1:48">
      <c r="A281" s="21">
        <v>44931</v>
      </c>
      <c r="B281" s="17">
        <f>IF(YEAR(Table9[[#This Row],[Date]]) = 2022, WEEKNUM(Table9[[#This Row],[Date]])-13, WEEKNUM(Table9[[#This Row],[Date]])+40)</f>
        <v>41</v>
      </c>
      <c r="C281" s="1" t="s">
        <v>51</v>
      </c>
      <c r="D281" s="1" t="s">
        <v>59</v>
      </c>
      <c r="E281" s="1">
        <v>1032</v>
      </c>
      <c r="F281" s="1">
        <v>908</v>
      </c>
      <c r="G281" s="87">
        <f>IFERROR((Table6[[#This Row],[Calls Off]]-E274)/E274,0)</f>
        <v>-0.1049436253252385</v>
      </c>
      <c r="H281" s="87">
        <f>IFERROR((Table6[[#This Row],[Calls Ans]]-F274)/F274,0)</f>
        <v>-1.5184381778741865E-2</v>
      </c>
      <c r="I281" s="1">
        <f>I280+Table6[[#This Row],[Calls Off]]</f>
        <v>3132</v>
      </c>
      <c r="J281" s="1">
        <f>J280+Table6[[#This Row],[Calls Ans]]</f>
        <v>2875</v>
      </c>
      <c r="K281" s="1">
        <f>K280+Table6[[#This Row],[Calls Off]]</f>
        <v>233035</v>
      </c>
      <c r="L281" s="1">
        <f>L280+Table6[[#This Row],[Calls Ans]]</f>
        <v>169152</v>
      </c>
      <c r="M281" s="18">
        <v>0.67</v>
      </c>
      <c r="N281" s="18">
        <v>0.12</v>
      </c>
      <c r="O281" s="18">
        <v>0.88</v>
      </c>
      <c r="P281" s="18">
        <v>0.83</v>
      </c>
      <c r="Q281" s="193"/>
      <c r="R281" s="232">
        <v>354</v>
      </c>
      <c r="S281" s="155">
        <v>4.1666666666666664E-2</v>
      </c>
      <c r="T281" s="1">
        <v>15</v>
      </c>
      <c r="U281" s="268" t="str">
        <f t="shared" si="19"/>
        <v>Normal</v>
      </c>
      <c r="V281" s="268" t="str">
        <f t="shared" si="20"/>
        <v>Normal</v>
      </c>
      <c r="W281" s="270">
        <f t="shared" si="21"/>
        <v>-0.1049436253252385</v>
      </c>
      <c r="X281" s="270">
        <f t="shared" si="22"/>
        <v>-1.5184381778741865E-2</v>
      </c>
      <c r="Y281" s="249"/>
      <c r="Z281" s="249"/>
      <c r="AA281" s="249"/>
      <c r="AB281" s="249"/>
      <c r="AC281" s="249"/>
      <c r="AD281" s="249"/>
      <c r="AE281" s="249"/>
      <c r="AF281" s="249"/>
      <c r="AG281" s="249"/>
      <c r="AH281" s="249"/>
      <c r="AI281" s="249"/>
      <c r="AJ281" s="249"/>
      <c r="AK281" s="249"/>
      <c r="AL281" s="249"/>
      <c r="AR281">
        <f>MINUTE(Table6[[#This Row],[AHT]])</f>
        <v>0</v>
      </c>
      <c r="AS281">
        <f>SECOND(Table6[[#This Row],[AHT]])</f>
        <v>0</v>
      </c>
      <c r="AV281">
        <v>354</v>
      </c>
    </row>
    <row r="282" spans="1:48">
      <c r="A282" s="21">
        <v>44932</v>
      </c>
      <c r="B282" s="17">
        <f>IF(YEAR(Table9[[#This Row],[Date]]) = 2022, WEEKNUM(Table9[[#This Row],[Date]])-13, WEEKNUM(Table9[[#This Row],[Date]])+40)</f>
        <v>41</v>
      </c>
      <c r="C282" s="1" t="s">
        <v>52</v>
      </c>
      <c r="D282" s="1" t="s">
        <v>59</v>
      </c>
      <c r="E282" s="1">
        <v>982</v>
      </c>
      <c r="F282" s="1">
        <v>837</v>
      </c>
      <c r="G282" s="87">
        <f>IFERROR((Table6[[#This Row],[Calls Off]]-E275)/E275,0)</f>
        <v>-0.11928251121076233</v>
      </c>
      <c r="H282" s="87">
        <f>IFERROR((Table6[[#This Row],[Calls Ans]]-F275)/F275,0)</f>
        <v>0.16573816155988857</v>
      </c>
      <c r="I282" s="1">
        <f>I281+Table6[[#This Row],[Calls Off]]</f>
        <v>4114</v>
      </c>
      <c r="J282" s="1">
        <f>J281+Table6[[#This Row],[Calls Ans]]</f>
        <v>3712</v>
      </c>
      <c r="K282" s="1">
        <f>K281+Table6[[#This Row],[Calls Off]]</f>
        <v>234017</v>
      </c>
      <c r="L282" s="1">
        <f>L281+Table6[[#This Row],[Calls Ans]]</f>
        <v>169989</v>
      </c>
      <c r="M282" s="18">
        <v>0.56999999999999995</v>
      </c>
      <c r="N282" s="18">
        <v>0.15</v>
      </c>
      <c r="O282" s="18">
        <v>0.85</v>
      </c>
      <c r="P282" s="18">
        <v>0.82</v>
      </c>
      <c r="Q282" s="193"/>
      <c r="R282" s="232">
        <v>354</v>
      </c>
      <c r="S282" s="155">
        <v>4.9305555555555554E-2</v>
      </c>
      <c r="T282" s="1">
        <v>14</v>
      </c>
      <c r="U282" s="268" t="str">
        <f t="shared" si="19"/>
        <v>Normal</v>
      </c>
      <c r="V282" s="268" t="str">
        <f t="shared" si="20"/>
        <v>Normal</v>
      </c>
      <c r="W282" s="270">
        <f t="shared" si="21"/>
        <v>-0.11928251121076233</v>
      </c>
      <c r="X282" s="270">
        <f t="shared" si="22"/>
        <v>0.16573816155988857</v>
      </c>
      <c r="Y282" s="249"/>
      <c r="Z282" s="249"/>
      <c r="AA282" s="249"/>
      <c r="AB282" s="249"/>
      <c r="AC282" s="249"/>
      <c r="AD282" s="249"/>
      <c r="AE282" s="249"/>
      <c r="AF282" s="249"/>
      <c r="AG282" s="249"/>
      <c r="AH282" s="249"/>
      <c r="AI282" s="249"/>
      <c r="AJ282" s="249"/>
      <c r="AK282" s="249"/>
      <c r="AL282" s="249"/>
      <c r="AR282">
        <f>MINUTE(Table6[[#This Row],[AHT]])</f>
        <v>0</v>
      </c>
      <c r="AS282">
        <f>SECOND(Table6[[#This Row],[AHT]])</f>
        <v>0</v>
      </c>
      <c r="AV282">
        <v>354</v>
      </c>
    </row>
    <row r="283" spans="1:48">
      <c r="A283" s="21">
        <v>44933</v>
      </c>
      <c r="B283" s="17">
        <f>IF(YEAR(Table9[[#This Row],[Date]]) = 2022, WEEKNUM(Table9[[#This Row],[Date]])-13, WEEKNUM(Table9[[#This Row],[Date]])+40)</f>
        <v>41</v>
      </c>
      <c r="C283" s="1" t="s">
        <v>53</v>
      </c>
      <c r="D283" s="1" t="s">
        <v>59</v>
      </c>
      <c r="E283" s="1">
        <v>819</v>
      </c>
      <c r="F283" s="1">
        <v>610</v>
      </c>
      <c r="G283" s="87">
        <f>IFERROR((Table6[[#This Row],[Calls Off]]-E276)/E276,0)</f>
        <v>1.2224938875305623E-3</v>
      </c>
      <c r="H283" s="87">
        <f>IFERROR((Table6[[#This Row],[Calls Ans]]-F276)/F276,0)</f>
        <v>8.1560283687943269E-2</v>
      </c>
      <c r="I283" s="1">
        <f>I282+Table6[[#This Row],[Calls Off]]</f>
        <v>4933</v>
      </c>
      <c r="J283" s="1">
        <f>J282+Table6[[#This Row],[Calls Ans]]</f>
        <v>4322</v>
      </c>
      <c r="K283" s="1">
        <f>K282+Table6[[#This Row],[Calls Off]]</f>
        <v>234836</v>
      </c>
      <c r="L283" s="1">
        <f>L282+Table6[[#This Row],[Calls Ans]]</f>
        <v>170599</v>
      </c>
      <c r="M283" s="18">
        <v>0.34</v>
      </c>
      <c r="N283" s="18">
        <v>0.26</v>
      </c>
      <c r="O283" s="18">
        <v>0.74</v>
      </c>
      <c r="P283" s="18">
        <v>0.76</v>
      </c>
      <c r="Q283" s="193"/>
      <c r="R283" s="232">
        <v>420</v>
      </c>
      <c r="S283" s="155">
        <v>8.3333333333333329E-2</v>
      </c>
      <c r="T283" s="1">
        <v>13</v>
      </c>
      <c r="U283" s="268" t="str">
        <f t="shared" si="19"/>
        <v>Normal</v>
      </c>
      <c r="V283" s="268" t="str">
        <f t="shared" si="20"/>
        <v>Normal</v>
      </c>
      <c r="W283" s="270">
        <f t="shared" si="21"/>
        <v>1.2224938875305623E-3</v>
      </c>
      <c r="X283" s="270">
        <f t="shared" si="22"/>
        <v>8.1560283687943269E-2</v>
      </c>
      <c r="Y283" s="249"/>
      <c r="Z283" s="249"/>
      <c r="AA283" s="249"/>
      <c r="AB283" s="249"/>
      <c r="AC283" s="249"/>
      <c r="AD283" s="249"/>
      <c r="AE283" s="249"/>
      <c r="AF283" s="249"/>
      <c r="AG283" s="249"/>
      <c r="AH283" s="249"/>
      <c r="AI283" s="249"/>
      <c r="AJ283" s="249"/>
      <c r="AK283" s="249"/>
      <c r="AL283" s="249"/>
      <c r="AR283">
        <f>MINUTE(Table6[[#This Row],[AHT]])</f>
        <v>0</v>
      </c>
      <c r="AS283">
        <f>SECOND(Table6[[#This Row],[AHT]])</f>
        <v>0</v>
      </c>
      <c r="AV283">
        <v>420</v>
      </c>
    </row>
    <row r="284" spans="1:48">
      <c r="A284" s="21">
        <v>44934</v>
      </c>
      <c r="B284" s="17">
        <f>IF(YEAR(Table9[[#This Row],[Date]]) = 2022, WEEKNUM(Table9[[#This Row],[Date]])-13, WEEKNUM(Table9[[#This Row],[Date]])+40)</f>
        <v>42</v>
      </c>
      <c r="C284" s="1" t="s">
        <v>47</v>
      </c>
      <c r="D284" s="1" t="s">
        <v>59</v>
      </c>
      <c r="E284" s="1">
        <v>0</v>
      </c>
      <c r="F284" s="1">
        <v>0</v>
      </c>
      <c r="G284" s="19">
        <v>0</v>
      </c>
      <c r="H284" s="19">
        <v>0</v>
      </c>
      <c r="I284" s="1">
        <v>0</v>
      </c>
      <c r="J284" s="1">
        <v>0</v>
      </c>
      <c r="K284" s="1">
        <v>0</v>
      </c>
      <c r="L284" s="1">
        <v>0</v>
      </c>
      <c r="M284" s="18">
        <v>0</v>
      </c>
      <c r="N284" s="18">
        <v>0</v>
      </c>
      <c r="O284" s="18">
        <v>0</v>
      </c>
      <c r="P284" s="18">
        <v>0</v>
      </c>
      <c r="Q284" s="193"/>
      <c r="R284" s="228">
        <v>0</v>
      </c>
      <c r="S284" s="155">
        <v>0</v>
      </c>
      <c r="T284" s="1">
        <v>0</v>
      </c>
      <c r="U284" s="268" t="str">
        <f t="shared" si="19"/>
        <v>Normal</v>
      </c>
      <c r="V284" s="268" t="str">
        <f t="shared" si="20"/>
        <v>Normal</v>
      </c>
      <c r="W284" s="270">
        <f t="shared" si="21"/>
        <v>0</v>
      </c>
      <c r="X284" s="270">
        <f t="shared" si="22"/>
        <v>0</v>
      </c>
      <c r="Y284" s="249"/>
      <c r="Z284" s="249"/>
      <c r="AA284" s="249"/>
      <c r="AB284" s="249"/>
      <c r="AC284" s="249"/>
      <c r="AD284" s="249"/>
      <c r="AE284" s="249"/>
      <c r="AF284" s="249"/>
      <c r="AG284" s="249"/>
      <c r="AH284" s="249"/>
      <c r="AI284" s="249"/>
      <c r="AJ284" s="249"/>
      <c r="AK284" s="249"/>
      <c r="AL284" s="249"/>
      <c r="AN284">
        <f>AVERAGEIF(P1:P366,"&lt;&gt;0")</f>
        <v>0.7292503949435476</v>
      </c>
      <c r="AR284">
        <f>MINUTE(Table6[[#This Row],[AHT]])</f>
        <v>0</v>
      </c>
      <c r="AS284">
        <f>SECOND(Table6[[#This Row],[AHT]])</f>
        <v>0</v>
      </c>
      <c r="AV284">
        <v>0</v>
      </c>
    </row>
    <row r="285" spans="1:48">
      <c r="A285" s="21">
        <v>44935</v>
      </c>
      <c r="B285" s="17">
        <f>IF(YEAR(Table9[[#This Row],[Date]]) = 2022, WEEKNUM(Table9[[#This Row],[Date]])-13, WEEKNUM(Table9[[#This Row],[Date]])+40)</f>
        <v>42</v>
      </c>
      <c r="C285" s="1" t="s">
        <v>48</v>
      </c>
      <c r="D285" s="1" t="s">
        <v>59</v>
      </c>
      <c r="E285" s="1">
        <v>960</v>
      </c>
      <c r="F285" s="1">
        <v>931</v>
      </c>
      <c r="G285" s="19">
        <f>IFERROR((Table6[[#This Row],[Calls Off]]-E278)/E278,0)</f>
        <v>0</v>
      </c>
      <c r="H285" s="19">
        <f>IFERROR((Table6[[#This Row],[Calls Ans]]-F278)/F278,0)</f>
        <v>0</v>
      </c>
      <c r="I285" s="1">
        <f>I283+Table6[[#This Row],[Calls Off]]</f>
        <v>5893</v>
      </c>
      <c r="J285" s="1">
        <f>J283+Table6[[#This Row],[Calls Ans]]</f>
        <v>5253</v>
      </c>
      <c r="K285" s="1">
        <f>K283+Table6[[#This Row],[Calls Off]]</f>
        <v>235796</v>
      </c>
      <c r="L285" s="1">
        <f>L283+Table6[[#This Row],[Calls Ans]]</f>
        <v>171530</v>
      </c>
      <c r="M285" s="18">
        <v>0.9</v>
      </c>
      <c r="N285" s="18">
        <v>0.03</v>
      </c>
      <c r="O285" s="18">
        <v>0.97</v>
      </c>
      <c r="P285" s="18">
        <v>0.71</v>
      </c>
      <c r="Q285" s="193"/>
      <c r="R285" s="232">
        <v>334</v>
      </c>
      <c r="S285" s="155">
        <v>1.0416666666666666E-2</v>
      </c>
      <c r="T285" s="1">
        <v>17</v>
      </c>
      <c r="U285" s="268" t="str">
        <f t="shared" si="19"/>
        <v>Normal</v>
      </c>
      <c r="V285" s="268" t="str">
        <f t="shared" si="20"/>
        <v>Normal</v>
      </c>
      <c r="W285" s="270">
        <f t="shared" si="21"/>
        <v>0</v>
      </c>
      <c r="X285" s="270">
        <f t="shared" si="22"/>
        <v>0</v>
      </c>
      <c r="Y285" s="249"/>
      <c r="Z285" s="249"/>
      <c r="AA285" s="249"/>
      <c r="AB285" s="249"/>
      <c r="AC285" s="249"/>
      <c r="AD285" s="249"/>
      <c r="AE285" s="249"/>
      <c r="AF285" s="249"/>
      <c r="AG285" s="249"/>
      <c r="AH285" s="249"/>
      <c r="AI285" s="249"/>
      <c r="AJ285" s="249"/>
      <c r="AK285" s="249"/>
      <c r="AL285" s="249"/>
      <c r="AR285">
        <f>MINUTE(Table6[[#This Row],[AHT]])</f>
        <v>0</v>
      </c>
      <c r="AS285">
        <f>SECOND(Table6[[#This Row],[AHT]])</f>
        <v>0</v>
      </c>
      <c r="AV285">
        <v>334</v>
      </c>
    </row>
    <row r="286" spans="1:48">
      <c r="A286" s="21">
        <v>44936</v>
      </c>
      <c r="B286" s="17">
        <f>IF(YEAR(Table9[[#This Row],[Date]]) = 2022, WEEKNUM(Table9[[#This Row],[Date]])-13, WEEKNUM(Table9[[#This Row],[Date]])+40)</f>
        <v>42</v>
      </c>
      <c r="C286" s="1" t="s">
        <v>49</v>
      </c>
      <c r="D286" s="1" t="s">
        <v>59</v>
      </c>
      <c r="E286" s="1">
        <v>964</v>
      </c>
      <c r="F286" s="1">
        <v>855</v>
      </c>
      <c r="G286" s="87">
        <f>IFERROR((Table6[[#This Row],[Calls Off]]-E279)/E279,0)</f>
        <v>-0.10658016682113068</v>
      </c>
      <c r="H286" s="87">
        <f>IFERROR((Table6[[#This Row],[Calls Ans]]-F279)/F279,0)</f>
        <v>-0.16666666666666666</v>
      </c>
      <c r="I286" s="1">
        <f>I285+Table6[[#This Row],[Calls Off]]</f>
        <v>6857</v>
      </c>
      <c r="J286" s="1">
        <f>J285+Table6[[#This Row],[Calls Ans]]</f>
        <v>6108</v>
      </c>
      <c r="K286" s="1">
        <f>K285+Table6[[#This Row],[Calls Off]]</f>
        <v>236760</v>
      </c>
      <c r="L286" s="1">
        <f>L285+Table6[[#This Row],[Calls Ans]]</f>
        <v>172385</v>
      </c>
      <c r="M286" s="18">
        <v>0.81</v>
      </c>
      <c r="N286" s="18">
        <v>0.11</v>
      </c>
      <c r="O286" s="18">
        <v>0.89</v>
      </c>
      <c r="P286" s="18">
        <v>0.64</v>
      </c>
      <c r="Q286" s="193"/>
      <c r="R286" s="232">
        <v>367</v>
      </c>
      <c r="S286" s="155">
        <v>4.2361111111111106E-2</v>
      </c>
      <c r="T286" s="1">
        <v>19</v>
      </c>
      <c r="U286" s="268" t="str">
        <f t="shared" si="19"/>
        <v>Normal</v>
      </c>
      <c r="V286" s="268" t="str">
        <f t="shared" si="20"/>
        <v>Normal</v>
      </c>
      <c r="W286" s="270">
        <f t="shared" si="21"/>
        <v>-0.10658016682113068</v>
      </c>
      <c r="X286" s="270">
        <f t="shared" si="22"/>
        <v>-0.16666666666666666</v>
      </c>
      <c r="Y286" s="249"/>
      <c r="Z286" s="249"/>
      <c r="AA286" s="249"/>
      <c r="AB286" s="249"/>
      <c r="AC286" s="249"/>
      <c r="AD286" s="249"/>
      <c r="AE286" s="249"/>
      <c r="AF286" s="249"/>
      <c r="AG286" s="249"/>
      <c r="AH286" s="249"/>
      <c r="AI286" s="249"/>
      <c r="AJ286" s="249"/>
      <c r="AK286" s="249"/>
      <c r="AL286" s="249"/>
      <c r="AR286">
        <f>MINUTE(Table6[[#This Row],[AHT]])</f>
        <v>0</v>
      </c>
      <c r="AS286">
        <f>SECOND(Table6[[#This Row],[AHT]])</f>
        <v>0</v>
      </c>
      <c r="AV286">
        <v>367</v>
      </c>
    </row>
    <row r="287" spans="1:48">
      <c r="A287" s="21">
        <v>44937</v>
      </c>
      <c r="B287" s="17">
        <f>IF(YEAR(Table9[[#This Row],[Date]]) = 2022, WEEKNUM(Table9[[#This Row],[Date]])-13, WEEKNUM(Table9[[#This Row],[Date]])+40)</f>
        <v>42</v>
      </c>
      <c r="C287" s="1" t="s">
        <v>50</v>
      </c>
      <c r="D287" s="1" t="s">
        <v>59</v>
      </c>
      <c r="E287" s="1">
        <v>978</v>
      </c>
      <c r="F287" s="1">
        <v>925</v>
      </c>
      <c r="G287" s="87">
        <f>IFERROR((Table6[[#This Row],[Calls Off]]-E280)/E280,0)</f>
        <v>-4.2115572967678747E-2</v>
      </c>
      <c r="H287" s="87">
        <f>IFERROR((Table6[[#This Row],[Calls Ans]]-F280)/F280,0)</f>
        <v>-1.7003188097768331E-2</v>
      </c>
      <c r="I287" s="1">
        <f>I286+Table6[[#This Row],[Calls Off]]</f>
        <v>7835</v>
      </c>
      <c r="J287" s="1">
        <f>J286+Table6[[#This Row],[Calls Ans]]</f>
        <v>7033</v>
      </c>
      <c r="K287" s="1">
        <f>K286+Table6[[#This Row],[Calls Off]]</f>
        <v>237738</v>
      </c>
      <c r="L287" s="1">
        <f>L286+Table6[[#This Row],[Calls Ans]]</f>
        <v>173310</v>
      </c>
      <c r="M287" s="18">
        <v>0.84</v>
      </c>
      <c r="N287" s="18">
        <v>0.05</v>
      </c>
      <c r="O287" s="18">
        <v>0.95</v>
      </c>
      <c r="P287" s="18">
        <v>0.61</v>
      </c>
      <c r="Q287" s="193"/>
      <c r="R287" s="232">
        <v>310</v>
      </c>
      <c r="S287" s="155">
        <v>1.5972222222222224E-2</v>
      </c>
      <c r="T287" s="1">
        <v>18</v>
      </c>
      <c r="U287" s="268" t="str">
        <f t="shared" si="19"/>
        <v>Normal</v>
      </c>
      <c r="V287" s="268" t="str">
        <f t="shared" si="20"/>
        <v>Normal</v>
      </c>
      <c r="W287" s="270">
        <f t="shared" si="21"/>
        <v>-4.2115572967678747E-2</v>
      </c>
      <c r="X287" s="270">
        <f t="shared" si="22"/>
        <v>-1.7003188097768331E-2</v>
      </c>
      <c r="Y287" s="249"/>
      <c r="Z287" s="249"/>
      <c r="AA287" s="249"/>
      <c r="AB287" s="249"/>
      <c r="AC287" s="249"/>
      <c r="AD287" s="249"/>
      <c r="AE287" s="249"/>
      <c r="AF287" s="249"/>
      <c r="AG287" s="249"/>
      <c r="AH287" s="249"/>
      <c r="AI287" s="249"/>
      <c r="AJ287" s="249"/>
      <c r="AK287" s="249"/>
      <c r="AL287" s="249"/>
      <c r="AR287">
        <f>MINUTE(Table6[[#This Row],[AHT]])</f>
        <v>0</v>
      </c>
      <c r="AS287">
        <f>SECOND(Table6[[#This Row],[AHT]])</f>
        <v>0</v>
      </c>
      <c r="AV287">
        <v>310</v>
      </c>
    </row>
    <row r="288" spans="1:48">
      <c r="A288" s="21">
        <v>44938</v>
      </c>
      <c r="B288" s="17">
        <f>IF(YEAR(Table9[[#This Row],[Date]]) = 2022, WEEKNUM(Table9[[#This Row],[Date]])-13, WEEKNUM(Table9[[#This Row],[Date]])+40)</f>
        <v>42</v>
      </c>
      <c r="C288" s="1" t="s">
        <v>51</v>
      </c>
      <c r="D288" s="1" t="s">
        <v>59</v>
      </c>
      <c r="E288" s="1">
        <v>960</v>
      </c>
      <c r="F288" s="1">
        <v>939</v>
      </c>
      <c r="G288" s="87">
        <f>IFERROR((Table6[[#This Row],[Calls Off]]-E281)/E281,0)</f>
        <v>-6.9767441860465115E-2</v>
      </c>
      <c r="H288" s="87">
        <f>IFERROR((Table6[[#This Row],[Calls Ans]]-F281)/F281,0)</f>
        <v>3.4140969162995596E-2</v>
      </c>
      <c r="I288" s="1">
        <f>I287+Table6[[#This Row],[Calls Off]]</f>
        <v>8795</v>
      </c>
      <c r="J288" s="1">
        <f>J287+Table6[[#This Row],[Calls Ans]]</f>
        <v>7972</v>
      </c>
      <c r="K288" s="1">
        <f>K287+Table6[[#This Row],[Calls Off]]</f>
        <v>238698</v>
      </c>
      <c r="L288" s="1">
        <f>L287+Table6[[#This Row],[Calls Ans]]</f>
        <v>174249</v>
      </c>
      <c r="M288" s="18">
        <v>0.96</v>
      </c>
      <c r="N288" s="18">
        <v>0.02</v>
      </c>
      <c r="O288" s="18">
        <v>0.98</v>
      </c>
      <c r="P288" s="18">
        <v>0.53</v>
      </c>
      <c r="Q288" s="193"/>
      <c r="R288" s="232">
        <v>294</v>
      </c>
      <c r="S288" s="155">
        <v>6.2499999999999995E-3</v>
      </c>
      <c r="T288" s="1">
        <v>20</v>
      </c>
      <c r="U288" s="268" t="str">
        <f t="shared" si="19"/>
        <v>Normal</v>
      </c>
      <c r="V288" s="268" t="str">
        <f t="shared" si="20"/>
        <v>Normal</v>
      </c>
      <c r="W288" s="270">
        <f t="shared" si="21"/>
        <v>-6.9767441860465115E-2</v>
      </c>
      <c r="X288" s="270">
        <f t="shared" si="22"/>
        <v>3.4140969162995596E-2</v>
      </c>
      <c r="Y288" s="249"/>
      <c r="Z288" s="249"/>
      <c r="AA288" s="249"/>
      <c r="AB288" s="249"/>
      <c r="AC288" s="249"/>
      <c r="AD288" s="249"/>
      <c r="AE288" s="249"/>
      <c r="AF288" s="249"/>
      <c r="AG288" s="249"/>
      <c r="AH288" s="249"/>
      <c r="AI288" s="249"/>
      <c r="AJ288" s="249"/>
      <c r="AK288" s="249"/>
      <c r="AL288" s="249"/>
      <c r="AR288">
        <f>MINUTE(Table6[[#This Row],[AHT]])</f>
        <v>0</v>
      </c>
      <c r="AS288">
        <f>SECOND(Table6[[#This Row],[AHT]])</f>
        <v>0</v>
      </c>
      <c r="AV288">
        <v>294</v>
      </c>
    </row>
    <row r="289" spans="1:48">
      <c r="A289" s="21">
        <v>44939</v>
      </c>
      <c r="B289" s="17">
        <f>IF(YEAR(Table9[[#This Row],[Date]]) = 2022, WEEKNUM(Table9[[#This Row],[Date]])-13, WEEKNUM(Table9[[#This Row],[Date]])+40)</f>
        <v>42</v>
      </c>
      <c r="C289" s="1" t="s">
        <v>52</v>
      </c>
      <c r="D289" s="1" t="s">
        <v>59</v>
      </c>
      <c r="E289" s="1">
        <v>933</v>
      </c>
      <c r="F289" s="1">
        <v>902</v>
      </c>
      <c r="G289" s="87">
        <f>IFERROR((Table6[[#This Row],[Calls Off]]-E282)/E282,0)</f>
        <v>-4.9898167006109981E-2</v>
      </c>
      <c r="H289" s="87">
        <f>IFERROR((Table6[[#This Row],[Calls Ans]]-F282)/F282,0)</f>
        <v>7.765830346475508E-2</v>
      </c>
      <c r="I289" s="1">
        <f>I288+Table6[[#This Row],[Calls Off]]</f>
        <v>9728</v>
      </c>
      <c r="J289" s="1">
        <f>J288+Table6[[#This Row],[Calls Ans]]</f>
        <v>8874</v>
      </c>
      <c r="K289" s="1">
        <f>K288+Table6[[#This Row],[Calls Off]]</f>
        <v>239631</v>
      </c>
      <c r="L289" s="1">
        <f>L288+Table6[[#This Row],[Calls Ans]]</f>
        <v>175151</v>
      </c>
      <c r="M289" s="18">
        <v>0.91</v>
      </c>
      <c r="N289" s="18">
        <v>0.03</v>
      </c>
      <c r="O289" s="18">
        <v>0.97</v>
      </c>
      <c r="P289" s="18">
        <v>0.61</v>
      </c>
      <c r="Q289" s="193"/>
      <c r="R289" s="232">
        <v>314</v>
      </c>
      <c r="S289" s="155">
        <v>9.0277777777777787E-3</v>
      </c>
      <c r="T289" s="1">
        <v>18</v>
      </c>
      <c r="U289" s="268" t="str">
        <f t="shared" si="19"/>
        <v>Normal</v>
      </c>
      <c r="V289" s="268" t="str">
        <f t="shared" si="20"/>
        <v>Normal</v>
      </c>
      <c r="W289" s="270">
        <f t="shared" si="21"/>
        <v>-4.9898167006109981E-2</v>
      </c>
      <c r="X289" s="270">
        <f t="shared" si="22"/>
        <v>7.765830346475508E-2</v>
      </c>
      <c r="Y289" s="249"/>
      <c r="Z289" s="249"/>
      <c r="AA289" s="249"/>
      <c r="AB289" s="249"/>
      <c r="AC289" s="249"/>
      <c r="AD289" s="249"/>
      <c r="AE289" s="249"/>
      <c r="AF289" s="249"/>
      <c r="AG289" s="249"/>
      <c r="AH289" s="249"/>
      <c r="AI289" s="249"/>
      <c r="AJ289" s="249"/>
      <c r="AK289" s="249"/>
      <c r="AL289" s="249"/>
      <c r="AR289">
        <f>MINUTE(Table6[[#This Row],[AHT]])</f>
        <v>0</v>
      </c>
      <c r="AS289">
        <f>SECOND(Table6[[#This Row],[AHT]])</f>
        <v>0</v>
      </c>
      <c r="AV289">
        <v>314</v>
      </c>
    </row>
    <row r="290" spans="1:48">
      <c r="A290" s="21">
        <v>44940</v>
      </c>
      <c r="B290" s="17">
        <f>IF(YEAR(Table9[[#This Row],[Date]]) = 2022, WEEKNUM(Table9[[#This Row],[Date]])-13, WEEKNUM(Table9[[#This Row],[Date]])+40)</f>
        <v>42</v>
      </c>
      <c r="C290" s="1" t="s">
        <v>53</v>
      </c>
      <c r="D290" s="1" t="s">
        <v>59</v>
      </c>
      <c r="E290" s="1">
        <v>659</v>
      </c>
      <c r="F290" s="1">
        <v>617</v>
      </c>
      <c r="G290" s="87">
        <f>IFERROR((Table6[[#This Row],[Calls Off]]-E283)/E283,0)</f>
        <v>-0.19536019536019536</v>
      </c>
      <c r="H290" s="87">
        <f>IFERROR((Table6[[#This Row],[Calls Ans]]-F283)/F283,0)</f>
        <v>1.1475409836065573E-2</v>
      </c>
      <c r="I290" s="1">
        <f>I289+Table6[[#This Row],[Calls Off]]</f>
        <v>10387</v>
      </c>
      <c r="J290" s="1">
        <f>J289+Table6[[#This Row],[Calls Ans]]</f>
        <v>9491</v>
      </c>
      <c r="K290" s="1">
        <f>K289+Table6[[#This Row],[Calls Off]]</f>
        <v>240290</v>
      </c>
      <c r="L290" s="1">
        <f>L289+Table6[[#This Row],[Calls Ans]]</f>
        <v>175768</v>
      </c>
      <c r="M290" s="18">
        <v>0.81</v>
      </c>
      <c r="N290" s="18">
        <v>0.06</v>
      </c>
      <c r="O290" s="18">
        <v>0.94</v>
      </c>
      <c r="P290" s="18">
        <v>0.52</v>
      </c>
      <c r="Q290" s="193"/>
      <c r="R290" s="232">
        <v>284</v>
      </c>
      <c r="S290" s="155">
        <v>1.7361111111111112E-2</v>
      </c>
      <c r="T290" s="1">
        <v>13</v>
      </c>
      <c r="U290" s="268" t="str">
        <f t="shared" si="19"/>
        <v>Normal</v>
      </c>
      <c r="V290" s="268" t="str">
        <f t="shared" si="20"/>
        <v>Normal</v>
      </c>
      <c r="W290" s="270">
        <f t="shared" si="21"/>
        <v>-0.19536019536019536</v>
      </c>
      <c r="X290" s="270">
        <f t="shared" si="22"/>
        <v>1.1475409836065573E-2</v>
      </c>
      <c r="Y290" s="249"/>
      <c r="Z290" s="249"/>
      <c r="AA290" s="249"/>
      <c r="AB290" s="249"/>
      <c r="AC290" s="249"/>
      <c r="AD290" s="249"/>
      <c r="AE290" s="249"/>
      <c r="AF290" s="249"/>
      <c r="AG290" s="249"/>
      <c r="AH290" s="249"/>
      <c r="AI290" s="249"/>
      <c r="AJ290" s="249"/>
      <c r="AK290" s="249"/>
      <c r="AL290" s="249"/>
      <c r="AR290">
        <f>MINUTE(Table6[[#This Row],[AHT]])</f>
        <v>0</v>
      </c>
      <c r="AS290">
        <f>SECOND(Table6[[#This Row],[AHT]])</f>
        <v>0</v>
      </c>
      <c r="AV290">
        <v>284</v>
      </c>
    </row>
    <row r="291" spans="1:48">
      <c r="A291" s="21">
        <v>44941</v>
      </c>
      <c r="B291" s="17">
        <f>IF(YEAR(Table9[[#This Row],[Date]]) = 2022, WEEKNUM(Table9[[#This Row],[Date]])-13, WEEKNUM(Table9[[#This Row],[Date]])+40)</f>
        <v>43</v>
      </c>
      <c r="C291" s="1" t="s">
        <v>47</v>
      </c>
      <c r="D291" s="1" t="s">
        <v>59</v>
      </c>
      <c r="E291" s="1">
        <v>0</v>
      </c>
      <c r="F291" s="1">
        <v>0</v>
      </c>
      <c r="G291" s="19">
        <v>0</v>
      </c>
      <c r="H291" s="19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18">
        <v>0</v>
      </c>
      <c r="O291" s="18">
        <v>0</v>
      </c>
      <c r="P291" s="18">
        <v>0</v>
      </c>
      <c r="Q291" s="193"/>
      <c r="R291" s="229">
        <v>0</v>
      </c>
      <c r="S291" s="155">
        <v>0</v>
      </c>
      <c r="T291" s="1">
        <v>0</v>
      </c>
      <c r="U291" s="268" t="str">
        <f t="shared" si="19"/>
        <v>Normal</v>
      </c>
      <c r="V291" s="268" t="str">
        <f t="shared" si="20"/>
        <v>Normal</v>
      </c>
      <c r="W291" s="270">
        <f t="shared" si="21"/>
        <v>0</v>
      </c>
      <c r="X291" s="270">
        <f t="shared" si="22"/>
        <v>0</v>
      </c>
      <c r="Y291" s="249"/>
      <c r="Z291" s="249"/>
      <c r="AA291" s="249"/>
      <c r="AB291" s="249"/>
      <c r="AC291" s="249"/>
      <c r="AD291" s="249"/>
      <c r="AE291" s="249"/>
      <c r="AF291" s="249"/>
      <c r="AG291" s="249"/>
      <c r="AH291" s="249"/>
      <c r="AI291" s="249"/>
      <c r="AJ291" s="249"/>
      <c r="AK291" s="249"/>
      <c r="AL291" s="249"/>
      <c r="AR291">
        <f>MINUTE(Table6[[#This Row],[AHT]])</f>
        <v>0</v>
      </c>
      <c r="AS291">
        <f>SECOND(Table6[[#This Row],[AHT]])</f>
        <v>0</v>
      </c>
      <c r="AV291">
        <v>0</v>
      </c>
    </row>
    <row r="292" spans="1:48">
      <c r="A292" s="21">
        <v>44942</v>
      </c>
      <c r="B292" s="17">
        <f>IF(YEAR(Table9[[#This Row],[Date]]) = 2022, WEEKNUM(Table9[[#This Row],[Date]])-13, WEEKNUM(Table9[[#This Row],[Date]])+40)</f>
        <v>43</v>
      </c>
      <c r="C292" s="1" t="s">
        <v>48</v>
      </c>
      <c r="D292" s="1" t="s">
        <v>59</v>
      </c>
      <c r="E292" s="1">
        <v>946</v>
      </c>
      <c r="F292" s="1">
        <v>879</v>
      </c>
      <c r="G292" s="87">
        <f>IFERROR((Table6[[#This Row],[Calls Off]]-E285)/E285,0)</f>
        <v>-1.4583333333333334E-2</v>
      </c>
      <c r="H292" s="87">
        <f>IFERROR((Table6[[#This Row],[Calls Ans]]-F285)/F285,0)</f>
        <v>-5.5853920515574654E-2</v>
      </c>
      <c r="I292" s="1">
        <f>I290+Table6[[#This Row],[Calls Off]]</f>
        <v>11333</v>
      </c>
      <c r="J292" s="1">
        <f>J290+Table6[[#This Row],[Calls Ans]]</f>
        <v>10370</v>
      </c>
      <c r="K292" s="1">
        <f>K290+Table6[[#This Row],[Calls Off]]</f>
        <v>241236</v>
      </c>
      <c r="L292" s="1">
        <f>L290+Table6[[#This Row],[Calls Ans]]</f>
        <v>176647</v>
      </c>
      <c r="M292" s="18">
        <v>0.79</v>
      </c>
      <c r="N292" s="18">
        <v>7.0000000000000007E-2</v>
      </c>
      <c r="O292" s="18">
        <v>0.93</v>
      </c>
      <c r="P292" s="18">
        <v>0.65</v>
      </c>
      <c r="Q292" s="193"/>
      <c r="R292" s="232">
        <v>305</v>
      </c>
      <c r="S292" s="155">
        <v>2.1527777777777781E-2</v>
      </c>
      <c r="T292" s="1">
        <v>16</v>
      </c>
      <c r="U292" s="268" t="str">
        <f t="shared" si="19"/>
        <v>Normal</v>
      </c>
      <c r="V292" s="268" t="str">
        <f t="shared" si="20"/>
        <v>Normal</v>
      </c>
      <c r="W292" s="270">
        <f t="shared" si="21"/>
        <v>-1.4583333333333334E-2</v>
      </c>
      <c r="X292" s="270">
        <f t="shared" si="22"/>
        <v>-5.5853920515574654E-2</v>
      </c>
      <c r="Y292" s="249"/>
      <c r="Z292" s="249"/>
      <c r="AA292" s="249"/>
      <c r="AB292" s="249"/>
      <c r="AC292" s="249"/>
      <c r="AD292" s="249"/>
      <c r="AE292" s="249"/>
      <c r="AF292" s="249"/>
      <c r="AG292" s="249"/>
      <c r="AH292" s="249"/>
      <c r="AI292" s="249"/>
      <c r="AJ292" s="249"/>
      <c r="AK292" s="249"/>
      <c r="AL292" s="249"/>
      <c r="AR292">
        <f>MINUTE(Table6[[#This Row],[AHT]])</f>
        <v>0</v>
      </c>
      <c r="AS292">
        <f>SECOND(Table6[[#This Row],[AHT]])</f>
        <v>0</v>
      </c>
      <c r="AV292">
        <v>305</v>
      </c>
    </row>
    <row r="293" spans="1:48">
      <c r="A293" s="21">
        <v>44943</v>
      </c>
      <c r="B293" s="17">
        <f>IF(YEAR(Table9[[#This Row],[Date]]) = 2022, WEEKNUM(Table9[[#This Row],[Date]])-13, WEEKNUM(Table9[[#This Row],[Date]])+40)</f>
        <v>43</v>
      </c>
      <c r="C293" s="1" t="s">
        <v>49</v>
      </c>
      <c r="D293" s="1" t="s">
        <v>59</v>
      </c>
      <c r="E293" s="1">
        <v>903</v>
      </c>
      <c r="F293" s="1">
        <v>861</v>
      </c>
      <c r="G293" s="87">
        <f>IFERROR((Table6[[#This Row],[Calls Off]]-E286)/E286,0)</f>
        <v>-6.3278008298755184E-2</v>
      </c>
      <c r="H293" s="87">
        <f>IFERROR((Table6[[#This Row],[Calls Ans]]-F286)/F286,0)</f>
        <v>7.0175438596491229E-3</v>
      </c>
      <c r="I293" s="1">
        <f>I292+Table6[[#This Row],[Calls Off]]</f>
        <v>12236</v>
      </c>
      <c r="J293" s="1">
        <f>J292+Table6[[#This Row],[Calls Ans]]</f>
        <v>11231</v>
      </c>
      <c r="K293" s="1">
        <f>K292+Table6[[#This Row],[Calls Off]]</f>
        <v>242139</v>
      </c>
      <c r="L293" s="1">
        <f>L292+Table6[[#This Row],[Calls Ans]]</f>
        <v>177508</v>
      </c>
      <c r="M293" s="18">
        <v>0.9</v>
      </c>
      <c r="N293" s="18">
        <v>0.05</v>
      </c>
      <c r="O293" s="18">
        <v>0.95</v>
      </c>
      <c r="P293" s="18">
        <v>0.52</v>
      </c>
      <c r="Q293" s="193"/>
      <c r="R293" s="232">
        <v>316</v>
      </c>
      <c r="S293" s="155">
        <v>4.1666666666666666E-3</v>
      </c>
      <c r="T293" s="1">
        <v>20</v>
      </c>
      <c r="U293" s="268" t="str">
        <f t="shared" si="19"/>
        <v>Normal</v>
      </c>
      <c r="V293" s="268" t="str">
        <f t="shared" si="20"/>
        <v>Normal</v>
      </c>
      <c r="W293" s="270">
        <f t="shared" si="21"/>
        <v>-6.3278008298755184E-2</v>
      </c>
      <c r="X293" s="270">
        <f t="shared" si="22"/>
        <v>7.0175438596491229E-3</v>
      </c>
      <c r="Y293" s="249"/>
      <c r="Z293" s="249"/>
      <c r="AA293" s="249"/>
      <c r="AB293" s="249"/>
      <c r="AC293" s="249"/>
      <c r="AD293" s="249"/>
      <c r="AE293" s="249"/>
      <c r="AF293" s="249"/>
      <c r="AG293" s="249"/>
      <c r="AH293" s="249"/>
      <c r="AI293" s="249"/>
      <c r="AJ293" s="249"/>
      <c r="AK293" s="249"/>
      <c r="AL293" s="249"/>
      <c r="AN293" s="49"/>
      <c r="AO293" s="49"/>
      <c r="AP293" s="49"/>
      <c r="AR293">
        <f>MINUTE(Table6[[#This Row],[AHT]])</f>
        <v>0</v>
      </c>
      <c r="AS293">
        <f>SECOND(Table6[[#This Row],[AHT]])</f>
        <v>0</v>
      </c>
      <c r="AV293">
        <v>316</v>
      </c>
    </row>
    <row r="294" spans="1:48">
      <c r="A294" s="21">
        <v>44944</v>
      </c>
      <c r="B294" s="17">
        <f>IF(YEAR(Table9[[#This Row],[Date]]) = 2022, WEEKNUM(Table9[[#This Row],[Date]])-13, WEEKNUM(Table9[[#This Row],[Date]])+40)</f>
        <v>43</v>
      </c>
      <c r="C294" s="1" t="s">
        <v>50</v>
      </c>
      <c r="D294" s="1" t="s">
        <v>59</v>
      </c>
      <c r="E294" s="1">
        <v>943</v>
      </c>
      <c r="F294" s="1">
        <v>915</v>
      </c>
      <c r="G294" s="87">
        <f>IFERROR((Table6[[#This Row],[Calls Off]]-E287)/E287,0)</f>
        <v>-3.5787321063394682E-2</v>
      </c>
      <c r="H294" s="87">
        <f>IFERROR((Table6[[#This Row],[Calls Ans]]-F287)/F287,0)</f>
        <v>-1.0810810810810811E-2</v>
      </c>
      <c r="I294" s="1">
        <f>I293+Table6[[#This Row],[Calls Off]]</f>
        <v>13179</v>
      </c>
      <c r="J294" s="1">
        <f>J293+Table6[[#This Row],[Calls Ans]]</f>
        <v>12146</v>
      </c>
      <c r="K294" s="1">
        <f>K293+Table6[[#This Row],[Calls Off]]</f>
        <v>243082</v>
      </c>
      <c r="L294" s="1">
        <f>L293+Table6[[#This Row],[Calls Ans]]</f>
        <v>178423</v>
      </c>
      <c r="M294" s="18">
        <v>0.95</v>
      </c>
      <c r="N294" s="18">
        <v>0.03</v>
      </c>
      <c r="O294" s="18">
        <v>0.97</v>
      </c>
      <c r="P294" s="18">
        <v>0.52</v>
      </c>
      <c r="Q294" s="193"/>
      <c r="R294" s="232">
        <v>332</v>
      </c>
      <c r="S294" s="155">
        <v>6.2499999999999995E-3</v>
      </c>
      <c r="T294" s="1">
        <v>17</v>
      </c>
      <c r="U294" s="268" t="str">
        <f t="shared" si="19"/>
        <v>Normal</v>
      </c>
      <c r="V294" s="268" t="str">
        <f t="shared" si="20"/>
        <v>Normal</v>
      </c>
      <c r="W294" s="270">
        <f t="shared" si="21"/>
        <v>-3.5787321063394682E-2</v>
      </c>
      <c r="X294" s="270">
        <f t="shared" si="22"/>
        <v>-1.0810810810810811E-2</v>
      </c>
      <c r="Y294" s="249"/>
      <c r="Z294" s="249"/>
      <c r="AA294" s="249"/>
      <c r="AB294" s="249"/>
      <c r="AC294" s="249"/>
      <c r="AD294" s="249"/>
      <c r="AE294" s="249"/>
      <c r="AF294" s="249"/>
      <c r="AG294" s="249"/>
      <c r="AH294" s="249"/>
      <c r="AI294" s="249"/>
      <c r="AJ294" s="249"/>
      <c r="AK294" s="249"/>
      <c r="AL294" s="249"/>
      <c r="AR294">
        <f>MINUTE(Table6[[#This Row],[AHT]])</f>
        <v>0</v>
      </c>
      <c r="AS294">
        <f>SECOND(Table6[[#This Row],[AHT]])</f>
        <v>0</v>
      </c>
      <c r="AV294">
        <v>332</v>
      </c>
    </row>
    <row r="295" spans="1:48">
      <c r="A295" s="21">
        <v>44945</v>
      </c>
      <c r="B295" s="17">
        <f>IF(YEAR(Table9[[#This Row],[Date]]) = 2022, WEEKNUM(Table9[[#This Row],[Date]])-13, WEEKNUM(Table9[[#This Row],[Date]])+40)</f>
        <v>43</v>
      </c>
      <c r="C295" s="1" t="s">
        <v>51</v>
      </c>
      <c r="D295" s="1" t="s">
        <v>59</v>
      </c>
      <c r="E295" s="1">
        <v>939</v>
      </c>
      <c r="F295" s="1">
        <v>923</v>
      </c>
      <c r="G295" s="87">
        <f>IFERROR((Table6[[#This Row],[Calls Off]]-E288)/E288,0)</f>
        <v>-2.1874999999999999E-2</v>
      </c>
      <c r="H295" s="87">
        <f>IFERROR((Table6[[#This Row],[Calls Ans]]-F288)/F288,0)</f>
        <v>-1.7039403620873271E-2</v>
      </c>
      <c r="I295" s="1">
        <f>I294+Table6[[#This Row],[Calls Off]]</f>
        <v>14118</v>
      </c>
      <c r="J295" s="1">
        <f>J294+Table6[[#This Row],[Calls Ans]]</f>
        <v>13069</v>
      </c>
      <c r="K295" s="1">
        <f>K294+Table6[[#This Row],[Calls Off]]</f>
        <v>244021</v>
      </c>
      <c r="L295" s="1">
        <f>L294+Table6[[#This Row],[Calls Ans]]</f>
        <v>179346</v>
      </c>
      <c r="M295" s="18">
        <v>0.98</v>
      </c>
      <c r="N295" s="18">
        <v>0.02</v>
      </c>
      <c r="O295" s="18">
        <v>0.98</v>
      </c>
      <c r="P295" s="18">
        <v>0.63</v>
      </c>
      <c r="Q295" s="193"/>
      <c r="R295" s="232">
        <v>338</v>
      </c>
      <c r="S295" s="155">
        <v>3.472222222222222E-3</v>
      </c>
      <c r="T295" s="1">
        <v>19</v>
      </c>
      <c r="U295" s="268" t="str">
        <f t="shared" si="19"/>
        <v>Normal</v>
      </c>
      <c r="V295" s="268" t="str">
        <f t="shared" si="20"/>
        <v>Normal</v>
      </c>
      <c r="W295" s="270">
        <f t="shared" si="21"/>
        <v>-2.1874999999999999E-2</v>
      </c>
      <c r="X295" s="270">
        <f t="shared" si="22"/>
        <v>-1.7039403620873271E-2</v>
      </c>
      <c r="Y295" s="249"/>
      <c r="Z295" s="249"/>
      <c r="AA295" s="249"/>
      <c r="AB295" s="249"/>
      <c r="AC295" s="249"/>
      <c r="AD295" s="249"/>
      <c r="AE295" s="249"/>
      <c r="AF295" s="249"/>
      <c r="AG295" s="249"/>
      <c r="AH295" s="249"/>
      <c r="AI295" s="249"/>
      <c r="AJ295" s="249"/>
      <c r="AK295" s="249"/>
      <c r="AL295" s="249"/>
      <c r="AR295">
        <f>MINUTE(Table6[[#This Row],[AHT]])</f>
        <v>0</v>
      </c>
      <c r="AS295">
        <f>SECOND(Table6[[#This Row],[AHT]])</f>
        <v>0</v>
      </c>
      <c r="AV295">
        <v>338</v>
      </c>
    </row>
    <row r="296" spans="1:48">
      <c r="A296" s="21">
        <v>44946</v>
      </c>
      <c r="B296" s="17">
        <f>IF(YEAR(Table9[[#This Row],[Date]]) = 2022, WEEKNUM(Table9[[#This Row],[Date]])-13, WEEKNUM(Table9[[#This Row],[Date]])+40)</f>
        <v>43</v>
      </c>
      <c r="C296" s="1" t="s">
        <v>52</v>
      </c>
      <c r="D296" s="1" t="s">
        <v>59</v>
      </c>
      <c r="E296" s="1">
        <v>749</v>
      </c>
      <c r="F296" s="1">
        <v>718</v>
      </c>
      <c r="G296" s="87">
        <f>IFERROR((Table6[[#This Row],[Calls Off]]-E289)/E289,0)</f>
        <v>-0.19721329046087888</v>
      </c>
      <c r="H296" s="87">
        <f>IFERROR((Table6[[#This Row],[Calls Ans]]-F289)/F289,0)</f>
        <v>-0.2039911308203991</v>
      </c>
      <c r="I296" s="1">
        <f>I295+Table6[[#This Row],[Calls Off]]</f>
        <v>14867</v>
      </c>
      <c r="J296" s="1">
        <f>J295+Table6[[#This Row],[Calls Ans]]</f>
        <v>13787</v>
      </c>
      <c r="K296" s="1">
        <f>K295+Table6[[#This Row],[Calls Off]]</f>
        <v>244770</v>
      </c>
      <c r="L296" s="1">
        <f>L295+Table6[[#This Row],[Calls Ans]]</f>
        <v>180064</v>
      </c>
      <c r="M296" s="18">
        <v>0.93</v>
      </c>
      <c r="N296" s="18">
        <v>0.04</v>
      </c>
      <c r="O296" s="18">
        <v>0.95</v>
      </c>
      <c r="P296" s="18">
        <v>0.5</v>
      </c>
      <c r="Q296" s="193"/>
      <c r="R296" s="232">
        <v>324</v>
      </c>
      <c r="S296" s="155">
        <v>8.3333333333333332E-3</v>
      </c>
      <c r="T296" s="1">
        <v>18</v>
      </c>
      <c r="U296" s="268" t="str">
        <f t="shared" si="19"/>
        <v>Normal</v>
      </c>
      <c r="V296" s="268" t="str">
        <f t="shared" si="20"/>
        <v>Normal</v>
      </c>
      <c r="W296" s="270">
        <f t="shared" si="21"/>
        <v>-0.19721329046087888</v>
      </c>
      <c r="X296" s="270">
        <f t="shared" si="22"/>
        <v>-0.2039911308203991</v>
      </c>
      <c r="Y296" s="249"/>
      <c r="Z296" s="249"/>
      <c r="AA296" s="249"/>
      <c r="AB296" s="249"/>
      <c r="AC296" s="249"/>
      <c r="AD296" s="249"/>
      <c r="AE296" s="249"/>
      <c r="AF296" s="249"/>
      <c r="AG296" s="249"/>
      <c r="AH296" s="249"/>
      <c r="AI296" s="249"/>
      <c r="AJ296" s="249"/>
      <c r="AK296" s="249"/>
      <c r="AL296" s="249"/>
      <c r="AR296">
        <f>MINUTE(Table6[[#This Row],[AHT]])</f>
        <v>0</v>
      </c>
      <c r="AS296">
        <f>SECOND(Table6[[#This Row],[AHT]])</f>
        <v>0</v>
      </c>
      <c r="AV296">
        <v>324</v>
      </c>
    </row>
    <row r="297" spans="1:48">
      <c r="A297" s="21">
        <v>44947</v>
      </c>
      <c r="B297" s="17">
        <f>IF(YEAR(Table9[[#This Row],[Date]]) = 2022, WEEKNUM(Table9[[#This Row],[Date]])-13, WEEKNUM(Table9[[#This Row],[Date]])+40)</f>
        <v>43</v>
      </c>
      <c r="C297" s="1" t="s">
        <v>53</v>
      </c>
      <c r="D297" s="1" t="s">
        <v>59</v>
      </c>
      <c r="E297" s="1">
        <v>672</v>
      </c>
      <c r="F297" s="1">
        <v>646</v>
      </c>
      <c r="G297" s="87">
        <f>IFERROR((Table6[[#This Row],[Calls Off]]-E290)/E290,0)</f>
        <v>1.9726858877086494E-2</v>
      </c>
      <c r="H297" s="87">
        <f>IFERROR((Table6[[#This Row],[Calls Ans]]-F290)/F290,0)</f>
        <v>4.7001620745542948E-2</v>
      </c>
      <c r="I297" s="1">
        <f>I296+Table6[[#This Row],[Calls Off]]</f>
        <v>15539</v>
      </c>
      <c r="J297" s="1">
        <f>J296+Table6[[#This Row],[Calls Ans]]</f>
        <v>14433</v>
      </c>
      <c r="K297" s="1">
        <f>K296+Table6[[#This Row],[Calls Off]]</f>
        <v>245442</v>
      </c>
      <c r="L297" s="1">
        <f>L296+Table6[[#This Row],[Calls Ans]]</f>
        <v>180710</v>
      </c>
      <c r="M297" s="18">
        <v>0.9</v>
      </c>
      <c r="N297" s="18">
        <v>0.04</v>
      </c>
      <c r="O297" s="18">
        <v>0.96</v>
      </c>
      <c r="P297" s="18">
        <v>0.49</v>
      </c>
      <c r="Q297" s="193"/>
      <c r="R297" s="232">
        <v>255</v>
      </c>
      <c r="S297" s="155">
        <v>9.7222222222222224E-3</v>
      </c>
      <c r="T297" s="1">
        <v>13</v>
      </c>
      <c r="U297" s="268" t="str">
        <f t="shared" si="19"/>
        <v>Normal</v>
      </c>
      <c r="V297" s="268" t="str">
        <f t="shared" si="20"/>
        <v>Normal</v>
      </c>
      <c r="W297" s="270">
        <f t="shared" si="21"/>
        <v>1.9726858877086494E-2</v>
      </c>
      <c r="X297" s="270">
        <f t="shared" si="22"/>
        <v>4.7001620745542948E-2</v>
      </c>
      <c r="Y297" s="249"/>
      <c r="Z297" s="249"/>
      <c r="AA297" s="249"/>
      <c r="AB297" s="249"/>
      <c r="AC297" s="249"/>
      <c r="AD297" s="249"/>
      <c r="AE297" s="249"/>
      <c r="AF297" s="249"/>
      <c r="AG297" s="249"/>
      <c r="AH297" s="249"/>
      <c r="AI297" s="249"/>
      <c r="AJ297" s="249"/>
      <c r="AK297" s="249"/>
      <c r="AL297" s="249"/>
      <c r="AR297">
        <f>MINUTE(Table6[[#This Row],[AHT]])</f>
        <v>0</v>
      </c>
      <c r="AS297">
        <f>SECOND(Table6[[#This Row],[AHT]])</f>
        <v>0</v>
      </c>
      <c r="AV297">
        <v>255</v>
      </c>
    </row>
    <row r="298" spans="1:48">
      <c r="A298" s="21">
        <v>44948</v>
      </c>
      <c r="B298" s="17">
        <f>IF(YEAR(Table9[[#This Row],[Date]]) = 2022, WEEKNUM(Table9[[#This Row],[Date]])-13, WEEKNUM(Table9[[#This Row],[Date]])+40)</f>
        <v>44</v>
      </c>
      <c r="C298" s="1" t="s">
        <v>47</v>
      </c>
      <c r="D298" s="1" t="s">
        <v>59</v>
      </c>
      <c r="E298" s="1">
        <v>0</v>
      </c>
      <c r="F298" s="1">
        <v>0</v>
      </c>
      <c r="G298" s="19">
        <v>0</v>
      </c>
      <c r="H298" s="19">
        <v>0</v>
      </c>
      <c r="I298" s="1">
        <v>0</v>
      </c>
      <c r="J298" s="1">
        <v>0</v>
      </c>
      <c r="K298" s="1">
        <v>0</v>
      </c>
      <c r="L298" s="1">
        <v>0</v>
      </c>
      <c r="M298" s="18">
        <v>0</v>
      </c>
      <c r="N298" s="18">
        <v>0</v>
      </c>
      <c r="O298" s="18">
        <v>0</v>
      </c>
      <c r="P298" s="18">
        <v>0</v>
      </c>
      <c r="Q298" s="193"/>
      <c r="R298" s="229">
        <v>0</v>
      </c>
      <c r="S298" s="155">
        <v>0</v>
      </c>
      <c r="T298" s="1">
        <v>0</v>
      </c>
      <c r="U298" s="268" t="str">
        <f t="shared" si="19"/>
        <v>Normal</v>
      </c>
      <c r="V298" s="268" t="str">
        <f t="shared" si="20"/>
        <v>Normal</v>
      </c>
      <c r="W298" s="270">
        <f t="shared" si="21"/>
        <v>0</v>
      </c>
      <c r="X298" s="270">
        <f t="shared" si="22"/>
        <v>0</v>
      </c>
      <c r="Y298" s="249"/>
      <c r="Z298" s="249"/>
      <c r="AA298" s="249"/>
      <c r="AB298" s="249"/>
      <c r="AC298" s="249"/>
      <c r="AD298" s="249"/>
      <c r="AE298" s="249"/>
      <c r="AF298" s="249"/>
      <c r="AG298" s="249"/>
      <c r="AH298" s="249"/>
      <c r="AI298" s="249"/>
      <c r="AJ298" s="249"/>
      <c r="AK298" s="249"/>
      <c r="AL298" s="249"/>
      <c r="AR298">
        <f>MINUTE(Table6[[#This Row],[AHT]])</f>
        <v>0</v>
      </c>
      <c r="AS298">
        <f>SECOND(Table6[[#This Row],[AHT]])</f>
        <v>0</v>
      </c>
      <c r="AV298">
        <v>0</v>
      </c>
    </row>
    <row r="299" spans="1:48">
      <c r="A299" s="21">
        <v>44949</v>
      </c>
      <c r="B299" s="17">
        <f>IF(YEAR(Table9[[#This Row],[Date]]) = 2022, WEEKNUM(Table9[[#This Row],[Date]])-13, WEEKNUM(Table9[[#This Row],[Date]])+40)</f>
        <v>44</v>
      </c>
      <c r="C299" s="1" t="s">
        <v>48</v>
      </c>
      <c r="D299" s="1" t="s">
        <v>59</v>
      </c>
      <c r="E299" s="1">
        <v>959</v>
      </c>
      <c r="F299" s="1">
        <v>941</v>
      </c>
      <c r="G299" s="87">
        <f>IFERROR((Table6[[#This Row],[Calls Off]]-E292)/E292,0)</f>
        <v>1.3742071881606765E-2</v>
      </c>
      <c r="H299" s="87">
        <f>IFERROR((Table6[[#This Row],[Calls Ans]]-F292)/F292,0)</f>
        <v>7.0534698521046643E-2</v>
      </c>
      <c r="I299" s="1">
        <f>I297+Table6[[#This Row],[Calls Off]]</f>
        <v>16498</v>
      </c>
      <c r="J299" s="1">
        <f>J297+Table6[[#This Row],[Calls Ans]]</f>
        <v>15374</v>
      </c>
      <c r="K299" s="1">
        <f>K297+Table6[[#This Row],[Calls Off]]</f>
        <v>246401</v>
      </c>
      <c r="L299" s="1">
        <f>L297+Table6[[#This Row],[Calls Ans]]</f>
        <v>181651</v>
      </c>
      <c r="M299" s="18">
        <v>0.97</v>
      </c>
      <c r="N299" s="18">
        <v>0.02</v>
      </c>
      <c r="O299" s="18">
        <v>0.98</v>
      </c>
      <c r="P299" s="18">
        <v>0.52</v>
      </c>
      <c r="Q299" s="193"/>
      <c r="R299" s="232">
        <v>288</v>
      </c>
      <c r="S299" s="155">
        <v>1.3888888888888889E-3</v>
      </c>
      <c r="T299" s="1">
        <v>20</v>
      </c>
      <c r="U299" s="268" t="str">
        <f t="shared" si="19"/>
        <v>Normal</v>
      </c>
      <c r="V299" s="268" t="str">
        <f t="shared" si="20"/>
        <v>Normal</v>
      </c>
      <c r="W299" s="270">
        <f t="shared" si="21"/>
        <v>1.3742071881606765E-2</v>
      </c>
      <c r="X299" s="270">
        <f t="shared" si="22"/>
        <v>7.0534698521046643E-2</v>
      </c>
      <c r="Y299" s="249"/>
      <c r="Z299" s="249"/>
      <c r="AA299" s="249"/>
      <c r="AB299" s="249"/>
      <c r="AC299" s="249"/>
      <c r="AD299" s="249"/>
      <c r="AE299" s="249"/>
      <c r="AF299" s="249"/>
      <c r="AG299" s="249"/>
      <c r="AH299" s="249"/>
      <c r="AI299" s="249"/>
      <c r="AJ299" s="249"/>
      <c r="AK299" s="249"/>
      <c r="AL299" s="249"/>
      <c r="AR299">
        <f>MINUTE(Table6[[#This Row],[AHT]])</f>
        <v>0</v>
      </c>
      <c r="AS299">
        <f>SECOND(Table6[[#This Row],[AHT]])</f>
        <v>0</v>
      </c>
      <c r="AV299">
        <v>288</v>
      </c>
    </row>
    <row r="300" spans="1:48">
      <c r="A300" s="21">
        <v>44950</v>
      </c>
      <c r="B300" s="17">
        <f>IF(YEAR(Table9[[#This Row],[Date]]) = 2022, WEEKNUM(Table9[[#This Row],[Date]])-13, WEEKNUM(Table9[[#This Row],[Date]])+40)</f>
        <v>44</v>
      </c>
      <c r="C300" s="1" t="s">
        <v>49</v>
      </c>
      <c r="D300" s="1" t="s">
        <v>59</v>
      </c>
      <c r="E300" s="1">
        <v>927</v>
      </c>
      <c r="F300" s="1">
        <v>895</v>
      </c>
      <c r="G300" s="87">
        <f>IFERROR((Table6[[#This Row],[Calls Off]]-E293)/E293,0)</f>
        <v>2.6578073089700997E-2</v>
      </c>
      <c r="H300" s="87">
        <f>IFERROR((Table6[[#This Row],[Calls Ans]]-F293)/F293,0)</f>
        <v>3.9488966318234613E-2</v>
      </c>
      <c r="I300" s="1">
        <f>I299+Table6[[#This Row],[Calls Off]]</f>
        <v>17425</v>
      </c>
      <c r="J300" s="1">
        <f>J299+Table6[[#This Row],[Calls Ans]]</f>
        <v>16269</v>
      </c>
      <c r="K300" s="1">
        <f>K299+Table6[[#This Row],[Calls Off]]</f>
        <v>247328</v>
      </c>
      <c r="L300" s="1">
        <f>L299+Table6[[#This Row],[Calls Ans]]</f>
        <v>182546</v>
      </c>
      <c r="M300" s="18">
        <v>0.9</v>
      </c>
      <c r="N300" s="18">
        <v>0.03</v>
      </c>
      <c r="O300" s="18">
        <v>0.97</v>
      </c>
      <c r="P300" s="18">
        <v>0.56999999999999995</v>
      </c>
      <c r="Q300" s="193"/>
      <c r="R300" s="232">
        <v>333</v>
      </c>
      <c r="S300" s="155">
        <v>9.7222222222222224E-3</v>
      </c>
      <c r="T300" s="1">
        <v>20</v>
      </c>
      <c r="U300" s="268" t="str">
        <f t="shared" si="19"/>
        <v>Normal</v>
      </c>
      <c r="V300" s="268" t="str">
        <f t="shared" si="20"/>
        <v>Normal</v>
      </c>
      <c r="W300" s="270">
        <f t="shared" si="21"/>
        <v>2.6578073089700997E-2</v>
      </c>
      <c r="X300" s="270">
        <f t="shared" si="22"/>
        <v>3.9488966318234613E-2</v>
      </c>
      <c r="Y300" s="249"/>
      <c r="Z300" s="249"/>
      <c r="AA300" s="249"/>
      <c r="AB300" s="249"/>
      <c r="AC300" s="249"/>
      <c r="AD300" s="249"/>
      <c r="AE300" s="249"/>
      <c r="AF300" s="249"/>
      <c r="AG300" s="249"/>
      <c r="AH300" s="249"/>
      <c r="AI300" s="249"/>
      <c r="AJ300" s="249"/>
      <c r="AK300" s="249"/>
      <c r="AL300" s="249"/>
      <c r="AR300">
        <f>MINUTE(Table6[[#This Row],[AHT]])</f>
        <v>0</v>
      </c>
      <c r="AS300">
        <f>SECOND(Table6[[#This Row],[AHT]])</f>
        <v>0</v>
      </c>
      <c r="AV300">
        <v>333</v>
      </c>
    </row>
    <row r="301" spans="1:48">
      <c r="A301" s="21">
        <v>44951</v>
      </c>
      <c r="B301" s="17">
        <f>IF(YEAR(Table9[[#This Row],[Date]]) = 2022, WEEKNUM(Table9[[#This Row],[Date]])-13, WEEKNUM(Table9[[#This Row],[Date]])+40)</f>
        <v>44</v>
      </c>
      <c r="C301" s="1" t="s">
        <v>50</v>
      </c>
      <c r="D301" s="1" t="s">
        <v>59</v>
      </c>
      <c r="E301" s="1">
        <v>914</v>
      </c>
      <c r="F301" s="1">
        <v>897</v>
      </c>
      <c r="G301" s="87">
        <f>IFERROR((Table6[[#This Row],[Calls Off]]-E294)/E294,0)</f>
        <v>-3.0752916224814422E-2</v>
      </c>
      <c r="H301" s="87">
        <f>IFERROR((Table6[[#This Row],[Calls Ans]]-F294)/F294,0)</f>
        <v>-1.9672131147540985E-2</v>
      </c>
      <c r="I301" s="1">
        <f>I300+Table6[[#This Row],[Calls Off]]</f>
        <v>18339</v>
      </c>
      <c r="J301" s="1">
        <f>J300+Table6[[#This Row],[Calls Ans]]</f>
        <v>17166</v>
      </c>
      <c r="K301" s="1">
        <f>K300+Table6[[#This Row],[Calls Off]]</f>
        <v>248242</v>
      </c>
      <c r="L301" s="1">
        <f>L300+Table6[[#This Row],[Calls Ans]]</f>
        <v>183443</v>
      </c>
      <c r="M301" s="18">
        <v>0.98</v>
      </c>
      <c r="N301" s="18">
        <v>0.02</v>
      </c>
      <c r="O301" s="18">
        <v>0.98</v>
      </c>
      <c r="P301" s="18">
        <v>0.57999999999999996</v>
      </c>
      <c r="Q301" s="193"/>
      <c r="R301" s="232">
        <v>317</v>
      </c>
      <c r="S301" s="155">
        <v>4.1666666666666666E-3</v>
      </c>
      <c r="T301" s="1">
        <v>19</v>
      </c>
      <c r="U301" s="268" t="str">
        <f t="shared" si="19"/>
        <v>Normal</v>
      </c>
      <c r="V301" s="268" t="str">
        <f t="shared" si="20"/>
        <v>Normal</v>
      </c>
      <c r="W301" s="270">
        <f t="shared" si="21"/>
        <v>-3.0752916224814422E-2</v>
      </c>
      <c r="X301" s="270">
        <f t="shared" si="22"/>
        <v>-1.9672131147540985E-2</v>
      </c>
      <c r="Y301" s="249"/>
      <c r="Z301" s="249"/>
      <c r="AA301" s="249"/>
      <c r="AB301" s="249"/>
      <c r="AC301" s="249"/>
      <c r="AD301" s="249"/>
      <c r="AE301" s="249"/>
      <c r="AF301" s="249"/>
      <c r="AG301" s="249"/>
      <c r="AH301" s="249"/>
      <c r="AI301" s="249"/>
      <c r="AJ301" s="249"/>
      <c r="AK301" s="249"/>
      <c r="AL301" s="249"/>
      <c r="AR301">
        <f>MINUTE(Table6[[#This Row],[AHT]])</f>
        <v>0</v>
      </c>
      <c r="AS301">
        <f>SECOND(Table6[[#This Row],[AHT]])</f>
        <v>0</v>
      </c>
      <c r="AV301">
        <v>317</v>
      </c>
    </row>
    <row r="302" spans="1:48">
      <c r="A302" s="21">
        <v>44952</v>
      </c>
      <c r="B302" s="17">
        <f>IF(YEAR(Table9[[#This Row],[Date]]) = 2022, WEEKNUM(Table9[[#This Row],[Date]])-13, WEEKNUM(Table9[[#This Row],[Date]])+40)</f>
        <v>44</v>
      </c>
      <c r="C302" s="1" t="s">
        <v>51</v>
      </c>
      <c r="D302" s="1" t="s">
        <v>59</v>
      </c>
      <c r="E302" s="1">
        <v>893</v>
      </c>
      <c r="F302" s="1">
        <v>865</v>
      </c>
      <c r="G302" s="87">
        <f>IFERROR((Table6[[#This Row],[Calls Off]]-E295)/E295,0)</f>
        <v>-4.898828541001065E-2</v>
      </c>
      <c r="H302" s="87">
        <f>IFERROR((Table6[[#This Row],[Calls Ans]]-F295)/F295,0)</f>
        <v>-6.2838569880823397E-2</v>
      </c>
      <c r="I302" s="1">
        <f>I301+Table6[[#This Row],[Calls Off]]</f>
        <v>19232</v>
      </c>
      <c r="J302" s="1">
        <f>J301+Table6[[#This Row],[Calls Ans]]</f>
        <v>18031</v>
      </c>
      <c r="K302" s="1">
        <f>K301+Table6[[#This Row],[Calls Off]]</f>
        <v>249135</v>
      </c>
      <c r="L302" s="1">
        <f>L301+Table6[[#This Row],[Calls Ans]]</f>
        <v>184308</v>
      </c>
      <c r="M302" s="18">
        <v>0.95</v>
      </c>
      <c r="N302" s="18">
        <v>0.03</v>
      </c>
      <c r="O302" s="18">
        <v>0.97</v>
      </c>
      <c r="P302" s="18">
        <v>0.49</v>
      </c>
      <c r="Q302" s="193"/>
      <c r="R302" s="232">
        <v>251</v>
      </c>
      <c r="S302" s="155">
        <v>6.2499999999999995E-3</v>
      </c>
      <c r="T302" s="1">
        <v>17</v>
      </c>
      <c r="U302" s="268" t="str">
        <f t="shared" si="19"/>
        <v>Normal</v>
      </c>
      <c r="V302" s="268" t="str">
        <f t="shared" si="20"/>
        <v>Normal</v>
      </c>
      <c r="W302" s="270">
        <f t="shared" si="21"/>
        <v>-4.898828541001065E-2</v>
      </c>
      <c r="X302" s="270">
        <f t="shared" si="22"/>
        <v>-6.2838569880823397E-2</v>
      </c>
      <c r="Y302" s="249"/>
      <c r="Z302" s="249"/>
      <c r="AA302" s="249"/>
      <c r="AB302" s="249"/>
      <c r="AC302" s="249"/>
      <c r="AD302" s="249"/>
      <c r="AE302" s="249"/>
      <c r="AF302" s="249"/>
      <c r="AG302" s="249"/>
      <c r="AH302" s="249"/>
      <c r="AI302" s="249"/>
      <c r="AJ302" s="249"/>
      <c r="AK302" s="249"/>
      <c r="AL302" s="249"/>
      <c r="AR302">
        <f>MINUTE(Table6[[#This Row],[AHT]])</f>
        <v>0</v>
      </c>
      <c r="AS302">
        <f>SECOND(Table6[[#This Row],[AHT]])</f>
        <v>0</v>
      </c>
      <c r="AV302">
        <v>251</v>
      </c>
    </row>
    <row r="303" spans="1:48">
      <c r="A303" s="21">
        <v>44953</v>
      </c>
      <c r="B303" s="17">
        <f>IF(YEAR(Table9[[#This Row],[Date]]) = 2022, WEEKNUM(Table9[[#This Row],[Date]])-13, WEEKNUM(Table9[[#This Row],[Date]])+40)</f>
        <v>44</v>
      </c>
      <c r="C303" s="1" t="s">
        <v>52</v>
      </c>
      <c r="D303" s="1" t="s">
        <v>59</v>
      </c>
      <c r="E303" s="1">
        <v>948</v>
      </c>
      <c r="F303" s="1">
        <v>901</v>
      </c>
      <c r="G303" s="87">
        <f>IFERROR((Table6[[#This Row],[Calls Off]]-E296)/E296,0)</f>
        <v>0.26568758344459281</v>
      </c>
      <c r="H303" s="87">
        <f>IFERROR((Table6[[#This Row],[Calls Ans]]-F296)/F296,0)</f>
        <v>0.25487465181058494</v>
      </c>
      <c r="I303" s="1">
        <f>I302+Table6[[#This Row],[Calls Off]]</f>
        <v>20180</v>
      </c>
      <c r="J303" s="1">
        <f>J302+Table6[[#This Row],[Calls Ans]]</f>
        <v>18932</v>
      </c>
      <c r="K303" s="1">
        <f>K302+Table6[[#This Row],[Calls Off]]</f>
        <v>250083</v>
      </c>
      <c r="L303" s="1">
        <f>L302+Table6[[#This Row],[Calls Ans]]</f>
        <v>185209</v>
      </c>
      <c r="M303" s="18">
        <v>0.84</v>
      </c>
      <c r="N303" s="18">
        <v>0.05</v>
      </c>
      <c r="O303" s="18">
        <v>0.95</v>
      </c>
      <c r="P303" s="18">
        <v>0.48</v>
      </c>
      <c r="Q303" s="193"/>
      <c r="R303" s="232">
        <v>292</v>
      </c>
      <c r="S303" s="155">
        <v>1.4583333333333332E-2</v>
      </c>
      <c r="T303" s="1">
        <v>14</v>
      </c>
      <c r="U303" s="268" t="str">
        <f t="shared" si="19"/>
        <v>Normal</v>
      </c>
      <c r="V303" s="268" t="str">
        <f t="shared" si="20"/>
        <v>Normal</v>
      </c>
      <c r="W303" s="270">
        <f t="shared" si="21"/>
        <v>0.26568758344459281</v>
      </c>
      <c r="X303" s="270">
        <f t="shared" si="22"/>
        <v>0.25487465181058494</v>
      </c>
      <c r="Y303" s="249"/>
      <c r="Z303" s="249"/>
      <c r="AA303" s="249"/>
      <c r="AB303" s="249"/>
      <c r="AC303" s="249"/>
      <c r="AD303" s="249"/>
      <c r="AE303" s="249"/>
      <c r="AF303" s="249"/>
      <c r="AG303" s="249"/>
      <c r="AH303" s="249"/>
      <c r="AI303" s="249"/>
      <c r="AJ303" s="249"/>
      <c r="AK303" s="249"/>
      <c r="AL303" s="249"/>
      <c r="AR303">
        <f>MINUTE(Table6[[#This Row],[AHT]])</f>
        <v>0</v>
      </c>
      <c r="AS303">
        <f>SECOND(Table6[[#This Row],[AHT]])</f>
        <v>0</v>
      </c>
      <c r="AV303">
        <v>292</v>
      </c>
    </row>
    <row r="304" spans="1:48">
      <c r="A304" s="21">
        <v>44954</v>
      </c>
      <c r="B304" s="17">
        <f>IF(YEAR(Table9[[#This Row],[Date]]) = 2022, WEEKNUM(Table9[[#This Row],[Date]])-13, WEEKNUM(Table9[[#This Row],[Date]])+40)</f>
        <v>44</v>
      </c>
      <c r="C304" s="1" t="s">
        <v>53</v>
      </c>
      <c r="D304" s="1" t="s">
        <v>59</v>
      </c>
      <c r="E304" s="1">
        <v>815</v>
      </c>
      <c r="F304" s="1">
        <v>783</v>
      </c>
      <c r="G304" s="87">
        <f>IFERROR((Table6[[#This Row],[Calls Off]]-E297)/E297,0)</f>
        <v>0.21279761904761904</v>
      </c>
      <c r="H304" s="87">
        <f>IFERROR((Table6[[#This Row],[Calls Ans]]-F297)/F297,0)</f>
        <v>0.21207430340557276</v>
      </c>
      <c r="I304" s="1">
        <f>I303+Table6[[#This Row],[Calls Off]]</f>
        <v>20995</v>
      </c>
      <c r="J304" s="1">
        <f>J303+Table6[[#This Row],[Calls Ans]]</f>
        <v>19715</v>
      </c>
      <c r="K304" s="1">
        <f>K303+Table6[[#This Row],[Calls Off]]</f>
        <v>250898</v>
      </c>
      <c r="L304" s="1">
        <f>L303+Table6[[#This Row],[Calls Ans]]</f>
        <v>185992</v>
      </c>
      <c r="M304" s="18">
        <v>0.87</v>
      </c>
      <c r="N304" s="18">
        <v>0.04</v>
      </c>
      <c r="O304" s="18">
        <v>0.96</v>
      </c>
      <c r="P304" s="18">
        <v>0.48</v>
      </c>
      <c r="Q304" s="193"/>
      <c r="R304" s="232">
        <v>255</v>
      </c>
      <c r="S304" s="155">
        <v>1.2499999999999999E-2</v>
      </c>
      <c r="T304" s="1">
        <v>16</v>
      </c>
      <c r="U304" s="268" t="str">
        <f t="shared" si="19"/>
        <v>Normal</v>
      </c>
      <c r="V304" s="268" t="str">
        <f t="shared" si="20"/>
        <v>Normal</v>
      </c>
      <c r="W304" s="270">
        <f t="shared" si="21"/>
        <v>0.21279761904761904</v>
      </c>
      <c r="X304" s="270">
        <f t="shared" si="22"/>
        <v>0.21207430340557276</v>
      </c>
      <c r="Y304" s="249"/>
      <c r="Z304" s="249"/>
      <c r="AA304" s="249"/>
      <c r="AB304" s="249"/>
      <c r="AC304" s="249"/>
      <c r="AD304" s="249"/>
      <c r="AE304" s="249"/>
      <c r="AF304" s="249"/>
      <c r="AG304" s="249"/>
      <c r="AH304" s="249"/>
      <c r="AI304" s="249"/>
      <c r="AJ304" s="249"/>
      <c r="AK304" s="249"/>
      <c r="AL304" s="249"/>
      <c r="AR304">
        <f>MINUTE(Table6[[#This Row],[AHT]])</f>
        <v>0</v>
      </c>
      <c r="AS304">
        <f>SECOND(Table6[[#This Row],[AHT]])</f>
        <v>0</v>
      </c>
      <c r="AV304">
        <v>255</v>
      </c>
    </row>
    <row r="305" spans="1:48">
      <c r="A305" s="21">
        <v>44955</v>
      </c>
      <c r="B305" s="17">
        <f>IF(YEAR(Table9[[#This Row],[Date]]) = 2022, WEEKNUM(Table9[[#This Row],[Date]])-13, WEEKNUM(Table9[[#This Row],[Date]])+40)</f>
        <v>45</v>
      </c>
      <c r="C305" s="1" t="s">
        <v>47</v>
      </c>
      <c r="D305" s="1" t="s">
        <v>59</v>
      </c>
      <c r="E305" s="1">
        <v>0</v>
      </c>
      <c r="F305" s="1">
        <v>0</v>
      </c>
      <c r="G305" s="19">
        <v>0</v>
      </c>
      <c r="H305" s="19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18">
        <v>0</v>
      </c>
      <c r="O305" s="18">
        <v>0</v>
      </c>
      <c r="P305" s="18">
        <v>0</v>
      </c>
      <c r="Q305" s="193"/>
      <c r="R305" s="229">
        <v>0</v>
      </c>
      <c r="S305" s="155">
        <v>0</v>
      </c>
      <c r="T305" s="1">
        <v>0</v>
      </c>
      <c r="U305" s="268" t="str">
        <f t="shared" si="19"/>
        <v>Normal</v>
      </c>
      <c r="V305" s="268" t="str">
        <f t="shared" si="20"/>
        <v>Normal</v>
      </c>
      <c r="W305" s="270">
        <f t="shared" si="21"/>
        <v>0</v>
      </c>
      <c r="X305" s="270">
        <f t="shared" si="22"/>
        <v>0</v>
      </c>
      <c r="Y305" s="249"/>
      <c r="Z305" s="249"/>
      <c r="AA305" s="249"/>
      <c r="AB305" s="249"/>
      <c r="AC305" s="249"/>
      <c r="AD305" s="249"/>
      <c r="AE305" s="249"/>
      <c r="AF305" s="249"/>
      <c r="AG305" s="249"/>
      <c r="AH305" s="249"/>
      <c r="AI305" s="249"/>
      <c r="AJ305" s="249"/>
      <c r="AK305" s="249"/>
      <c r="AL305" s="249"/>
      <c r="AR305">
        <f>MINUTE(Table6[[#This Row],[AHT]])</f>
        <v>0</v>
      </c>
      <c r="AS305">
        <f>SECOND(Table6[[#This Row],[AHT]])</f>
        <v>0</v>
      </c>
      <c r="AV305">
        <v>0</v>
      </c>
    </row>
    <row r="306" spans="1:48">
      <c r="A306" s="21">
        <v>44956</v>
      </c>
      <c r="B306" s="17">
        <f>IF(YEAR(Table9[[#This Row],[Date]]) = 2022, WEEKNUM(Table9[[#This Row],[Date]])-13, WEEKNUM(Table9[[#This Row],[Date]])+40)</f>
        <v>45</v>
      </c>
      <c r="C306" s="1" t="s">
        <v>48</v>
      </c>
      <c r="D306" s="1" t="s">
        <v>59</v>
      </c>
      <c r="E306" s="1">
        <v>1048</v>
      </c>
      <c r="F306" s="1">
        <v>1006</v>
      </c>
      <c r="G306" s="87">
        <f>IFERROR((Table6[[#This Row],[Calls Off]]-E299)/E299,0)</f>
        <v>9.2805005213764336E-2</v>
      </c>
      <c r="H306" s="87">
        <f>IFERROR((Table6[[#This Row],[Calls Ans]]-F299)/F299,0)</f>
        <v>6.9075451647183844E-2</v>
      </c>
      <c r="I306" s="1">
        <f>I304+Table6[[#This Row],[Calls Off]]</f>
        <v>22043</v>
      </c>
      <c r="J306" s="1">
        <f>J304+Table6[[#This Row],[Calls Ans]]</f>
        <v>20721</v>
      </c>
      <c r="K306" s="1">
        <f>K304+Table6[[#This Row],[Calls Off]]</f>
        <v>251946</v>
      </c>
      <c r="L306" s="1">
        <f>L304+Table6[[#This Row],[Calls Ans]]</f>
        <v>186998</v>
      </c>
      <c r="M306" s="18">
        <v>0.9</v>
      </c>
      <c r="N306" s="18">
        <v>0.04</v>
      </c>
      <c r="O306" s="18">
        <v>0.96</v>
      </c>
      <c r="P306" s="18">
        <v>0.55000000000000004</v>
      </c>
      <c r="Q306" s="193"/>
      <c r="R306" s="229">
        <v>300</v>
      </c>
      <c r="S306" s="155">
        <v>1.0416666666666666E-2</v>
      </c>
      <c r="T306" s="1">
        <v>21</v>
      </c>
      <c r="U306" s="268" t="str">
        <f t="shared" si="19"/>
        <v>Normal</v>
      </c>
      <c r="V306" s="268" t="str">
        <f t="shared" si="20"/>
        <v>Normal</v>
      </c>
      <c r="W306" s="270">
        <f t="shared" si="21"/>
        <v>9.2805005213764336E-2</v>
      </c>
      <c r="X306" s="270">
        <f t="shared" si="22"/>
        <v>6.9075451647183844E-2</v>
      </c>
      <c r="Y306" s="249"/>
      <c r="Z306" s="249"/>
      <c r="AA306" s="249"/>
      <c r="AB306" s="249"/>
      <c r="AC306" s="249"/>
      <c r="AD306" s="249"/>
      <c r="AE306" s="249"/>
      <c r="AF306" s="249"/>
      <c r="AG306" s="249"/>
      <c r="AH306" s="249"/>
      <c r="AI306" s="249"/>
      <c r="AJ306" s="249"/>
      <c r="AK306" s="249"/>
      <c r="AL306" s="249"/>
      <c r="AR306">
        <f>MINUTE(Table6[[#This Row],[AHT]])</f>
        <v>0</v>
      </c>
      <c r="AS306">
        <f>SECOND(Table6[[#This Row],[AHT]])</f>
        <v>0</v>
      </c>
      <c r="AV306">
        <v>300</v>
      </c>
    </row>
    <row r="307" spans="1:48">
      <c r="A307" s="21">
        <v>44957</v>
      </c>
      <c r="B307" s="17">
        <f>IF(YEAR(Table9[[#This Row],[Date]]) = 2022, WEEKNUM(Table9[[#This Row],[Date]])-13, WEEKNUM(Table9[[#This Row],[Date]])+40)</f>
        <v>45</v>
      </c>
      <c r="C307" s="1" t="s">
        <v>49</v>
      </c>
      <c r="D307" s="1" t="s">
        <v>59</v>
      </c>
      <c r="E307" s="1">
        <v>931</v>
      </c>
      <c r="F307" s="1">
        <v>905</v>
      </c>
      <c r="G307" s="87">
        <f>IFERROR((Table6[[#This Row],[Calls Off]]-E300)/E300,0)</f>
        <v>4.3149946062567418E-3</v>
      </c>
      <c r="H307" s="87">
        <f>IFERROR((Table6[[#This Row],[Calls Ans]]-F300)/F300,0)</f>
        <v>1.11731843575419E-2</v>
      </c>
      <c r="I307" s="1">
        <f>I306+Table6[[#This Row],[Calls Off]]</f>
        <v>22974</v>
      </c>
      <c r="J307" s="1">
        <f>J306+Table6[[#This Row],[Calls Ans]]</f>
        <v>21626</v>
      </c>
      <c r="K307" s="1">
        <f>K306+Table6[[#This Row],[Calls Off]]</f>
        <v>252877</v>
      </c>
      <c r="L307" s="1">
        <f>L306+Table6[[#This Row],[Calls Ans]]</f>
        <v>187903</v>
      </c>
      <c r="M307" s="18">
        <v>0.93</v>
      </c>
      <c r="N307" s="18">
        <v>0.03</v>
      </c>
      <c r="O307" s="18">
        <v>0.97</v>
      </c>
      <c r="P307" s="18">
        <v>0.56000000000000005</v>
      </c>
      <c r="Q307" s="193"/>
      <c r="R307" s="229">
        <v>337</v>
      </c>
      <c r="S307" s="155">
        <v>1.7361111111111112E-2</v>
      </c>
      <c r="T307" s="1">
        <v>21</v>
      </c>
      <c r="U307" s="268" t="str">
        <f t="shared" si="19"/>
        <v>Normal</v>
      </c>
      <c r="V307" s="268" t="str">
        <f t="shared" si="20"/>
        <v>Normal</v>
      </c>
      <c r="W307" s="270">
        <f t="shared" si="21"/>
        <v>4.3149946062567418E-3</v>
      </c>
      <c r="X307" s="270">
        <f t="shared" si="22"/>
        <v>1.11731843575419E-2</v>
      </c>
      <c r="Y307" s="249"/>
      <c r="Z307" s="249"/>
      <c r="AA307" s="249"/>
      <c r="AB307" s="249"/>
      <c r="AC307" s="249"/>
      <c r="AD307" s="249"/>
      <c r="AE307" s="249"/>
      <c r="AF307" s="249"/>
      <c r="AG307" s="249"/>
      <c r="AH307" s="249"/>
      <c r="AI307" s="249"/>
      <c r="AJ307" s="249"/>
      <c r="AK307" s="249"/>
      <c r="AL307" s="249"/>
      <c r="AR307">
        <f>MINUTE(Table6[[#This Row],[AHT]])</f>
        <v>0</v>
      </c>
      <c r="AS307">
        <f>SECOND(Table6[[#This Row],[AHT]])</f>
        <v>0</v>
      </c>
      <c r="AV307">
        <v>337</v>
      </c>
    </row>
    <row r="308" spans="1:48">
      <c r="A308" s="21">
        <v>44958</v>
      </c>
      <c r="B308" s="17">
        <f>IF(YEAR(Table9[[#This Row],[Date]]) = 2022, WEEKNUM(Table9[[#This Row],[Date]])-13, WEEKNUM(Table9[[#This Row],[Date]])+40)</f>
        <v>45</v>
      </c>
      <c r="C308" s="1" t="s">
        <v>50</v>
      </c>
      <c r="D308" s="32" t="s">
        <v>59</v>
      </c>
      <c r="E308" s="1">
        <v>819</v>
      </c>
      <c r="F308" s="1">
        <v>787</v>
      </c>
      <c r="G308" s="87">
        <f>IFERROR((Table6[[#This Row],[Calls Off]]-E301)/E301,0)</f>
        <v>-0.10393873085339168</v>
      </c>
      <c r="H308" s="87">
        <f>IFERROR((Table6[[#This Row],[Calls Ans]]-F301)/F301,0)</f>
        <v>-0.12263099219620958</v>
      </c>
      <c r="I308" s="1">
        <f>Table6[[#This Row],[Calls Off]]</f>
        <v>819</v>
      </c>
      <c r="J308" s="1">
        <f>Table6[[#This Row],[Calls Ans]]</f>
        <v>787</v>
      </c>
      <c r="K308" s="1">
        <f>K307+Table6[[#This Row],[Calls Off]]</f>
        <v>253696</v>
      </c>
      <c r="L308" s="1">
        <f>L307+Table6[[#This Row],[Calls Ans]]</f>
        <v>188690</v>
      </c>
      <c r="M308" s="18">
        <v>0.87</v>
      </c>
      <c r="N308" s="18">
        <v>0.04</v>
      </c>
      <c r="O308" s="18">
        <v>0.96</v>
      </c>
      <c r="P308" s="18">
        <v>0.46</v>
      </c>
      <c r="Q308" s="193"/>
      <c r="R308" s="229">
        <v>300</v>
      </c>
      <c r="S308" s="155">
        <v>1.6666666666666666E-2</v>
      </c>
      <c r="T308" s="1">
        <v>16</v>
      </c>
      <c r="U308" s="268" t="str">
        <f t="shared" si="19"/>
        <v>Normal</v>
      </c>
      <c r="V308" s="268" t="str">
        <f t="shared" si="20"/>
        <v>Normal</v>
      </c>
      <c r="W308" s="270">
        <f t="shared" si="21"/>
        <v>-0.10393873085339168</v>
      </c>
      <c r="X308" s="270">
        <f t="shared" si="22"/>
        <v>-0.12263099219620958</v>
      </c>
      <c r="Y308" s="249"/>
      <c r="Z308" s="249"/>
      <c r="AA308" s="249"/>
      <c r="AB308" s="249"/>
      <c r="AC308" s="249"/>
      <c r="AD308" s="249"/>
      <c r="AE308" s="249"/>
      <c r="AF308" s="249"/>
      <c r="AG308" s="249"/>
      <c r="AH308" s="249"/>
      <c r="AI308" s="249"/>
      <c r="AJ308" s="249"/>
      <c r="AK308" s="249"/>
      <c r="AL308" s="249"/>
      <c r="AR308">
        <f>MINUTE(Table6[[#This Row],[AHT]])</f>
        <v>0</v>
      </c>
      <c r="AS308">
        <f>SECOND(Table6[[#This Row],[AHT]])</f>
        <v>0</v>
      </c>
      <c r="AV308">
        <v>300</v>
      </c>
    </row>
    <row r="309" spans="1:48">
      <c r="A309" s="21">
        <v>44959</v>
      </c>
      <c r="B309" s="17">
        <f>IF(YEAR(Table9[[#This Row],[Date]]) = 2022, WEEKNUM(Table9[[#This Row],[Date]])-13, WEEKNUM(Table9[[#This Row],[Date]])+40)</f>
        <v>45</v>
      </c>
      <c r="C309" s="1" t="s">
        <v>51</v>
      </c>
      <c r="D309" s="1" t="s">
        <v>59</v>
      </c>
      <c r="E309" s="1">
        <v>913</v>
      </c>
      <c r="F309" s="1">
        <v>747</v>
      </c>
      <c r="G309" s="87">
        <f>IFERROR((Table6[[#This Row],[Calls Off]]-E302)/E302,0)</f>
        <v>2.2396416573348264E-2</v>
      </c>
      <c r="H309" s="87">
        <f>IFERROR((Table6[[#This Row],[Calls Ans]]-F302)/F302,0)</f>
        <v>-0.13641618497109825</v>
      </c>
      <c r="I309" s="1">
        <f>I308+Table6[[#This Row],[Calls Off]]</f>
        <v>1732</v>
      </c>
      <c r="J309" s="1">
        <f>J308+Table6[[#This Row],[Calls Ans]]</f>
        <v>1534</v>
      </c>
      <c r="K309" s="1">
        <f>K308+Table6[[#This Row],[Calls Off]]</f>
        <v>254609</v>
      </c>
      <c r="L309" s="1">
        <f>L308+Table6[[#This Row],[Calls Ans]]</f>
        <v>189437</v>
      </c>
      <c r="M309" s="18">
        <v>0.8</v>
      </c>
      <c r="N309" s="18">
        <v>0.18</v>
      </c>
      <c r="O309" s="18">
        <v>0.82</v>
      </c>
      <c r="P309" s="18">
        <v>0.49</v>
      </c>
      <c r="Q309" s="193"/>
      <c r="R309" s="229">
        <v>300</v>
      </c>
      <c r="S309" s="155">
        <v>1.3888888888888888E-2</v>
      </c>
      <c r="T309" s="1">
        <v>14</v>
      </c>
      <c r="U309" s="268" t="str">
        <f t="shared" si="19"/>
        <v>Normal</v>
      </c>
      <c r="V309" s="268" t="str">
        <f t="shared" si="20"/>
        <v>Normal</v>
      </c>
      <c r="W309" s="270">
        <f t="shared" si="21"/>
        <v>2.2396416573348264E-2</v>
      </c>
      <c r="X309" s="270">
        <f t="shared" si="22"/>
        <v>-0.13641618497109825</v>
      </c>
      <c r="Y309" s="249"/>
      <c r="Z309" s="249"/>
      <c r="AA309" s="249"/>
      <c r="AB309" s="249"/>
      <c r="AC309" s="249"/>
      <c r="AD309" s="249"/>
      <c r="AE309" s="249"/>
      <c r="AF309" s="249"/>
      <c r="AG309" s="249"/>
      <c r="AH309" s="249"/>
      <c r="AI309" s="249"/>
      <c r="AJ309" s="249"/>
      <c r="AK309" s="249"/>
      <c r="AL309" s="249"/>
      <c r="AR309">
        <f>MINUTE(Table6[[#This Row],[AHT]])</f>
        <v>0</v>
      </c>
      <c r="AS309">
        <f>SECOND(Table6[[#This Row],[AHT]])</f>
        <v>0</v>
      </c>
      <c r="AV309">
        <v>300</v>
      </c>
    </row>
    <row r="310" spans="1:48">
      <c r="A310" s="21">
        <v>44960</v>
      </c>
      <c r="B310" s="17">
        <f>IF(YEAR(Table9[[#This Row],[Date]]) = 2022, WEEKNUM(Table9[[#This Row],[Date]])-13, WEEKNUM(Table9[[#This Row],[Date]])+40)</f>
        <v>45</v>
      </c>
      <c r="C310" s="1" t="s">
        <v>52</v>
      </c>
      <c r="D310" s="1" t="s">
        <v>59</v>
      </c>
      <c r="E310" s="1">
        <v>804</v>
      </c>
      <c r="F310" s="1">
        <v>725</v>
      </c>
      <c r="G310" s="87">
        <f>IFERROR((Table6[[#This Row],[Calls Off]]-E303)/E303,0)</f>
        <v>-0.15189873417721519</v>
      </c>
      <c r="H310" s="87">
        <f>IFERROR((Table6[[#This Row],[Calls Ans]]-F303)/F303,0)</f>
        <v>-0.19533851276359601</v>
      </c>
      <c r="I310" s="1">
        <f>I309+Table6[[#This Row],[Calls Off]]</f>
        <v>2536</v>
      </c>
      <c r="J310" s="1">
        <f>J309+Table6[[#This Row],[Calls Ans]]</f>
        <v>2259</v>
      </c>
      <c r="K310" s="1">
        <f>K309+Table6[[#This Row],[Calls Off]]</f>
        <v>255413</v>
      </c>
      <c r="L310" s="1">
        <f>L309+Table6[[#This Row],[Calls Ans]]</f>
        <v>190162</v>
      </c>
      <c r="M310" s="18">
        <v>0.75</v>
      </c>
      <c r="N310" s="18">
        <v>0.1</v>
      </c>
      <c r="O310" s="18">
        <v>0.9</v>
      </c>
      <c r="P310" s="18">
        <v>0.52</v>
      </c>
      <c r="Q310" s="193"/>
      <c r="R310" s="229">
        <v>300</v>
      </c>
      <c r="S310" s="155">
        <v>3.1944444444444449E-2</v>
      </c>
      <c r="T310" s="1">
        <v>13</v>
      </c>
      <c r="U310" s="268" t="str">
        <f t="shared" si="19"/>
        <v>Normal</v>
      </c>
      <c r="V310" s="268" t="str">
        <f t="shared" si="20"/>
        <v>Normal</v>
      </c>
      <c r="W310" s="270">
        <f t="shared" si="21"/>
        <v>-0.15189873417721519</v>
      </c>
      <c r="X310" s="270">
        <f t="shared" si="22"/>
        <v>-0.19533851276359601</v>
      </c>
      <c r="Y310" s="249"/>
      <c r="Z310" s="249"/>
      <c r="AA310" s="249"/>
      <c r="AB310" s="249"/>
      <c r="AC310" s="249"/>
      <c r="AD310" s="249"/>
      <c r="AE310" s="249"/>
      <c r="AF310" s="249"/>
      <c r="AG310" s="249"/>
      <c r="AH310" s="249"/>
      <c r="AI310" s="249"/>
      <c r="AJ310" s="249"/>
      <c r="AK310" s="249"/>
      <c r="AL310" s="249"/>
      <c r="AR310">
        <f>MINUTE(Table6[[#This Row],[AHT]])</f>
        <v>0</v>
      </c>
      <c r="AS310">
        <f>SECOND(Table6[[#This Row],[AHT]])</f>
        <v>0</v>
      </c>
      <c r="AV310">
        <v>300</v>
      </c>
    </row>
    <row r="311" spans="1:48">
      <c r="A311" s="21">
        <v>44961</v>
      </c>
      <c r="B311" s="17">
        <f>IF(YEAR(Table9[[#This Row],[Date]]) = 2022, WEEKNUM(Table9[[#This Row],[Date]])-13, WEEKNUM(Table9[[#This Row],[Date]])+40)</f>
        <v>45</v>
      </c>
      <c r="C311" s="1" t="s">
        <v>53</v>
      </c>
      <c r="D311" s="1" t="s">
        <v>59</v>
      </c>
      <c r="E311" s="1">
        <v>716</v>
      </c>
      <c r="F311" s="1">
        <v>628</v>
      </c>
      <c r="G311" s="87">
        <f>IFERROR((Table6[[#This Row],[Calls Off]]-E304)/E304,0)</f>
        <v>-0.12147239263803682</v>
      </c>
      <c r="H311" s="87">
        <f>IFERROR((Table6[[#This Row],[Calls Ans]]-F304)/F304,0)</f>
        <v>-0.19795657726692209</v>
      </c>
      <c r="I311" s="1">
        <f>I310+Table6[[#This Row],[Calls Off]]</f>
        <v>3252</v>
      </c>
      <c r="J311" s="1">
        <f>J310+Table6[[#This Row],[Calls Ans]]</f>
        <v>2887</v>
      </c>
      <c r="K311" s="1">
        <f>K310+Table6[[#This Row],[Calls Off]]</f>
        <v>256129</v>
      </c>
      <c r="L311" s="1">
        <f>L310+Table6[[#This Row],[Calls Ans]]</f>
        <v>190790</v>
      </c>
      <c r="M311" s="18">
        <v>0.62</v>
      </c>
      <c r="N311" s="18">
        <v>0.12</v>
      </c>
      <c r="O311" s="18">
        <v>0.88</v>
      </c>
      <c r="P311" s="18">
        <v>0.57999999999999996</v>
      </c>
      <c r="Q311" s="193"/>
      <c r="R311" s="229">
        <v>300</v>
      </c>
      <c r="S311" s="155">
        <v>7.6388888888888895E-2</v>
      </c>
      <c r="T311" s="1">
        <v>10</v>
      </c>
      <c r="U311" s="268" t="str">
        <f t="shared" si="19"/>
        <v>Normal</v>
      </c>
      <c r="V311" s="268" t="str">
        <f t="shared" si="20"/>
        <v>Normal</v>
      </c>
      <c r="W311" s="270">
        <f t="shared" si="21"/>
        <v>-0.12147239263803682</v>
      </c>
      <c r="X311" s="270">
        <f t="shared" si="22"/>
        <v>-0.19795657726692209</v>
      </c>
      <c r="Y311" s="249"/>
      <c r="Z311" s="249"/>
      <c r="AA311" s="249"/>
      <c r="AB311" s="249"/>
      <c r="AC311" s="249"/>
      <c r="AD311" s="249"/>
      <c r="AE311" s="249"/>
      <c r="AF311" s="249"/>
      <c r="AG311" s="249"/>
      <c r="AH311" s="249"/>
      <c r="AI311" s="249"/>
      <c r="AJ311" s="249"/>
      <c r="AK311" s="249"/>
      <c r="AL311" s="249"/>
      <c r="AR311">
        <f>MINUTE(Table6[[#This Row],[AHT]])</f>
        <v>0</v>
      </c>
      <c r="AS311">
        <f>SECOND(Table6[[#This Row],[AHT]])</f>
        <v>0</v>
      </c>
      <c r="AV311">
        <v>300</v>
      </c>
    </row>
    <row r="312" spans="1:48">
      <c r="A312" s="21">
        <v>44962</v>
      </c>
      <c r="B312" s="17">
        <f>IF(YEAR(Table9[[#This Row],[Date]]) = 2022, WEEKNUM(Table9[[#This Row],[Date]])-13, WEEKNUM(Table9[[#This Row],[Date]])+40)</f>
        <v>46</v>
      </c>
      <c r="C312" s="1" t="s">
        <v>47</v>
      </c>
      <c r="D312" s="1" t="s">
        <v>59</v>
      </c>
      <c r="E312" s="1">
        <v>0</v>
      </c>
      <c r="F312" s="1">
        <v>0</v>
      </c>
      <c r="G312" s="19">
        <v>0</v>
      </c>
      <c r="H312" s="19">
        <v>0</v>
      </c>
      <c r="I312" s="1">
        <v>0</v>
      </c>
      <c r="J312" s="1">
        <v>0</v>
      </c>
      <c r="K312" s="1">
        <v>0</v>
      </c>
      <c r="L312" s="1">
        <v>0</v>
      </c>
      <c r="M312" s="18">
        <v>0</v>
      </c>
      <c r="N312" s="18">
        <v>0</v>
      </c>
      <c r="O312" s="18">
        <v>0</v>
      </c>
      <c r="P312" s="18">
        <v>0</v>
      </c>
      <c r="Q312" s="193"/>
      <c r="R312" s="229">
        <v>0</v>
      </c>
      <c r="S312" s="155">
        <v>0</v>
      </c>
      <c r="T312" s="1">
        <v>0</v>
      </c>
      <c r="U312" s="268" t="str">
        <f t="shared" si="19"/>
        <v>Normal</v>
      </c>
      <c r="V312" s="268" t="str">
        <f t="shared" si="20"/>
        <v>Normal</v>
      </c>
      <c r="W312" s="270">
        <f t="shared" si="21"/>
        <v>0</v>
      </c>
      <c r="X312" s="270">
        <f t="shared" si="22"/>
        <v>0</v>
      </c>
      <c r="Y312" s="249"/>
      <c r="Z312" s="249"/>
      <c r="AA312" s="249"/>
      <c r="AB312" s="249"/>
      <c r="AC312" s="249"/>
      <c r="AD312" s="249"/>
      <c r="AE312" s="249"/>
      <c r="AF312" s="249"/>
      <c r="AG312" s="249"/>
      <c r="AH312" s="249"/>
      <c r="AI312" s="249"/>
      <c r="AJ312" s="249"/>
      <c r="AK312" s="249"/>
      <c r="AL312" s="249"/>
      <c r="AR312">
        <f>MINUTE(Table6[[#This Row],[AHT]])</f>
        <v>0</v>
      </c>
      <c r="AS312">
        <f>SECOND(Table6[[#This Row],[AHT]])</f>
        <v>0</v>
      </c>
      <c r="AV312">
        <v>0</v>
      </c>
    </row>
    <row r="313" spans="1:48">
      <c r="A313" s="21">
        <v>44963</v>
      </c>
      <c r="B313" s="17">
        <f>IF(YEAR(Table9[[#This Row],[Date]]) = 2022, WEEKNUM(Table9[[#This Row],[Date]])-13, WEEKNUM(Table9[[#This Row],[Date]])+40)</f>
        <v>46</v>
      </c>
      <c r="C313" s="1" t="s">
        <v>48</v>
      </c>
      <c r="D313" s="1" t="s">
        <v>59</v>
      </c>
      <c r="E313" s="1">
        <v>956</v>
      </c>
      <c r="F313" s="1">
        <v>918</v>
      </c>
      <c r="G313" s="87">
        <f>IFERROR((Table6[[#This Row],[Calls Off]]-E306)/E306,0)</f>
        <v>-8.7786259541984726E-2</v>
      </c>
      <c r="H313" s="87">
        <f>IFERROR((Table6[[#This Row],[Calls Ans]]-F306)/F306,0)</f>
        <v>-8.74751491053678E-2</v>
      </c>
      <c r="I313" s="1">
        <f>I311+Table6[[#This Row],[Calls Off]]</f>
        <v>4208</v>
      </c>
      <c r="J313" s="1">
        <f>J311+Table6[[#This Row],[Calls Ans]]</f>
        <v>3805</v>
      </c>
      <c r="K313" s="1">
        <f>K311+Table6[[#This Row],[Calls Off]]</f>
        <v>257085</v>
      </c>
      <c r="L313" s="1">
        <f>L311+Table6[[#This Row],[Calls Ans]]</f>
        <v>191708</v>
      </c>
      <c r="M313" s="18">
        <v>0.87</v>
      </c>
      <c r="N313" s="18">
        <v>0.04</v>
      </c>
      <c r="O313" s="18">
        <v>0.96</v>
      </c>
      <c r="P313" s="18">
        <v>0.65</v>
      </c>
      <c r="Q313" s="193"/>
      <c r="R313" s="229">
        <v>269</v>
      </c>
      <c r="S313" s="155">
        <v>1.3194444444444444E-2</v>
      </c>
      <c r="T313" s="1">
        <v>13</v>
      </c>
      <c r="U313" s="268" t="str">
        <f t="shared" si="19"/>
        <v>Normal</v>
      </c>
      <c r="V313" s="268" t="str">
        <f t="shared" si="20"/>
        <v>Normal</v>
      </c>
      <c r="W313" s="270">
        <f t="shared" si="21"/>
        <v>-8.7786259541984726E-2</v>
      </c>
      <c r="X313" s="270">
        <f t="shared" si="22"/>
        <v>-8.74751491053678E-2</v>
      </c>
      <c r="Y313" s="249"/>
      <c r="Z313" s="249"/>
      <c r="AA313" s="249"/>
      <c r="AB313" s="249"/>
      <c r="AC313" s="249"/>
      <c r="AD313" s="249"/>
      <c r="AE313" s="249"/>
      <c r="AF313" s="249"/>
      <c r="AG313" s="249"/>
      <c r="AH313" s="249"/>
      <c r="AI313" s="249"/>
      <c r="AJ313" s="249"/>
      <c r="AK313" s="249"/>
      <c r="AL313" s="249"/>
      <c r="AR313">
        <f>MINUTE(Table6[[#This Row],[AHT]])</f>
        <v>0</v>
      </c>
      <c r="AS313">
        <f>SECOND(Table6[[#This Row],[AHT]])</f>
        <v>0</v>
      </c>
      <c r="AV313">
        <v>269</v>
      </c>
    </row>
    <row r="314" spans="1:48">
      <c r="A314" s="21">
        <v>44964</v>
      </c>
      <c r="B314" s="17">
        <f>IF(YEAR(Table9[[#This Row],[Date]]) = 2022, WEEKNUM(Table9[[#This Row],[Date]])-13, WEEKNUM(Table9[[#This Row],[Date]])+40)</f>
        <v>46</v>
      </c>
      <c r="C314" s="1" t="s">
        <v>49</v>
      </c>
      <c r="D314" s="1" t="s">
        <v>59</v>
      </c>
      <c r="E314" s="1">
        <v>796</v>
      </c>
      <c r="F314" s="1">
        <v>774</v>
      </c>
      <c r="G314" s="87">
        <f>IFERROR((Table6[[#This Row],[Calls Off]]-E307)/E307,0)</f>
        <v>-0.14500537056928034</v>
      </c>
      <c r="H314" s="87">
        <f>IFERROR((Table6[[#This Row],[Calls Ans]]-F307)/F307,0)</f>
        <v>-0.14475138121546963</v>
      </c>
      <c r="I314" s="1">
        <f>I313+Table6[[#This Row],[Calls Off]]</f>
        <v>5004</v>
      </c>
      <c r="J314" s="1">
        <f>J313+Table6[[#This Row],[Calls Ans]]</f>
        <v>4579</v>
      </c>
      <c r="K314" s="1">
        <f>K313+Table6[[#This Row],[Calls Off]]</f>
        <v>257881</v>
      </c>
      <c r="L314" s="1">
        <f>L313+Table6[[#This Row],[Calls Ans]]</f>
        <v>192482</v>
      </c>
      <c r="M314" s="18">
        <v>0.95</v>
      </c>
      <c r="N314" s="18">
        <v>0.03</v>
      </c>
      <c r="O314" s="18">
        <v>0.97</v>
      </c>
      <c r="P314" s="18">
        <v>0.45</v>
      </c>
      <c r="Q314" s="193"/>
      <c r="R314" s="229">
        <v>272</v>
      </c>
      <c r="S314" s="155">
        <v>4.8611111111111112E-3</v>
      </c>
      <c r="T314" s="1">
        <v>16</v>
      </c>
      <c r="U314" s="268" t="str">
        <f t="shared" si="19"/>
        <v>Normal</v>
      </c>
      <c r="V314" s="268" t="str">
        <f t="shared" si="20"/>
        <v>Normal</v>
      </c>
      <c r="W314" s="270">
        <f t="shared" si="21"/>
        <v>-0.14500537056928034</v>
      </c>
      <c r="X314" s="270">
        <f t="shared" si="22"/>
        <v>-0.14475138121546963</v>
      </c>
      <c r="Y314" s="249"/>
      <c r="Z314" s="249"/>
      <c r="AA314" s="249"/>
      <c r="AB314" s="249"/>
      <c r="AC314" s="249"/>
      <c r="AD314" s="249"/>
      <c r="AE314" s="249"/>
      <c r="AF314" s="249"/>
      <c r="AG314" s="249"/>
      <c r="AH314" s="249"/>
      <c r="AI314" s="249"/>
      <c r="AJ314" s="249"/>
      <c r="AK314" s="249"/>
      <c r="AL314" s="249"/>
      <c r="AR314">
        <f>MINUTE(Table6[[#This Row],[AHT]])</f>
        <v>0</v>
      </c>
      <c r="AS314">
        <f>SECOND(Table6[[#This Row],[AHT]])</f>
        <v>0</v>
      </c>
      <c r="AV314">
        <v>272</v>
      </c>
    </row>
    <row r="315" spans="1:48">
      <c r="A315" s="21">
        <v>44965</v>
      </c>
      <c r="B315" s="17">
        <f>IF(YEAR(Table9[[#This Row],[Date]]) = 2022, WEEKNUM(Table9[[#This Row],[Date]])-13, WEEKNUM(Table9[[#This Row],[Date]])+40)</f>
        <v>46</v>
      </c>
      <c r="C315" s="1" t="s">
        <v>50</v>
      </c>
      <c r="D315" s="1" t="s">
        <v>59</v>
      </c>
      <c r="E315" s="1">
        <v>825</v>
      </c>
      <c r="F315" s="1">
        <v>799</v>
      </c>
      <c r="G315" s="87">
        <f>IFERROR((Table6[[#This Row],[Calls Off]]-E308)/E308,0)</f>
        <v>7.326007326007326E-3</v>
      </c>
      <c r="H315" s="87">
        <f>IFERROR((Table6[[#This Row],[Calls Ans]]-F308)/F308,0)</f>
        <v>1.5247776365946633E-2</v>
      </c>
      <c r="I315" s="1">
        <f>I314+Table6[[#This Row],[Calls Off]]</f>
        <v>5829</v>
      </c>
      <c r="J315" s="1">
        <f>J314+Table6[[#This Row],[Calls Ans]]</f>
        <v>5378</v>
      </c>
      <c r="K315" s="1">
        <f>K314+Table6[[#This Row],[Calls Off]]</f>
        <v>258706</v>
      </c>
      <c r="L315" s="1">
        <f>L314+Table6[[#This Row],[Calls Ans]]</f>
        <v>193281</v>
      </c>
      <c r="M315" s="18">
        <v>0.92</v>
      </c>
      <c r="N315" s="18">
        <v>0.03</v>
      </c>
      <c r="O315" s="18">
        <v>0.97</v>
      </c>
      <c r="P315" s="18">
        <v>0.53</v>
      </c>
      <c r="Q315" s="193"/>
      <c r="R315" s="229">
        <v>264</v>
      </c>
      <c r="S315" s="155">
        <v>1.3194444444444444E-2</v>
      </c>
      <c r="T315" s="1">
        <v>14</v>
      </c>
      <c r="U315" s="268" t="str">
        <f t="shared" si="19"/>
        <v>Normal</v>
      </c>
      <c r="V315" s="268" t="str">
        <f t="shared" si="20"/>
        <v>Normal</v>
      </c>
      <c r="W315" s="270">
        <f t="shared" si="21"/>
        <v>7.326007326007326E-3</v>
      </c>
      <c r="X315" s="270">
        <f t="shared" si="22"/>
        <v>1.5247776365946633E-2</v>
      </c>
      <c r="Y315" s="249"/>
      <c r="Z315" s="249"/>
      <c r="AA315" s="249"/>
      <c r="AB315" s="249"/>
      <c r="AC315" s="249"/>
      <c r="AD315" s="249"/>
      <c r="AE315" s="249"/>
      <c r="AF315" s="249"/>
      <c r="AG315" s="249"/>
      <c r="AH315" s="249"/>
      <c r="AI315" s="249"/>
      <c r="AJ315" s="249"/>
      <c r="AK315" s="249"/>
      <c r="AL315" s="249"/>
      <c r="AO315" s="330" t="s">
        <v>95</v>
      </c>
      <c r="AP315" s="330"/>
      <c r="AR315">
        <f>MINUTE(Table6[[#This Row],[AHT]])</f>
        <v>0</v>
      </c>
      <c r="AS315">
        <f>SECOND(Table6[[#This Row],[AHT]])</f>
        <v>0</v>
      </c>
      <c r="AV315">
        <v>264</v>
      </c>
    </row>
    <row r="316" spans="1:48">
      <c r="A316" s="21">
        <v>44966</v>
      </c>
      <c r="B316" s="17">
        <f>IF(YEAR(Table9[[#This Row],[Date]]) = 2022, WEEKNUM(Table9[[#This Row],[Date]])-13, WEEKNUM(Table9[[#This Row],[Date]])+40)</f>
        <v>46</v>
      </c>
      <c r="C316" s="1" t="s">
        <v>51</v>
      </c>
      <c r="D316" s="1" t="s">
        <v>59</v>
      </c>
      <c r="E316" s="1">
        <v>784</v>
      </c>
      <c r="F316" s="1">
        <v>775</v>
      </c>
      <c r="G316" s="87">
        <f>IFERROR((Table6[[#This Row],[Calls Off]]-E309)/E309,0)</f>
        <v>-0.14129244249726178</v>
      </c>
      <c r="H316" s="87">
        <f>IFERROR((Table6[[#This Row],[Calls Ans]]-F309)/F309,0)</f>
        <v>3.7483266398929051E-2</v>
      </c>
      <c r="I316" s="1">
        <f>I315+Table6[[#This Row],[Calls Off]]</f>
        <v>6613</v>
      </c>
      <c r="J316" s="1">
        <f>J315+Table6[[#This Row],[Calls Ans]]</f>
        <v>6153</v>
      </c>
      <c r="K316" s="1">
        <f>K315+Table6[[#This Row],[Calls Off]]</f>
        <v>259490</v>
      </c>
      <c r="L316" s="1">
        <f>L315+Table6[[#This Row],[Calls Ans]]</f>
        <v>194056</v>
      </c>
      <c r="M316" s="18">
        <v>1</v>
      </c>
      <c r="N316" s="18">
        <v>0.01</v>
      </c>
      <c r="O316" s="18">
        <v>0.99</v>
      </c>
      <c r="P316" s="18">
        <v>0.48</v>
      </c>
      <c r="Q316" s="193"/>
      <c r="R316" s="229">
        <v>285</v>
      </c>
      <c r="S316" s="155">
        <v>2.0833333333333333E-3</v>
      </c>
      <c r="T316" s="1">
        <v>15</v>
      </c>
      <c r="U316" s="268" t="str">
        <f t="shared" si="19"/>
        <v>Normal</v>
      </c>
      <c r="V316" s="268" t="str">
        <f t="shared" si="20"/>
        <v>Normal</v>
      </c>
      <c r="W316" s="270">
        <f t="shared" si="21"/>
        <v>-0.14129244249726178</v>
      </c>
      <c r="X316" s="270">
        <f t="shared" si="22"/>
        <v>3.7483266398929051E-2</v>
      </c>
      <c r="Y316" s="249"/>
      <c r="Z316" s="249"/>
      <c r="AA316" s="249"/>
      <c r="AB316" s="249"/>
      <c r="AC316" s="249"/>
      <c r="AD316" s="249"/>
      <c r="AE316" s="249"/>
      <c r="AF316" s="249"/>
      <c r="AG316" s="249"/>
      <c r="AH316" s="249"/>
      <c r="AI316" s="249"/>
      <c r="AJ316" s="249"/>
      <c r="AK316" s="249"/>
      <c r="AL316" s="249"/>
      <c r="AO316" t="s">
        <v>96</v>
      </c>
      <c r="AP316" t="s">
        <v>97</v>
      </c>
      <c r="AR316">
        <f>MINUTE(Table6[[#This Row],[AHT]])</f>
        <v>0</v>
      </c>
      <c r="AS316">
        <f>SECOND(Table6[[#This Row],[AHT]])</f>
        <v>0</v>
      </c>
      <c r="AV316">
        <v>285</v>
      </c>
    </row>
    <row r="317" spans="1:48">
      <c r="A317" s="21">
        <v>44967</v>
      </c>
      <c r="B317" s="17">
        <f>IF(YEAR(Table9[[#This Row],[Date]]) = 2022, WEEKNUM(Table9[[#This Row],[Date]])-13, WEEKNUM(Table9[[#This Row],[Date]])+40)</f>
        <v>46</v>
      </c>
      <c r="C317" s="1" t="s">
        <v>52</v>
      </c>
      <c r="D317" s="1" t="s">
        <v>59</v>
      </c>
      <c r="E317" s="1">
        <v>755</v>
      </c>
      <c r="F317" s="1">
        <v>733</v>
      </c>
      <c r="G317" s="87">
        <f>IFERROR((Table6[[#This Row],[Calls Off]]-E310)/E310,0)</f>
        <v>-6.0945273631840796E-2</v>
      </c>
      <c r="H317" s="87">
        <f>IFERROR((Table6[[#This Row],[Calls Ans]]-F310)/F310,0)</f>
        <v>1.1034482758620689E-2</v>
      </c>
      <c r="I317" s="1">
        <f>I316+Table6[[#This Row],[Calls Off]]</f>
        <v>7368</v>
      </c>
      <c r="J317" s="1">
        <f>J316+Table6[[#This Row],[Calls Ans]]</f>
        <v>6886</v>
      </c>
      <c r="K317" s="1">
        <f>K316+Table6[[#This Row],[Calls Off]]</f>
        <v>260245</v>
      </c>
      <c r="L317" s="1">
        <f>L316+Table6[[#This Row],[Calls Ans]]</f>
        <v>194789</v>
      </c>
      <c r="M317" s="18">
        <v>0.97</v>
      </c>
      <c r="N317" s="18">
        <v>0.03</v>
      </c>
      <c r="O317" s="18">
        <v>0.97</v>
      </c>
      <c r="P317" s="18">
        <v>0.45</v>
      </c>
      <c r="Q317" s="193"/>
      <c r="R317" s="229">
        <v>300</v>
      </c>
      <c r="S317" s="155">
        <v>5.5555555555555558E-3</v>
      </c>
      <c r="T317" s="1">
        <v>15</v>
      </c>
      <c r="U317" s="268" t="str">
        <f t="shared" si="19"/>
        <v>Normal</v>
      </c>
      <c r="V317" s="268" t="str">
        <f t="shared" si="20"/>
        <v>Normal</v>
      </c>
      <c r="W317" s="270">
        <f t="shared" si="21"/>
        <v>-6.0945273631840796E-2</v>
      </c>
      <c r="X317" s="270">
        <f t="shared" si="22"/>
        <v>1.1034482758620689E-2</v>
      </c>
      <c r="Y317" s="249"/>
      <c r="Z317" s="249"/>
      <c r="AA317" s="249"/>
      <c r="AB317" s="249"/>
      <c r="AC317" s="249"/>
      <c r="AD317" s="249"/>
      <c r="AE317" s="249"/>
      <c r="AF317" s="249"/>
      <c r="AG317" s="249"/>
      <c r="AH317" s="249"/>
      <c r="AI317" s="249"/>
      <c r="AJ317" s="249"/>
      <c r="AK317" s="249"/>
      <c r="AL317" s="249"/>
      <c r="AO317" t="s">
        <v>98</v>
      </c>
      <c r="AP317" s="163">
        <v>0</v>
      </c>
      <c r="AR317">
        <f>MINUTE(Table6[[#This Row],[AHT]])</f>
        <v>0</v>
      </c>
      <c r="AS317">
        <f>SECOND(Table6[[#This Row],[AHT]])</f>
        <v>0</v>
      </c>
      <c r="AV317">
        <v>300</v>
      </c>
    </row>
    <row r="318" spans="1:48">
      <c r="A318" s="21">
        <v>44968</v>
      </c>
      <c r="B318" s="17">
        <f>IF(YEAR(Table9[[#This Row],[Date]]) = 2022, WEEKNUM(Table9[[#This Row],[Date]])-13, WEEKNUM(Table9[[#This Row],[Date]])+40)</f>
        <v>46</v>
      </c>
      <c r="C318" s="1" t="s">
        <v>53</v>
      </c>
      <c r="D318" s="1" t="s">
        <v>59</v>
      </c>
      <c r="E318" s="1">
        <v>588</v>
      </c>
      <c r="F318" s="1">
        <v>572</v>
      </c>
      <c r="G318" s="87">
        <f>IFERROR((Table6[[#This Row],[Calls Off]]-E311)/E311,0)</f>
        <v>-0.1787709497206704</v>
      </c>
      <c r="H318" s="87">
        <f>IFERROR((Table6[[#This Row],[Calls Ans]]-F311)/F311,0)</f>
        <v>-8.9171974522292988E-2</v>
      </c>
      <c r="I318" s="1">
        <f>I317+Table6[[#This Row],[Calls Off]]</f>
        <v>7956</v>
      </c>
      <c r="J318" s="1">
        <f>J317+Table6[[#This Row],[Calls Ans]]</f>
        <v>7458</v>
      </c>
      <c r="K318" s="1">
        <f>K317+Table6[[#This Row],[Calls Off]]</f>
        <v>260833</v>
      </c>
      <c r="L318" s="1">
        <f>L317+Table6[[#This Row],[Calls Ans]]</f>
        <v>195361</v>
      </c>
      <c r="M318" s="18">
        <v>0.97</v>
      </c>
      <c r="N318" s="18">
        <v>0.03</v>
      </c>
      <c r="O318" s="18">
        <v>0.97</v>
      </c>
      <c r="P318" s="18">
        <v>0.44</v>
      </c>
      <c r="Q318" s="193"/>
      <c r="R318" s="229">
        <v>278</v>
      </c>
      <c r="S318" s="155">
        <v>9.7222222222222224E-3</v>
      </c>
      <c r="T318" s="1">
        <v>12</v>
      </c>
      <c r="U318" s="268" t="str">
        <f t="shared" si="19"/>
        <v>Normal</v>
      </c>
      <c r="V318" s="268" t="str">
        <f t="shared" si="20"/>
        <v>Normal</v>
      </c>
      <c r="W318" s="270">
        <f t="shared" si="21"/>
        <v>-0.1787709497206704</v>
      </c>
      <c r="X318" s="270">
        <f t="shared" si="22"/>
        <v>-8.9171974522292988E-2</v>
      </c>
      <c r="Y318" s="249"/>
      <c r="Z318" s="249"/>
      <c r="AA318" s="249"/>
      <c r="AB318" s="249"/>
      <c r="AC318" s="249"/>
      <c r="AD318" s="249"/>
      <c r="AE318" s="249"/>
      <c r="AF318" s="249"/>
      <c r="AG318" s="249"/>
      <c r="AH318" s="249"/>
      <c r="AI318" s="249"/>
      <c r="AJ318" s="249"/>
      <c r="AK318" s="249"/>
      <c r="AL318" s="249"/>
      <c r="AO318" t="s">
        <v>99</v>
      </c>
      <c r="AP318" s="163">
        <v>0.10416666666666667</v>
      </c>
      <c r="AR318">
        <f>MINUTE(Table6[[#This Row],[AHT]])</f>
        <v>0</v>
      </c>
      <c r="AS318">
        <f>SECOND(Table6[[#This Row],[AHT]])</f>
        <v>0</v>
      </c>
      <c r="AV318">
        <v>278</v>
      </c>
    </row>
    <row r="319" spans="1:48">
      <c r="A319" s="21">
        <v>44969</v>
      </c>
      <c r="B319" s="17">
        <f>IF(YEAR(Table9[[#This Row],[Date]]) = 2022, WEEKNUM(Table9[[#This Row],[Date]])-13, WEEKNUM(Table9[[#This Row],[Date]])+40)</f>
        <v>47</v>
      </c>
      <c r="C319" s="1" t="s">
        <v>47</v>
      </c>
      <c r="D319" s="1" t="s">
        <v>59</v>
      </c>
      <c r="E319" s="1">
        <v>0</v>
      </c>
      <c r="F319" s="1">
        <v>0</v>
      </c>
      <c r="G319" s="19">
        <v>0</v>
      </c>
      <c r="H319" s="19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18">
        <v>0</v>
      </c>
      <c r="O319" s="18">
        <v>0</v>
      </c>
      <c r="P319" s="18">
        <v>0</v>
      </c>
      <c r="Q319" s="193"/>
      <c r="R319" s="229">
        <v>0</v>
      </c>
      <c r="S319" s="155">
        <v>0</v>
      </c>
      <c r="T319" s="1">
        <v>0</v>
      </c>
      <c r="U319" s="268" t="str">
        <f t="shared" si="19"/>
        <v>Normal</v>
      </c>
      <c r="V319" s="268" t="str">
        <f t="shared" si="20"/>
        <v>Normal</v>
      </c>
      <c r="W319" s="270">
        <f t="shared" si="21"/>
        <v>0</v>
      </c>
      <c r="X319" s="270">
        <f t="shared" si="22"/>
        <v>0</v>
      </c>
      <c r="Y319" s="249"/>
      <c r="Z319" s="249"/>
      <c r="AA319" s="249"/>
      <c r="AB319" s="249"/>
      <c r="AC319" s="249"/>
      <c r="AD319" s="249"/>
      <c r="AE319" s="249"/>
      <c r="AF319" s="249"/>
      <c r="AG319" s="249"/>
      <c r="AH319" s="249"/>
      <c r="AI319" s="249"/>
      <c r="AJ319" s="249"/>
      <c r="AK319" s="249"/>
      <c r="AL319" s="249"/>
      <c r="AO319" t="s">
        <v>100</v>
      </c>
      <c r="AP319" s="163">
        <v>0.10416666666666667</v>
      </c>
      <c r="AR319">
        <f>MINUTE(Table6[[#This Row],[AHT]])</f>
        <v>0</v>
      </c>
      <c r="AS319">
        <f>SECOND(Table6[[#This Row],[AHT]])</f>
        <v>0</v>
      </c>
      <c r="AV319">
        <v>0</v>
      </c>
    </row>
    <row r="320" spans="1:48">
      <c r="A320" s="21">
        <v>44970</v>
      </c>
      <c r="B320" s="17">
        <f>IF(YEAR(Table9[[#This Row],[Date]]) = 2022, WEEKNUM(Table9[[#This Row],[Date]])-13, WEEKNUM(Table9[[#This Row],[Date]])+40)</f>
        <v>47</v>
      </c>
      <c r="C320" s="1" t="s">
        <v>48</v>
      </c>
      <c r="D320" s="1" t="s">
        <v>59</v>
      </c>
      <c r="E320" s="1">
        <v>810</v>
      </c>
      <c r="F320" s="1">
        <v>798</v>
      </c>
      <c r="G320" s="87">
        <f>IFERROR((Table6[[#This Row],[Calls Off]]-E313)/E313,0)</f>
        <v>-0.15271966527196654</v>
      </c>
      <c r="H320" s="87">
        <f>IFERROR((Table6[[#This Row],[Calls Ans]]-F313)/F313,0)</f>
        <v>-0.13071895424836602</v>
      </c>
      <c r="I320" s="1">
        <f>I318+Table6[[#This Row],[Calls Off]]</f>
        <v>8766</v>
      </c>
      <c r="J320" s="1">
        <f>J318+Table6[[#This Row],[Calls Ans]]</f>
        <v>8256</v>
      </c>
      <c r="K320" s="1">
        <f>K318+Table6[[#This Row],[Calls Off]]</f>
        <v>261643</v>
      </c>
      <c r="L320" s="1">
        <f>L318+Table6[[#This Row],[Calls Ans]]</f>
        <v>196159</v>
      </c>
      <c r="M320" s="18">
        <v>0.98</v>
      </c>
      <c r="N320" s="18">
        <v>0.01</v>
      </c>
      <c r="O320" s="18">
        <v>0.99</v>
      </c>
      <c r="P320" s="18">
        <v>0.46</v>
      </c>
      <c r="Q320" s="193"/>
      <c r="R320" s="229">
        <v>263</v>
      </c>
      <c r="S320" s="155">
        <v>2.7777777777777779E-3</v>
      </c>
      <c r="T320" s="1">
        <v>16</v>
      </c>
      <c r="U320" s="268" t="str">
        <f t="shared" si="19"/>
        <v>Normal</v>
      </c>
      <c r="V320" s="268" t="str">
        <f t="shared" si="20"/>
        <v>Normal</v>
      </c>
      <c r="W320" s="270">
        <f t="shared" si="21"/>
        <v>-0.15271966527196654</v>
      </c>
      <c r="X320" s="270">
        <f t="shared" si="22"/>
        <v>-0.13071895424836602</v>
      </c>
      <c r="Y320" s="249"/>
      <c r="Z320" s="249"/>
      <c r="AA320" s="249"/>
      <c r="AB320" s="249"/>
      <c r="AC320" s="249"/>
      <c r="AD320" s="249"/>
      <c r="AE320" s="249"/>
      <c r="AF320" s="249"/>
      <c r="AG320" s="249"/>
      <c r="AH320" s="249"/>
      <c r="AI320" s="249"/>
      <c r="AJ320" s="249"/>
      <c r="AK320" s="249"/>
      <c r="AL320" s="249"/>
      <c r="AO320" t="s">
        <v>101</v>
      </c>
      <c r="AP320" s="163">
        <v>0.20833333333333334</v>
      </c>
      <c r="AR320">
        <f>MINUTE(Table6[[#This Row],[AHT]])</f>
        <v>0</v>
      </c>
      <c r="AS320">
        <f>SECOND(Table6[[#This Row],[AHT]])</f>
        <v>0</v>
      </c>
      <c r="AV320">
        <v>263</v>
      </c>
    </row>
    <row r="321" spans="1:48">
      <c r="A321" s="21">
        <v>44971</v>
      </c>
      <c r="B321" s="17">
        <f>IF(YEAR(Table9[[#This Row],[Date]]) = 2022, WEEKNUM(Table9[[#This Row],[Date]])-13, WEEKNUM(Table9[[#This Row],[Date]])+40)</f>
        <v>47</v>
      </c>
      <c r="C321" s="1" t="s">
        <v>49</v>
      </c>
      <c r="D321" s="1" t="s">
        <v>59</v>
      </c>
      <c r="E321" s="1">
        <v>766</v>
      </c>
      <c r="F321" s="1">
        <v>739</v>
      </c>
      <c r="G321" s="87">
        <f>IFERROR((Table6[[#This Row],[Calls Off]]-E314)/E314,0)</f>
        <v>-3.7688442211055273E-2</v>
      </c>
      <c r="H321" s="87">
        <f>IFERROR((Table6[[#This Row],[Calls Ans]]-F314)/F314,0)</f>
        <v>-4.5219638242894059E-2</v>
      </c>
      <c r="I321" s="1">
        <f>I320+Table6[[#This Row],[Calls Off]]</f>
        <v>9532</v>
      </c>
      <c r="J321" s="1">
        <f>J320+Table6[[#This Row],[Calls Ans]]</f>
        <v>8995</v>
      </c>
      <c r="K321" s="1">
        <f>K320+Table6[[#This Row],[Calls Off]]</f>
        <v>262409</v>
      </c>
      <c r="L321" s="1">
        <f>L320+Table6[[#This Row],[Calls Ans]]</f>
        <v>196898</v>
      </c>
      <c r="M321" s="18">
        <v>0.92</v>
      </c>
      <c r="N321" s="18">
        <v>0.04</v>
      </c>
      <c r="O321" s="18">
        <v>0.96</v>
      </c>
      <c r="P321" s="18">
        <v>0.38</v>
      </c>
      <c r="Q321" s="193"/>
      <c r="R321" s="229">
        <v>319</v>
      </c>
      <c r="S321" s="155">
        <v>9.7222222222222224E-3</v>
      </c>
      <c r="T321" s="1">
        <v>18</v>
      </c>
      <c r="U321" s="268" t="str">
        <f t="shared" si="19"/>
        <v>Normal</v>
      </c>
      <c r="V321" s="268" t="str">
        <f t="shared" si="20"/>
        <v>Normal</v>
      </c>
      <c r="W321" s="270">
        <f t="shared" si="21"/>
        <v>-3.7688442211055273E-2</v>
      </c>
      <c r="X321" s="270">
        <f t="shared" si="22"/>
        <v>-4.5219638242894059E-2</v>
      </c>
      <c r="Y321" s="249"/>
      <c r="Z321" s="249"/>
      <c r="AA321" s="249"/>
      <c r="AB321" s="249"/>
      <c r="AC321" s="249"/>
      <c r="AD321" s="249"/>
      <c r="AE321" s="249"/>
      <c r="AF321" s="249"/>
      <c r="AG321" s="249"/>
      <c r="AH321" s="249"/>
      <c r="AI321" s="249"/>
      <c r="AJ321" s="249"/>
      <c r="AK321" s="249"/>
      <c r="AL321" s="249"/>
      <c r="AO321" t="s">
        <v>97</v>
      </c>
      <c r="AP321" s="163" cm="1">
        <f t="array" ref="AP321">AVERAGEIF(chart_ATT_JAM, "&lt;&gt;0")</f>
        <v>285.74074074074076</v>
      </c>
      <c r="AR321">
        <f>MINUTE(Table6[[#This Row],[AHT]])</f>
        <v>0</v>
      </c>
      <c r="AS321">
        <f>SECOND(Table6[[#This Row],[AHT]])</f>
        <v>0</v>
      </c>
      <c r="AV321">
        <v>319</v>
      </c>
    </row>
    <row r="322" spans="1:48">
      <c r="A322" s="21">
        <v>44972</v>
      </c>
      <c r="B322" s="17">
        <f>IF(YEAR(Table9[[#This Row],[Date]]) = 2022, WEEKNUM(Table9[[#This Row],[Date]])-13, WEEKNUM(Table9[[#This Row],[Date]])+40)</f>
        <v>47</v>
      </c>
      <c r="C322" s="1" t="s">
        <v>50</v>
      </c>
      <c r="D322" s="1" t="s">
        <v>59</v>
      </c>
      <c r="E322" s="1">
        <v>733</v>
      </c>
      <c r="F322" s="1">
        <v>711</v>
      </c>
      <c r="G322" s="87">
        <f>IFERROR((Table6[[#This Row],[Calls Off]]-E315)/E315,0)</f>
        <v>-0.11151515151515151</v>
      </c>
      <c r="H322" s="87">
        <f>IFERROR((Table6[[#This Row],[Calls Ans]]-F315)/F315,0)</f>
        <v>-0.11013767209011265</v>
      </c>
      <c r="I322" s="1">
        <f>I321+Table6[[#This Row],[Calls Off]]</f>
        <v>10265</v>
      </c>
      <c r="J322" s="1">
        <f>J321+Table6[[#This Row],[Calls Ans]]</f>
        <v>9706</v>
      </c>
      <c r="K322" s="1">
        <f>K321+Table6[[#This Row],[Calls Off]]</f>
        <v>263142</v>
      </c>
      <c r="L322" s="1">
        <f>L321+Table6[[#This Row],[Calls Ans]]</f>
        <v>197609</v>
      </c>
      <c r="M322" s="18">
        <v>0.94</v>
      </c>
      <c r="N322" s="18">
        <v>0.03</v>
      </c>
      <c r="O322" s="18">
        <v>0.97</v>
      </c>
      <c r="P322" s="18">
        <v>0.41</v>
      </c>
      <c r="Q322" s="193"/>
      <c r="R322" s="229">
        <v>309</v>
      </c>
      <c r="S322" s="155">
        <v>8.3333333333333332E-3</v>
      </c>
      <c r="T322" s="1">
        <v>16</v>
      </c>
      <c r="U322" s="268" t="str">
        <f t="shared" si="19"/>
        <v>Normal</v>
      </c>
      <c r="V322" s="268" t="str">
        <f t="shared" si="20"/>
        <v>Normal</v>
      </c>
      <c r="W322" s="270">
        <f t="shared" si="21"/>
        <v>-0.11151515151515151</v>
      </c>
      <c r="X322" s="270">
        <f t="shared" si="22"/>
        <v>-0.11013767209011265</v>
      </c>
      <c r="Y322" s="249"/>
      <c r="Z322" s="249"/>
      <c r="AA322" s="249"/>
      <c r="AB322" s="249"/>
      <c r="AC322" s="249"/>
      <c r="AD322" s="249"/>
      <c r="AE322" s="249"/>
      <c r="AF322" s="249"/>
      <c r="AG322" s="249"/>
      <c r="AH322" s="249"/>
      <c r="AI322" s="249"/>
      <c r="AJ322" s="249"/>
      <c r="AK322" s="249"/>
      <c r="AL322" s="249"/>
      <c r="AR322">
        <f>MINUTE(Table6[[#This Row],[AHT]])</f>
        <v>0</v>
      </c>
      <c r="AS322">
        <f>SECOND(Table6[[#This Row],[AHT]])</f>
        <v>0</v>
      </c>
      <c r="AV322">
        <v>309</v>
      </c>
    </row>
    <row r="323" spans="1:48">
      <c r="A323" s="21">
        <v>44973</v>
      </c>
      <c r="B323" s="17">
        <f>IF(YEAR(Table9[[#This Row],[Date]]) = 2022, WEEKNUM(Table9[[#This Row],[Date]])-13, WEEKNUM(Table9[[#This Row],[Date]])+40)</f>
        <v>47</v>
      </c>
      <c r="C323" s="1" t="s">
        <v>51</v>
      </c>
      <c r="D323" s="1" t="s">
        <v>59</v>
      </c>
      <c r="E323" s="1">
        <v>761</v>
      </c>
      <c r="F323" s="1">
        <v>753</v>
      </c>
      <c r="G323" s="87">
        <f>IFERROR((Table6[[#This Row],[Calls Off]]-E316)/E316,0)</f>
        <v>-2.9336734693877552E-2</v>
      </c>
      <c r="H323" s="87">
        <f>IFERROR((Table6[[#This Row],[Calls Ans]]-F316)/F316,0)</f>
        <v>-2.838709677419355E-2</v>
      </c>
      <c r="I323" s="1">
        <f>I322+Table6[[#This Row],[Calls Off]]</f>
        <v>11026</v>
      </c>
      <c r="J323" s="1">
        <f>J322+Table6[[#This Row],[Calls Ans]]</f>
        <v>10459</v>
      </c>
      <c r="K323" s="1">
        <f>K322+Table6[[#This Row],[Calls Off]]</f>
        <v>263903</v>
      </c>
      <c r="L323" s="1">
        <f>L322+Table6[[#This Row],[Calls Ans]]</f>
        <v>198362</v>
      </c>
      <c r="M323" s="18">
        <v>0.98</v>
      </c>
      <c r="N323" s="18">
        <v>0.01</v>
      </c>
      <c r="O323" s="18">
        <v>0.99</v>
      </c>
      <c r="P323" s="18">
        <v>0.44</v>
      </c>
      <c r="Q323" s="193"/>
      <c r="R323" s="229">
        <v>331</v>
      </c>
      <c r="S323" s="155">
        <v>8.3333333333333332E-3</v>
      </c>
      <c r="T323" s="1">
        <v>16</v>
      </c>
      <c r="U323" s="268" t="str">
        <f t="shared" ref="U323:U366" si="23">IF(OR(G323&lt;$AA$5,G323&gt;$AB$5), "Outlier", "Normal")</f>
        <v>Normal</v>
      </c>
      <c r="V323" s="268" t="str">
        <f t="shared" ref="V323:V366" si="24">IF(OR(H323&lt;$AA$6,H323&gt;$AB$6), "Outlier", "Normal")</f>
        <v>Normal</v>
      </c>
      <c r="W323" s="270">
        <f t="shared" ref="W323:W366" si="25">IF(U323="Normal",$G323,IF($G323&lt;150%, $G323, $AA$9))</f>
        <v>-2.9336734693877552E-2</v>
      </c>
      <c r="X323" s="270">
        <f t="shared" ref="X323:X366" si="26">IF(V323="Normal",$H323,IF($H323&lt;150%, $H323, $AE$9))</f>
        <v>-2.838709677419355E-2</v>
      </c>
      <c r="Y323" s="249"/>
      <c r="Z323" s="249"/>
      <c r="AA323" s="249"/>
      <c r="AB323" s="249"/>
      <c r="AC323" s="249"/>
      <c r="AD323" s="249"/>
      <c r="AE323" s="249"/>
      <c r="AF323" s="249"/>
      <c r="AG323" s="249"/>
      <c r="AH323" s="249"/>
      <c r="AI323" s="249"/>
      <c r="AJ323" s="249"/>
      <c r="AK323" s="249"/>
      <c r="AL323" s="249"/>
      <c r="AR323">
        <f>MINUTE(Table6[[#This Row],[AHT]])</f>
        <v>0</v>
      </c>
      <c r="AS323">
        <f>SECOND(Table6[[#This Row],[AHT]])</f>
        <v>0</v>
      </c>
      <c r="AV323">
        <v>331</v>
      </c>
    </row>
    <row r="324" spans="1:48">
      <c r="A324" s="21">
        <v>44974</v>
      </c>
      <c r="B324" s="17">
        <f>IF(YEAR(Table9[[#This Row],[Date]]) = 2022, WEEKNUM(Table9[[#This Row],[Date]])-13, WEEKNUM(Table9[[#This Row],[Date]])+40)</f>
        <v>47</v>
      </c>
      <c r="C324" s="1" t="s">
        <v>52</v>
      </c>
      <c r="D324" s="1" t="s">
        <v>59</v>
      </c>
      <c r="E324" s="1">
        <v>766</v>
      </c>
      <c r="F324" s="1">
        <v>749</v>
      </c>
      <c r="G324" s="87">
        <f>IFERROR((Table6[[#This Row],[Calls Off]]-E317)/E317,0)</f>
        <v>1.456953642384106E-2</v>
      </c>
      <c r="H324" s="87">
        <f>IFERROR((Table6[[#This Row],[Calls Ans]]-F317)/F317,0)</f>
        <v>2.1828103683492497E-2</v>
      </c>
      <c r="I324" s="1">
        <f>I323+Table6[[#This Row],[Calls Off]]</f>
        <v>11792</v>
      </c>
      <c r="J324" s="1">
        <f>J323+Table6[[#This Row],[Calls Ans]]</f>
        <v>11208</v>
      </c>
      <c r="K324" s="1">
        <f>K323+Table6[[#This Row],[Calls Off]]</f>
        <v>264669</v>
      </c>
      <c r="L324" s="1">
        <f>L323+Table6[[#This Row],[Calls Ans]]</f>
        <v>199111</v>
      </c>
      <c r="M324" s="18">
        <v>0.97</v>
      </c>
      <c r="N324" s="18">
        <v>0.02</v>
      </c>
      <c r="O324" s="18">
        <v>0.98</v>
      </c>
      <c r="P324" s="18">
        <v>0.57999999999999996</v>
      </c>
      <c r="Q324" s="193"/>
      <c r="R324" s="229">
        <v>278</v>
      </c>
      <c r="S324" s="155">
        <v>4.8611111111111112E-3</v>
      </c>
      <c r="T324" s="1">
        <v>12</v>
      </c>
      <c r="U324" s="268" t="str">
        <f t="shared" si="23"/>
        <v>Normal</v>
      </c>
      <c r="V324" s="268" t="str">
        <f t="shared" si="24"/>
        <v>Normal</v>
      </c>
      <c r="W324" s="270">
        <f t="shared" si="25"/>
        <v>1.456953642384106E-2</v>
      </c>
      <c r="X324" s="270">
        <f t="shared" si="26"/>
        <v>2.1828103683492497E-2</v>
      </c>
      <c r="Y324" s="249"/>
      <c r="Z324" s="249"/>
      <c r="AA324" s="249"/>
      <c r="AB324" s="249"/>
      <c r="AC324" s="249"/>
      <c r="AD324" s="249"/>
      <c r="AE324" s="249"/>
      <c r="AF324" s="249"/>
      <c r="AG324" s="249"/>
      <c r="AH324" s="249"/>
      <c r="AI324" s="249"/>
      <c r="AJ324" s="249"/>
      <c r="AK324" s="249"/>
      <c r="AL324" s="249"/>
      <c r="AR324">
        <f>MINUTE(Table6[[#This Row],[AHT]])</f>
        <v>0</v>
      </c>
      <c r="AS324">
        <f>SECOND(Table6[[#This Row],[AHT]])</f>
        <v>0</v>
      </c>
      <c r="AV324">
        <v>278</v>
      </c>
    </row>
    <row r="325" spans="1:48">
      <c r="A325" s="21">
        <v>44975</v>
      </c>
      <c r="B325" s="17">
        <f>IF(YEAR(Table9[[#This Row],[Date]]) = 2022, WEEKNUM(Table9[[#This Row],[Date]])-13, WEEKNUM(Table9[[#This Row],[Date]])+40)</f>
        <v>47</v>
      </c>
      <c r="C325" s="1" t="s">
        <v>53</v>
      </c>
      <c r="D325" s="1" t="s">
        <v>59</v>
      </c>
      <c r="E325" s="1">
        <v>718</v>
      </c>
      <c r="F325" s="1">
        <v>678</v>
      </c>
      <c r="G325" s="87">
        <f>IFERROR((Table6[[#This Row],[Calls Off]]-E318)/E318,0)</f>
        <v>0.22108843537414966</v>
      </c>
      <c r="H325" s="87">
        <f>IFERROR((Table6[[#This Row],[Calls Ans]]-F318)/F318,0)</f>
        <v>0.18531468531468531</v>
      </c>
      <c r="I325" s="1">
        <f>I324+Table6[[#This Row],[Calls Off]]</f>
        <v>12510</v>
      </c>
      <c r="J325" s="1">
        <f>J324+Table6[[#This Row],[Calls Ans]]</f>
        <v>11886</v>
      </c>
      <c r="K325" s="1">
        <f>K324+Table6[[#This Row],[Calls Off]]</f>
        <v>265387</v>
      </c>
      <c r="L325" s="1">
        <f>L324+Table6[[#This Row],[Calls Ans]]</f>
        <v>199789</v>
      </c>
      <c r="M325" s="18">
        <v>0.87</v>
      </c>
      <c r="N325" s="18">
        <v>0.06</v>
      </c>
      <c r="O325" s="18">
        <v>0.94</v>
      </c>
      <c r="P325" s="18">
        <v>0.48</v>
      </c>
      <c r="Q325" s="193"/>
      <c r="R325" s="229">
        <v>311</v>
      </c>
      <c r="S325" s="155">
        <v>1.3194444444444444E-2</v>
      </c>
      <c r="T325" s="1">
        <v>13</v>
      </c>
      <c r="U325" s="268" t="str">
        <f t="shared" si="23"/>
        <v>Normal</v>
      </c>
      <c r="V325" s="268" t="str">
        <f t="shared" si="24"/>
        <v>Normal</v>
      </c>
      <c r="W325" s="270">
        <f t="shared" si="25"/>
        <v>0.22108843537414966</v>
      </c>
      <c r="X325" s="270">
        <f t="shared" si="26"/>
        <v>0.18531468531468531</v>
      </c>
      <c r="Y325" s="249"/>
      <c r="Z325" s="249"/>
      <c r="AA325" s="249"/>
      <c r="AB325" s="249"/>
      <c r="AC325" s="249"/>
      <c r="AD325" s="249"/>
      <c r="AE325" s="249"/>
      <c r="AF325" s="249"/>
      <c r="AG325" s="249"/>
      <c r="AH325" s="249"/>
      <c r="AI325" s="249"/>
      <c r="AJ325" s="249"/>
      <c r="AK325" s="249"/>
      <c r="AL325" s="249"/>
      <c r="AR325">
        <f>MINUTE(Table6[[#This Row],[AHT]])</f>
        <v>0</v>
      </c>
      <c r="AS325">
        <f>SECOND(Table6[[#This Row],[AHT]])</f>
        <v>0</v>
      </c>
      <c r="AV325">
        <v>311</v>
      </c>
    </row>
    <row r="326" spans="1:48">
      <c r="A326" s="21">
        <v>44976</v>
      </c>
      <c r="B326" s="17">
        <f>IF(YEAR(Table9[[#This Row],[Date]]) = 2022, WEEKNUM(Table9[[#This Row],[Date]])-13, WEEKNUM(Table9[[#This Row],[Date]])+40)</f>
        <v>48</v>
      </c>
      <c r="C326" s="1" t="s">
        <v>47</v>
      </c>
      <c r="D326" s="1" t="s">
        <v>59</v>
      </c>
      <c r="E326" s="1">
        <v>41</v>
      </c>
      <c r="F326" s="1">
        <v>41</v>
      </c>
      <c r="G326" s="87">
        <f>IFERROR((Table6[[#This Row],[Calls Off]]-E319)/E319,0)</f>
        <v>0</v>
      </c>
      <c r="H326" s="87">
        <f>IFERROR((Table6[[#This Row],[Calls Ans]]-F319)/F319,0)</f>
        <v>0</v>
      </c>
      <c r="I326" s="1">
        <f>I325+Table6[[#This Row],[Calls Off]]</f>
        <v>12551</v>
      </c>
      <c r="J326" s="1">
        <f>J325+Table6[[#This Row],[Calls Ans]]</f>
        <v>11927</v>
      </c>
      <c r="K326" s="1">
        <f>K325+Table6[[#This Row],[Calls Off]]</f>
        <v>265428</v>
      </c>
      <c r="L326" s="1">
        <f>L325+Table6[[#This Row],[Calls Ans]]</f>
        <v>199830</v>
      </c>
      <c r="M326" s="18">
        <v>0.99</v>
      </c>
      <c r="N326" s="18">
        <v>0</v>
      </c>
      <c r="O326" s="18">
        <v>1</v>
      </c>
      <c r="P326" s="18">
        <v>0.13</v>
      </c>
      <c r="Q326" s="193"/>
      <c r="R326" s="229">
        <v>134</v>
      </c>
      <c r="S326" s="155">
        <v>4.8611111111111112E-3</v>
      </c>
      <c r="T326" s="1">
        <v>3</v>
      </c>
      <c r="U326" s="268" t="str">
        <f t="shared" si="23"/>
        <v>Normal</v>
      </c>
      <c r="V326" s="268" t="str">
        <f t="shared" si="24"/>
        <v>Normal</v>
      </c>
      <c r="W326" s="270">
        <f t="shared" si="25"/>
        <v>0</v>
      </c>
      <c r="X326" s="270">
        <f t="shared" si="26"/>
        <v>0</v>
      </c>
      <c r="Y326" s="249"/>
      <c r="Z326" s="249"/>
      <c r="AA326" s="249"/>
      <c r="AB326" s="249"/>
      <c r="AC326" s="249"/>
      <c r="AD326" s="249"/>
      <c r="AE326" s="249"/>
      <c r="AF326" s="249"/>
      <c r="AG326" s="249"/>
      <c r="AH326" s="249"/>
      <c r="AI326" s="249"/>
      <c r="AJ326" s="249"/>
      <c r="AK326" s="249"/>
      <c r="AL326" s="249"/>
      <c r="AR326">
        <f>MINUTE(Table6[[#This Row],[AHT]])</f>
        <v>0</v>
      </c>
      <c r="AS326">
        <f>SECOND(Table6[[#This Row],[AHT]])</f>
        <v>0</v>
      </c>
      <c r="AV326">
        <v>134</v>
      </c>
    </row>
    <row r="327" spans="1:48">
      <c r="A327" s="21">
        <v>44977</v>
      </c>
      <c r="B327" s="17">
        <f>IF(YEAR(Table9[[#This Row],[Date]]) = 2022, WEEKNUM(Table9[[#This Row],[Date]])-13, WEEKNUM(Table9[[#This Row],[Date]])+40)</f>
        <v>48</v>
      </c>
      <c r="C327" s="1" t="s">
        <v>48</v>
      </c>
      <c r="D327" s="1" t="s">
        <v>59</v>
      </c>
      <c r="E327" s="1">
        <v>840</v>
      </c>
      <c r="F327" s="1">
        <v>825</v>
      </c>
      <c r="G327" s="87">
        <f>IFERROR((Table6[[#This Row],[Calls Off]]-E320)/E320,0)</f>
        <v>3.7037037037037035E-2</v>
      </c>
      <c r="H327" s="87">
        <f>IFERROR((Table6[[#This Row],[Calls Ans]]-F320)/F320,0)</f>
        <v>3.3834586466165412E-2</v>
      </c>
      <c r="I327" s="1">
        <f>I325+Table6[[#This Row],[Calls Off]]</f>
        <v>13350</v>
      </c>
      <c r="J327" s="1">
        <f>J325+Table6[[#This Row],[Calls Ans]]</f>
        <v>12711</v>
      </c>
      <c r="K327" s="1">
        <f>K325+Table6[[#This Row],[Calls Off]]</f>
        <v>266227</v>
      </c>
      <c r="L327" s="1">
        <f>L325+Table6[[#This Row],[Calls Ans]]</f>
        <v>200614</v>
      </c>
      <c r="M327" s="18">
        <v>0.97</v>
      </c>
      <c r="N327" s="18">
        <v>0.02</v>
      </c>
      <c r="O327" s="18">
        <v>0.98</v>
      </c>
      <c r="P327" s="18">
        <v>0.5</v>
      </c>
      <c r="Q327" s="193"/>
      <c r="R327" s="229">
        <v>269</v>
      </c>
      <c r="S327" s="155">
        <v>3.472222222222222E-3</v>
      </c>
      <c r="T327" s="1">
        <v>17</v>
      </c>
      <c r="U327" s="268" t="str">
        <f t="shared" si="23"/>
        <v>Normal</v>
      </c>
      <c r="V327" s="268" t="str">
        <f t="shared" si="24"/>
        <v>Normal</v>
      </c>
      <c r="W327" s="270">
        <f t="shared" si="25"/>
        <v>3.7037037037037035E-2</v>
      </c>
      <c r="X327" s="270">
        <f t="shared" si="26"/>
        <v>3.3834586466165412E-2</v>
      </c>
      <c r="Y327" s="249"/>
      <c r="Z327" s="249"/>
      <c r="AA327" s="249"/>
      <c r="AB327" s="249"/>
      <c r="AC327" s="249"/>
      <c r="AD327" s="249"/>
      <c r="AE327" s="249"/>
      <c r="AF327" s="249"/>
      <c r="AG327" s="249"/>
      <c r="AH327" s="249"/>
      <c r="AI327" s="249"/>
      <c r="AJ327" s="249"/>
      <c r="AK327" s="249"/>
      <c r="AL327" s="249"/>
      <c r="AR327">
        <f>MINUTE(Table6[[#This Row],[AHT]])</f>
        <v>0</v>
      </c>
      <c r="AS327">
        <f>SECOND(Table6[[#This Row],[AHT]])</f>
        <v>0</v>
      </c>
      <c r="AV327">
        <v>269</v>
      </c>
    </row>
    <row r="328" spans="1:48">
      <c r="A328" s="21">
        <v>44978</v>
      </c>
      <c r="B328" s="17">
        <f>IF(YEAR(Table9[[#This Row],[Date]]) = 2022, WEEKNUM(Table9[[#This Row],[Date]])-13, WEEKNUM(Table9[[#This Row],[Date]])+40)</f>
        <v>48</v>
      </c>
      <c r="C328" s="1" t="s">
        <v>49</v>
      </c>
      <c r="D328" s="1" t="s">
        <v>59</v>
      </c>
      <c r="E328" s="1">
        <v>798</v>
      </c>
      <c r="F328" s="1">
        <v>767</v>
      </c>
      <c r="G328" s="87">
        <f>IFERROR((Table6[[#This Row],[Calls Off]]-E321)/E321,0)</f>
        <v>4.1775456919060053E-2</v>
      </c>
      <c r="H328" s="87">
        <f>IFERROR((Table6[[#This Row],[Calls Ans]]-F321)/F321,0)</f>
        <v>3.7889039242219216E-2</v>
      </c>
      <c r="I328" s="1">
        <f>I327+Table6[[#This Row],[Calls Off]]</f>
        <v>14148</v>
      </c>
      <c r="J328" s="1">
        <f>J327+Table6[[#This Row],[Calls Ans]]</f>
        <v>13478</v>
      </c>
      <c r="K328" s="1">
        <f>K327+Table6[[#This Row],[Calls Off]]</f>
        <v>267025</v>
      </c>
      <c r="L328" s="1">
        <f>L327+Table6[[#This Row],[Calls Ans]]</f>
        <v>201381</v>
      </c>
      <c r="M328" s="18">
        <v>0.92</v>
      </c>
      <c r="N328" s="18">
        <v>0.04</v>
      </c>
      <c r="O328" s="18">
        <v>0.96</v>
      </c>
      <c r="P328" s="18">
        <v>0.56999999999999995</v>
      </c>
      <c r="Q328" s="193"/>
      <c r="R328" s="229">
        <v>330</v>
      </c>
      <c r="S328" s="155">
        <v>9.0277777777777787E-3</v>
      </c>
      <c r="T328" s="1">
        <v>17</v>
      </c>
      <c r="U328" s="268" t="str">
        <f t="shared" si="23"/>
        <v>Normal</v>
      </c>
      <c r="V328" s="268" t="str">
        <f t="shared" si="24"/>
        <v>Normal</v>
      </c>
      <c r="W328" s="270">
        <f t="shared" si="25"/>
        <v>4.1775456919060053E-2</v>
      </c>
      <c r="X328" s="270">
        <f t="shared" si="26"/>
        <v>3.7889039242219216E-2</v>
      </c>
      <c r="Y328" s="249"/>
      <c r="Z328" s="249"/>
      <c r="AA328" s="249"/>
      <c r="AB328" s="249"/>
      <c r="AC328" s="249"/>
      <c r="AD328" s="249"/>
      <c r="AE328" s="249"/>
      <c r="AF328" s="249"/>
      <c r="AG328" s="249"/>
      <c r="AH328" s="249"/>
      <c r="AI328" s="249"/>
      <c r="AJ328" s="249"/>
      <c r="AK328" s="249"/>
      <c r="AL328" s="249"/>
      <c r="AR328">
        <f>MINUTE(Table6[[#This Row],[AHT]])</f>
        <v>0</v>
      </c>
      <c r="AS328">
        <f>SECOND(Table6[[#This Row],[AHT]])</f>
        <v>0</v>
      </c>
      <c r="AV328">
        <v>330</v>
      </c>
    </row>
    <row r="329" spans="1:48">
      <c r="A329" s="21">
        <v>44979</v>
      </c>
      <c r="B329" s="17">
        <f>IF(YEAR(Table9[[#This Row],[Date]]) = 2022, WEEKNUM(Table9[[#This Row],[Date]])-13, WEEKNUM(Table9[[#This Row],[Date]])+40)</f>
        <v>48</v>
      </c>
      <c r="C329" s="1" t="s">
        <v>63</v>
      </c>
      <c r="D329" s="1" t="s">
        <v>59</v>
      </c>
      <c r="E329" s="1">
        <v>0</v>
      </c>
      <c r="F329" s="1">
        <v>0</v>
      </c>
      <c r="G329" s="87">
        <f>IFERROR((Table6[[#This Row],[Calls Off]]-E322)/E322,0)</f>
        <v>-1</v>
      </c>
      <c r="H329" s="87">
        <f>IFERROR((Table6[[#This Row],[Calls Ans]]-F322)/F322,0)</f>
        <v>-1</v>
      </c>
      <c r="I329" s="1">
        <f>I328+Table6[[#This Row],[Calls Off]]</f>
        <v>14148</v>
      </c>
      <c r="J329" s="1">
        <f>J328+Table6[[#This Row],[Calls Ans]]</f>
        <v>13478</v>
      </c>
      <c r="K329" s="1">
        <f>K328+Table6[[#This Row],[Calls Off]]</f>
        <v>267025</v>
      </c>
      <c r="L329" s="1">
        <f>L328+Table6[[#This Row],[Calls Ans]]</f>
        <v>201381</v>
      </c>
      <c r="M329" s="18">
        <v>0</v>
      </c>
      <c r="N329" s="18">
        <v>0</v>
      </c>
      <c r="O329" s="18">
        <v>0</v>
      </c>
      <c r="P329" s="18">
        <v>0</v>
      </c>
      <c r="Q329" s="193"/>
      <c r="R329" s="229">
        <v>0</v>
      </c>
      <c r="S329" s="155">
        <v>0</v>
      </c>
      <c r="T329" s="1">
        <v>0</v>
      </c>
      <c r="U329" s="268" t="str">
        <f t="shared" si="23"/>
        <v>Outlier</v>
      </c>
      <c r="V329" s="268" t="str">
        <f t="shared" si="24"/>
        <v>Outlier</v>
      </c>
      <c r="W329" s="270">
        <f t="shared" si="25"/>
        <v>-1</v>
      </c>
      <c r="X329" s="270">
        <f t="shared" si="26"/>
        <v>-1</v>
      </c>
      <c r="Y329" s="249"/>
      <c r="Z329" s="249"/>
      <c r="AA329" s="249"/>
      <c r="AB329" s="249"/>
      <c r="AC329" s="249"/>
      <c r="AD329" s="249"/>
      <c r="AE329" s="249"/>
      <c r="AF329" s="249"/>
      <c r="AG329" s="249"/>
      <c r="AH329" s="249"/>
      <c r="AI329" s="249"/>
      <c r="AJ329" s="249"/>
      <c r="AK329" s="249"/>
      <c r="AL329" s="249"/>
      <c r="AR329">
        <f>MINUTE(Table6[[#This Row],[AHT]])</f>
        <v>0</v>
      </c>
      <c r="AS329">
        <f>SECOND(Table6[[#This Row],[AHT]])</f>
        <v>0</v>
      </c>
      <c r="AV329">
        <v>0</v>
      </c>
    </row>
    <row r="330" spans="1:48">
      <c r="A330" s="21">
        <v>44980</v>
      </c>
      <c r="B330" s="17">
        <f>IF(YEAR(Table9[[#This Row],[Date]]) = 2022, WEEKNUM(Table9[[#This Row],[Date]])-13, WEEKNUM(Table9[[#This Row],[Date]])+40)</f>
        <v>48</v>
      </c>
      <c r="C330" s="1" t="s">
        <v>51</v>
      </c>
      <c r="D330" s="1" t="s">
        <v>59</v>
      </c>
      <c r="E330" s="1">
        <v>973</v>
      </c>
      <c r="F330" s="1">
        <v>913</v>
      </c>
      <c r="G330" s="87">
        <f>IFERROR((Table6[[#This Row],[Calls Off]]-E323)/E323,0)</f>
        <v>0.27858081471747698</v>
      </c>
      <c r="H330" s="87">
        <f>IFERROR((Table6[[#This Row],[Calls Ans]]-F323)/F323,0)</f>
        <v>0.21248339973439576</v>
      </c>
      <c r="I330" s="1">
        <f>I329+Table6[[#This Row],[Calls Off]]</f>
        <v>15121</v>
      </c>
      <c r="J330" s="1">
        <f>J329+Table6[[#This Row],[Calls Ans]]</f>
        <v>14391</v>
      </c>
      <c r="K330" s="1">
        <f>K329+Table6[[#This Row],[Calls Off]]</f>
        <v>267998</v>
      </c>
      <c r="L330" s="1">
        <f>L329+Table6[[#This Row],[Calls Ans]]</f>
        <v>202294</v>
      </c>
      <c r="M330" s="18">
        <v>0.74</v>
      </c>
      <c r="N330" s="18">
        <v>0.06</v>
      </c>
      <c r="O330" s="18">
        <v>0.94</v>
      </c>
      <c r="P330" s="18">
        <v>0.69</v>
      </c>
      <c r="Q330" s="193"/>
      <c r="R330" s="229">
        <v>276</v>
      </c>
      <c r="S330" s="155">
        <v>2.361111111111111E-2</v>
      </c>
      <c r="T330" s="1">
        <v>14</v>
      </c>
      <c r="U330" s="268" t="str">
        <f t="shared" si="23"/>
        <v>Normal</v>
      </c>
      <c r="V330" s="268" t="str">
        <f t="shared" si="24"/>
        <v>Normal</v>
      </c>
      <c r="W330" s="270">
        <f t="shared" si="25"/>
        <v>0.27858081471747698</v>
      </c>
      <c r="X330" s="270">
        <f t="shared" si="26"/>
        <v>0.21248339973439576</v>
      </c>
      <c r="Y330" s="249"/>
      <c r="Z330" s="249"/>
      <c r="AA330" s="249"/>
      <c r="AB330" s="249"/>
      <c r="AC330" s="249"/>
      <c r="AD330" s="249"/>
      <c r="AE330" s="249"/>
      <c r="AF330" s="249"/>
      <c r="AG330" s="249"/>
      <c r="AH330" s="249"/>
      <c r="AI330" s="249"/>
      <c r="AJ330" s="249"/>
      <c r="AK330" s="249"/>
      <c r="AL330" s="249"/>
      <c r="AR330">
        <f>MINUTE(Table6[[#This Row],[AHT]])</f>
        <v>0</v>
      </c>
      <c r="AS330">
        <f>SECOND(Table6[[#This Row],[AHT]])</f>
        <v>0</v>
      </c>
      <c r="AV330">
        <v>276</v>
      </c>
    </row>
    <row r="331" spans="1:48">
      <c r="A331" s="21">
        <v>44981</v>
      </c>
      <c r="B331" s="17">
        <f>IF(YEAR(Table9[[#This Row],[Date]]) = 2022, WEEKNUM(Table9[[#This Row],[Date]])-13, WEEKNUM(Table9[[#This Row],[Date]])+40)</f>
        <v>48</v>
      </c>
      <c r="C331" s="1" t="s">
        <v>52</v>
      </c>
      <c r="D331" s="1" t="s">
        <v>59</v>
      </c>
      <c r="E331" s="1">
        <v>910</v>
      </c>
      <c r="F331" s="1">
        <v>794</v>
      </c>
      <c r="G331" s="87">
        <f>IFERROR((Table6[[#This Row],[Calls Off]]-E324)/E324,0)</f>
        <v>0.18798955613577023</v>
      </c>
      <c r="H331" s="87">
        <f>IFERROR((Table6[[#This Row],[Calls Ans]]-F324)/F324,0)</f>
        <v>6.008010680907877E-2</v>
      </c>
      <c r="I331" s="1">
        <f>I330+Table6[[#This Row],[Calls Off]]</f>
        <v>16031</v>
      </c>
      <c r="J331" s="1">
        <f>J330+Table6[[#This Row],[Calls Ans]]</f>
        <v>15185</v>
      </c>
      <c r="K331" s="1">
        <f>K330+Table6[[#This Row],[Calls Off]]</f>
        <v>268908</v>
      </c>
      <c r="L331" s="1">
        <f>L330+Table6[[#This Row],[Calls Ans]]</f>
        <v>203088</v>
      </c>
      <c r="M331" s="18">
        <v>0.59</v>
      </c>
      <c r="N331" s="18">
        <v>0.13</v>
      </c>
      <c r="O331" s="18">
        <v>0.87</v>
      </c>
      <c r="P331" s="18">
        <v>0.91</v>
      </c>
      <c r="Q331" s="193"/>
      <c r="R331" s="229">
        <v>326</v>
      </c>
      <c r="S331" s="155">
        <v>4.3750000000000004E-2</v>
      </c>
      <c r="T331" s="1">
        <v>11</v>
      </c>
      <c r="U331" s="268" t="str">
        <f t="shared" si="23"/>
        <v>Normal</v>
      </c>
      <c r="V331" s="268" t="str">
        <f t="shared" si="24"/>
        <v>Normal</v>
      </c>
      <c r="W331" s="270">
        <f t="shared" si="25"/>
        <v>0.18798955613577023</v>
      </c>
      <c r="X331" s="270">
        <f t="shared" si="26"/>
        <v>6.008010680907877E-2</v>
      </c>
      <c r="Y331" s="249"/>
      <c r="Z331" s="249"/>
      <c r="AA331" s="249"/>
      <c r="AB331" s="249"/>
      <c r="AC331" s="249"/>
      <c r="AD331" s="249"/>
      <c r="AE331" s="249"/>
      <c r="AF331" s="249"/>
      <c r="AG331" s="249"/>
      <c r="AH331" s="249"/>
      <c r="AI331" s="249"/>
      <c r="AJ331" s="249"/>
      <c r="AK331" s="249"/>
      <c r="AL331" s="249"/>
      <c r="AR331">
        <f>MINUTE(Table6[[#This Row],[AHT]])</f>
        <v>0</v>
      </c>
      <c r="AS331">
        <f>SECOND(Table6[[#This Row],[AHT]])</f>
        <v>0</v>
      </c>
      <c r="AV331">
        <v>326</v>
      </c>
    </row>
    <row r="332" spans="1:48">
      <c r="A332" s="21">
        <v>44982</v>
      </c>
      <c r="B332" s="17">
        <f>IF(YEAR(Table9[[#This Row],[Date]]) = 2022, WEEKNUM(Table9[[#This Row],[Date]])-13, WEEKNUM(Table9[[#This Row],[Date]])+40)</f>
        <v>48</v>
      </c>
      <c r="C332" s="1" t="s">
        <v>53</v>
      </c>
      <c r="D332" s="1" t="s">
        <v>59</v>
      </c>
      <c r="E332" s="1">
        <v>709</v>
      </c>
      <c r="F332" s="1">
        <v>658</v>
      </c>
      <c r="G332" s="87">
        <f>IFERROR((Table6[[#This Row],[Calls Off]]-E325)/E325,0)</f>
        <v>-1.2534818941504178E-2</v>
      </c>
      <c r="H332" s="87">
        <f>IFERROR((Table6[[#This Row],[Calls Ans]]-F325)/F325,0)</f>
        <v>-2.9498525073746312E-2</v>
      </c>
      <c r="I332" s="1">
        <f>I331+Table6[[#This Row],[Calls Off]]</f>
        <v>16740</v>
      </c>
      <c r="J332" s="1">
        <f>J331+Table6[[#This Row],[Calls Ans]]</f>
        <v>15843</v>
      </c>
      <c r="K332" s="1">
        <f>K331+Table6[[#This Row],[Calls Off]]</f>
        <v>269617</v>
      </c>
      <c r="L332" s="1">
        <f>L331+Table6[[#This Row],[Calls Ans]]</f>
        <v>203746</v>
      </c>
      <c r="M332" s="18">
        <v>0.8</v>
      </c>
      <c r="N332" s="18">
        <v>7.0000000000000007E-2</v>
      </c>
      <c r="O332" s="18">
        <v>0.93</v>
      </c>
      <c r="P332" s="18">
        <v>0.69</v>
      </c>
      <c r="Q332" s="193"/>
      <c r="R332" s="229">
        <v>326</v>
      </c>
      <c r="S332" s="155">
        <v>1.8055555555555557E-2</v>
      </c>
      <c r="T332" s="1">
        <v>12</v>
      </c>
      <c r="U332" s="268" t="str">
        <f t="shared" si="23"/>
        <v>Normal</v>
      </c>
      <c r="V332" s="268" t="str">
        <f t="shared" si="24"/>
        <v>Normal</v>
      </c>
      <c r="W332" s="270">
        <f t="shared" si="25"/>
        <v>-1.2534818941504178E-2</v>
      </c>
      <c r="X332" s="270">
        <f t="shared" si="26"/>
        <v>-2.9498525073746312E-2</v>
      </c>
      <c r="Y332" s="249"/>
      <c r="Z332" s="249"/>
      <c r="AA332" s="249"/>
      <c r="AB332" s="249"/>
      <c r="AC332" s="249"/>
      <c r="AD332" s="249"/>
      <c r="AE332" s="249"/>
      <c r="AF332" s="249"/>
      <c r="AG332" s="249"/>
      <c r="AH332" s="249"/>
      <c r="AI332" s="249"/>
      <c r="AJ332" s="249"/>
      <c r="AK332" s="249"/>
      <c r="AL332" s="249"/>
      <c r="AR332">
        <f>MINUTE(Table6[[#This Row],[AHT]])</f>
        <v>0</v>
      </c>
      <c r="AS332">
        <f>SECOND(Table6[[#This Row],[AHT]])</f>
        <v>0</v>
      </c>
      <c r="AV332">
        <v>326</v>
      </c>
    </row>
    <row r="333" spans="1:48">
      <c r="A333" s="21">
        <v>44983</v>
      </c>
      <c r="B333" s="17">
        <f>IF(YEAR(Table9[[#This Row],[Date]]) = 2022, WEEKNUM(Table9[[#This Row],[Date]])-13, WEEKNUM(Table9[[#This Row],[Date]])+40)</f>
        <v>49</v>
      </c>
      <c r="C333" s="1" t="s">
        <v>47</v>
      </c>
      <c r="D333" s="1" t="s">
        <v>59</v>
      </c>
      <c r="E333" s="1">
        <v>0</v>
      </c>
      <c r="F333" s="1">
        <v>0</v>
      </c>
      <c r="G333" s="87">
        <v>0</v>
      </c>
      <c r="H333" s="87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18">
        <v>0</v>
      </c>
      <c r="O333" s="18">
        <v>0</v>
      </c>
      <c r="P333" s="18">
        <v>0</v>
      </c>
      <c r="Q333" s="193"/>
      <c r="R333" s="229">
        <v>0</v>
      </c>
      <c r="S333" s="155">
        <v>0</v>
      </c>
      <c r="T333" s="1">
        <v>0</v>
      </c>
      <c r="U333" s="268" t="str">
        <f t="shared" si="23"/>
        <v>Normal</v>
      </c>
      <c r="V333" s="268" t="str">
        <f t="shared" si="24"/>
        <v>Normal</v>
      </c>
      <c r="W333" s="270">
        <f t="shared" si="25"/>
        <v>0</v>
      </c>
      <c r="X333" s="270">
        <f t="shared" si="26"/>
        <v>0</v>
      </c>
      <c r="Y333" s="249"/>
      <c r="Z333" s="249"/>
      <c r="AA333" s="249"/>
      <c r="AB333" s="249"/>
      <c r="AC333" s="249"/>
      <c r="AD333" s="249"/>
      <c r="AE333" s="249"/>
      <c r="AF333" s="249"/>
      <c r="AG333" s="249"/>
      <c r="AH333" s="249"/>
      <c r="AI333" s="249"/>
      <c r="AJ333" s="249"/>
      <c r="AK333" s="249"/>
      <c r="AL333" s="249"/>
      <c r="AR333">
        <f>MINUTE(Table6[[#This Row],[AHT]])</f>
        <v>0</v>
      </c>
      <c r="AS333">
        <f>SECOND(Table6[[#This Row],[AHT]])</f>
        <v>0</v>
      </c>
      <c r="AV333">
        <v>0</v>
      </c>
    </row>
    <row r="334" spans="1:48">
      <c r="A334" s="21">
        <v>44984</v>
      </c>
      <c r="B334" s="17">
        <f>IF(YEAR(Table9[[#This Row],[Date]]) = 2022, WEEKNUM(Table9[[#This Row],[Date]])-13, WEEKNUM(Table9[[#This Row],[Date]])+40)</f>
        <v>49</v>
      </c>
      <c r="C334" s="1" t="s">
        <v>48</v>
      </c>
      <c r="D334" s="1" t="s">
        <v>59</v>
      </c>
      <c r="E334" s="1">
        <v>1044</v>
      </c>
      <c r="F334" s="1">
        <v>998</v>
      </c>
      <c r="G334" s="87">
        <f>IFERROR((Table6[[#This Row],[Calls Off]]-E327)/E327,0)</f>
        <v>0.24285714285714285</v>
      </c>
      <c r="H334" s="87">
        <f>IFERROR((Table6[[#This Row],[Calls Ans]]-F327)/F327,0)</f>
        <v>0.20969696969696969</v>
      </c>
      <c r="I334" s="1">
        <f>I332+Table6[[#This Row],[Calls Off]]</f>
        <v>17784</v>
      </c>
      <c r="J334" s="1">
        <f>J332+Table6[[#This Row],[Calls Ans]]</f>
        <v>16841</v>
      </c>
      <c r="K334" s="1">
        <f>K332+Table6[[#This Row],[Calls Off]]</f>
        <v>270661</v>
      </c>
      <c r="L334" s="1">
        <f>L332+Table6[[#This Row],[Calls Ans]]</f>
        <v>204744</v>
      </c>
      <c r="M334" s="18">
        <v>0.88</v>
      </c>
      <c r="N334" s="18">
        <v>0.04</v>
      </c>
      <c r="O334" s="18">
        <v>0.96</v>
      </c>
      <c r="P334" s="18">
        <v>0.62</v>
      </c>
      <c r="Q334" s="193"/>
      <c r="R334" s="229">
        <v>259</v>
      </c>
      <c r="S334" s="155">
        <v>1.3194444444444444E-2</v>
      </c>
      <c r="T334" s="1">
        <v>16</v>
      </c>
      <c r="U334" s="268" t="str">
        <f t="shared" si="23"/>
        <v>Normal</v>
      </c>
      <c r="V334" s="268" t="str">
        <f t="shared" si="24"/>
        <v>Normal</v>
      </c>
      <c r="W334" s="270">
        <f t="shared" si="25"/>
        <v>0.24285714285714285</v>
      </c>
      <c r="X334" s="270">
        <f t="shared" si="26"/>
        <v>0.20969696969696969</v>
      </c>
      <c r="Y334" s="249"/>
      <c r="Z334" s="249"/>
      <c r="AA334" s="249"/>
      <c r="AB334" s="249"/>
      <c r="AC334" s="249"/>
      <c r="AD334" s="249"/>
      <c r="AE334" s="249"/>
      <c r="AF334" s="249"/>
      <c r="AG334" s="249"/>
      <c r="AH334" s="249"/>
      <c r="AI334" s="249"/>
      <c r="AJ334" s="249"/>
      <c r="AK334" s="249"/>
      <c r="AL334" s="249"/>
      <c r="AR334">
        <f>MINUTE(Table6[[#This Row],[AHT]])</f>
        <v>0</v>
      </c>
      <c r="AS334">
        <f>SECOND(Table6[[#This Row],[AHT]])</f>
        <v>0</v>
      </c>
      <c r="AV334">
        <v>259</v>
      </c>
    </row>
    <row r="335" spans="1:48">
      <c r="A335" s="21">
        <v>44985</v>
      </c>
      <c r="B335" s="17">
        <f>IF(YEAR(Table9[[#This Row],[Date]]) = 2022, WEEKNUM(Table9[[#This Row],[Date]])-13, WEEKNUM(Table9[[#This Row],[Date]])+40)</f>
        <v>49</v>
      </c>
      <c r="C335" s="1" t="s">
        <v>49</v>
      </c>
      <c r="D335" s="1" t="s">
        <v>59</v>
      </c>
      <c r="E335" s="1">
        <v>945</v>
      </c>
      <c r="F335" s="1">
        <v>896</v>
      </c>
      <c r="G335" s="87">
        <f>IFERROR((Table6[[#This Row],[Calls Off]]-E328)/E328,0)</f>
        <v>0.18421052631578946</v>
      </c>
      <c r="H335" s="87">
        <f>IFERROR((Table6[[#This Row],[Calls Ans]]-F328)/F328,0)</f>
        <v>0.16818774445893089</v>
      </c>
      <c r="I335" s="1">
        <f>I334+Table6[[#This Row],[Calls Off]]</f>
        <v>18729</v>
      </c>
      <c r="J335" s="1">
        <f>J334+Table6[[#This Row],[Calls Ans]]</f>
        <v>17737</v>
      </c>
      <c r="K335" s="1">
        <f>K334+Table6[[#This Row],[Calls Off]]</f>
        <v>271606</v>
      </c>
      <c r="L335" s="1">
        <f>L334+Table6[[#This Row],[Calls Ans]]</f>
        <v>205640</v>
      </c>
      <c r="M335" s="18">
        <v>0.83</v>
      </c>
      <c r="N335" s="18">
        <v>0.05</v>
      </c>
      <c r="O335" s="18">
        <v>0.95</v>
      </c>
      <c r="P335" s="18">
        <v>0.66</v>
      </c>
      <c r="Q335" s="193"/>
      <c r="R335" s="229">
        <v>286</v>
      </c>
      <c r="S335" s="155">
        <v>4.1666666666666664E-2</v>
      </c>
      <c r="T335" s="1">
        <v>15</v>
      </c>
      <c r="U335" s="268" t="str">
        <f t="shared" si="23"/>
        <v>Normal</v>
      </c>
      <c r="V335" s="268" t="str">
        <f t="shared" si="24"/>
        <v>Normal</v>
      </c>
      <c r="W335" s="270">
        <f t="shared" si="25"/>
        <v>0.18421052631578946</v>
      </c>
      <c r="X335" s="270">
        <f t="shared" si="26"/>
        <v>0.16818774445893089</v>
      </c>
      <c r="Y335" s="249"/>
      <c r="Z335" s="249"/>
      <c r="AA335" s="249"/>
      <c r="AB335" s="249"/>
      <c r="AC335" s="249"/>
      <c r="AD335" s="249"/>
      <c r="AE335" s="249"/>
      <c r="AF335" s="249"/>
      <c r="AG335" s="249"/>
      <c r="AH335" s="249"/>
      <c r="AI335" s="249"/>
      <c r="AJ335" s="249"/>
      <c r="AK335" s="249"/>
      <c r="AL335" s="249"/>
      <c r="AR335">
        <f>MINUTE(Table6[[#This Row],[AHT]])</f>
        <v>0</v>
      </c>
      <c r="AS335">
        <f>SECOND(Table6[[#This Row],[AHT]])</f>
        <v>0</v>
      </c>
      <c r="AV335">
        <v>286</v>
      </c>
    </row>
    <row r="336" spans="1:48">
      <c r="A336" s="21">
        <v>44986</v>
      </c>
      <c r="B336" s="17">
        <f>IF(YEAR(Table9[[#This Row],[Date]]) = 2022, WEEKNUM(Table9[[#This Row],[Date]])-13, WEEKNUM(Table9[[#This Row],[Date]])+40)</f>
        <v>49</v>
      </c>
      <c r="C336" s="1" t="s">
        <v>50</v>
      </c>
      <c r="D336" s="1" t="s">
        <v>59</v>
      </c>
      <c r="E336" s="1">
        <v>893</v>
      </c>
      <c r="F336" s="1">
        <v>812</v>
      </c>
      <c r="G336" s="87">
        <f>IFERROR((Table6[[#This Row],[Calls Off]]-E329)/E329,0)</f>
        <v>0</v>
      </c>
      <c r="H336" s="87">
        <f>IFERROR((Table6[[#This Row],[Calls Ans]]-F329)/F329,0)</f>
        <v>0</v>
      </c>
      <c r="I336" s="1">
        <f>Table6[[#This Row],[Calls Off]]</f>
        <v>893</v>
      </c>
      <c r="J336" s="1">
        <f>Table6[[#This Row],[Calls Ans]]</f>
        <v>812</v>
      </c>
      <c r="K336" s="1">
        <f>K335+Table6[[#This Row],[Calls Off]]</f>
        <v>272499</v>
      </c>
      <c r="L336" s="1">
        <f>L335+Table6[[#This Row],[Calls Ans]]</f>
        <v>206452</v>
      </c>
      <c r="M336" s="18">
        <v>0.71</v>
      </c>
      <c r="N336" s="18">
        <v>0.09</v>
      </c>
      <c r="O336" s="18">
        <v>0.91</v>
      </c>
      <c r="P336" s="18">
        <v>0.69</v>
      </c>
      <c r="Q336" s="193"/>
      <c r="R336" s="229">
        <v>332</v>
      </c>
      <c r="S336" s="155">
        <v>2.6388888888888889E-2</v>
      </c>
      <c r="T336" s="1">
        <v>15</v>
      </c>
      <c r="U336" s="268" t="str">
        <f t="shared" si="23"/>
        <v>Normal</v>
      </c>
      <c r="V336" s="268" t="str">
        <f t="shared" si="24"/>
        <v>Normal</v>
      </c>
      <c r="W336" s="270">
        <f t="shared" si="25"/>
        <v>0</v>
      </c>
      <c r="X336" s="270">
        <f t="shared" si="26"/>
        <v>0</v>
      </c>
      <c r="Y336" s="249"/>
      <c r="Z336" s="249"/>
      <c r="AA336" s="249"/>
      <c r="AB336" s="249"/>
      <c r="AC336" s="249"/>
      <c r="AD336" s="249"/>
      <c r="AE336" s="249"/>
      <c r="AF336" s="249"/>
      <c r="AG336" s="249"/>
      <c r="AH336" s="249"/>
      <c r="AI336" s="249"/>
      <c r="AJ336" s="249"/>
      <c r="AK336" s="249"/>
      <c r="AL336" s="249"/>
      <c r="AR336">
        <f>MINUTE(Table6[[#This Row],[AHT]])</f>
        <v>0</v>
      </c>
      <c r="AS336">
        <f>SECOND(Table6[[#This Row],[AHT]])</f>
        <v>0</v>
      </c>
      <c r="AV336">
        <v>332</v>
      </c>
    </row>
    <row r="337" spans="1:48">
      <c r="A337" s="21">
        <v>44987</v>
      </c>
      <c r="B337" s="17">
        <f>IF(YEAR(Table9[[#This Row],[Date]]) = 2022, WEEKNUM(Table9[[#This Row],[Date]])-13, WEEKNUM(Table9[[#This Row],[Date]])+40)</f>
        <v>49</v>
      </c>
      <c r="C337" s="1" t="s">
        <v>51</v>
      </c>
      <c r="D337" s="1" t="s">
        <v>59</v>
      </c>
      <c r="E337" s="1">
        <v>839</v>
      </c>
      <c r="F337" s="1">
        <v>816</v>
      </c>
      <c r="G337" s="87">
        <f>IFERROR((Table6[[#This Row],[Calls Off]]-E330)/E330,0)</f>
        <v>-0.13771839671120248</v>
      </c>
      <c r="H337" s="87">
        <f>IFERROR((Table6[[#This Row],[Calls Ans]]-F330)/F330,0)</f>
        <v>-0.10624315443592552</v>
      </c>
      <c r="I337" s="1">
        <f>I336+Table6[[#This Row],[Calls Off]]</f>
        <v>1732</v>
      </c>
      <c r="J337" s="1">
        <f>J336+Table6[[#This Row],[Calls Ans]]</f>
        <v>1628</v>
      </c>
      <c r="K337" s="1">
        <f>K336+Table6[[#This Row],[Calls Off]]</f>
        <v>273338</v>
      </c>
      <c r="L337" s="1">
        <f>L336+Table6[[#This Row],[Calls Ans]]</f>
        <v>207268</v>
      </c>
      <c r="M337" s="18">
        <v>0.89</v>
      </c>
      <c r="N337" s="18">
        <v>0.03</v>
      </c>
      <c r="O337" s="18">
        <v>0.97</v>
      </c>
      <c r="P337" s="18">
        <v>0.6</v>
      </c>
      <c r="Q337" s="193"/>
      <c r="R337" s="229">
        <v>326</v>
      </c>
      <c r="S337" s="155">
        <v>1.1111111111111112E-2</v>
      </c>
      <c r="T337" s="1">
        <v>17</v>
      </c>
      <c r="U337" s="268" t="str">
        <f t="shared" si="23"/>
        <v>Normal</v>
      </c>
      <c r="V337" s="268" t="str">
        <f t="shared" si="24"/>
        <v>Normal</v>
      </c>
      <c r="W337" s="270">
        <f t="shared" si="25"/>
        <v>-0.13771839671120248</v>
      </c>
      <c r="X337" s="270">
        <f t="shared" si="26"/>
        <v>-0.10624315443592552</v>
      </c>
      <c r="Y337" s="249"/>
      <c r="Z337" s="249"/>
      <c r="AA337" s="249"/>
      <c r="AB337" s="249"/>
      <c r="AC337" s="249"/>
      <c r="AD337" s="249"/>
      <c r="AE337" s="249"/>
      <c r="AF337" s="249"/>
      <c r="AG337" s="249"/>
      <c r="AH337" s="249"/>
      <c r="AI337" s="249"/>
      <c r="AJ337" s="249"/>
      <c r="AK337" s="249"/>
      <c r="AL337" s="249"/>
      <c r="AR337">
        <f>MINUTE(Table6[[#This Row],[AHT]])</f>
        <v>0</v>
      </c>
      <c r="AS337">
        <f>SECOND(Table6[[#This Row],[AHT]])</f>
        <v>0</v>
      </c>
      <c r="AV337">
        <v>326</v>
      </c>
    </row>
    <row r="338" spans="1:48">
      <c r="A338" s="21">
        <v>44988</v>
      </c>
      <c r="B338" s="17">
        <f>IF(YEAR(Table9[[#This Row],[Date]]) = 2022, WEEKNUM(Table9[[#This Row],[Date]])-13, WEEKNUM(Table9[[#This Row],[Date]])+40)</f>
        <v>49</v>
      </c>
      <c r="C338" s="1" t="s">
        <v>52</v>
      </c>
      <c r="D338" s="1" t="s">
        <v>59</v>
      </c>
      <c r="E338" s="1">
        <v>808</v>
      </c>
      <c r="F338" s="1">
        <v>816</v>
      </c>
      <c r="G338" s="87">
        <f>IFERROR((Table6[[#This Row],[Calls Off]]-E331)/E331,0)</f>
        <v>-0.11208791208791209</v>
      </c>
      <c r="H338" s="87">
        <f>IFERROR((Table6[[#This Row],[Calls Ans]]-F331)/F331,0)</f>
        <v>2.7707808564231738E-2</v>
      </c>
      <c r="I338" s="1">
        <f>I337+Table6[[#This Row],[Calls Off]]</f>
        <v>2540</v>
      </c>
      <c r="J338" s="1">
        <f>J337+Table6[[#This Row],[Calls Ans]]</f>
        <v>2444</v>
      </c>
      <c r="K338" s="1">
        <f>K337+Table6[[#This Row],[Calls Off]]</f>
        <v>274146</v>
      </c>
      <c r="L338" s="1">
        <f>L337+Table6[[#This Row],[Calls Ans]]</f>
        <v>208084</v>
      </c>
      <c r="M338" s="18">
        <v>0.97</v>
      </c>
      <c r="N338" s="18">
        <v>0.02</v>
      </c>
      <c r="O338" s="18">
        <v>0.98</v>
      </c>
      <c r="P338" s="18">
        <v>0.55000000000000004</v>
      </c>
      <c r="Q338" s="193"/>
      <c r="R338" s="229">
        <v>307</v>
      </c>
      <c r="S338" s="155">
        <v>5.5555555555555558E-3</v>
      </c>
      <c r="T338" s="1">
        <v>17</v>
      </c>
      <c r="U338" s="268" t="str">
        <f t="shared" si="23"/>
        <v>Normal</v>
      </c>
      <c r="V338" s="268" t="str">
        <f t="shared" si="24"/>
        <v>Normal</v>
      </c>
      <c r="W338" s="270">
        <f t="shared" si="25"/>
        <v>-0.11208791208791209</v>
      </c>
      <c r="X338" s="270">
        <f t="shared" si="26"/>
        <v>2.7707808564231738E-2</v>
      </c>
      <c r="Y338" s="249"/>
      <c r="Z338" s="249"/>
      <c r="AA338" s="249"/>
      <c r="AB338" s="249"/>
      <c r="AC338" s="249"/>
      <c r="AD338" s="249"/>
      <c r="AE338" s="249"/>
      <c r="AF338" s="249"/>
      <c r="AG338" s="249"/>
      <c r="AH338" s="249"/>
      <c r="AI338" s="249"/>
      <c r="AJ338" s="249"/>
      <c r="AK338" s="249"/>
      <c r="AL338" s="249"/>
      <c r="AR338">
        <f>MINUTE(Table6[[#This Row],[AHT]])</f>
        <v>0</v>
      </c>
      <c r="AS338">
        <f>SECOND(Table6[[#This Row],[AHT]])</f>
        <v>0</v>
      </c>
      <c r="AV338">
        <v>307</v>
      </c>
    </row>
    <row r="339" spans="1:48">
      <c r="A339" s="21">
        <v>44989</v>
      </c>
      <c r="B339" s="17">
        <f>IF(YEAR(Table9[[#This Row],[Date]]) = 2022, WEEKNUM(Table9[[#This Row],[Date]])-13, WEEKNUM(Table9[[#This Row],[Date]])+40)</f>
        <v>49</v>
      </c>
      <c r="C339" s="1" t="s">
        <v>53</v>
      </c>
      <c r="D339" s="1" t="s">
        <v>59</v>
      </c>
      <c r="E339" s="1">
        <v>601</v>
      </c>
      <c r="F339" s="1">
        <v>578</v>
      </c>
      <c r="G339" s="87">
        <f>IFERROR((Table6[[#This Row],[Calls Off]]-E332)/E332,0)</f>
        <v>-0.15232722143864599</v>
      </c>
      <c r="H339" s="87">
        <f>IFERROR((Table6[[#This Row],[Calls Ans]]-F332)/F332,0)</f>
        <v>-0.12158054711246201</v>
      </c>
      <c r="I339" s="1">
        <f>I338+Table6[[#This Row],[Calls Off]]</f>
        <v>3141</v>
      </c>
      <c r="J339" s="1">
        <f>J338+Table6[[#This Row],[Calls Ans]]</f>
        <v>3022</v>
      </c>
      <c r="K339" s="1">
        <f>K338+Table6[[#This Row],[Calls Off]]</f>
        <v>274747</v>
      </c>
      <c r="L339" s="1">
        <f>L338+Table6[[#This Row],[Calls Ans]]</f>
        <v>208662</v>
      </c>
      <c r="M339" s="18">
        <v>0.88</v>
      </c>
      <c r="N339" s="18">
        <v>0.04</v>
      </c>
      <c r="O339" s="18">
        <v>0.96</v>
      </c>
      <c r="P339" s="18">
        <v>0.6</v>
      </c>
      <c r="Q339" s="193"/>
      <c r="R339" s="229">
        <v>267</v>
      </c>
      <c r="S339" s="155">
        <v>1.3888888888888888E-2</v>
      </c>
      <c r="T339" s="1">
        <v>10</v>
      </c>
      <c r="U339" s="268" t="str">
        <f t="shared" si="23"/>
        <v>Normal</v>
      </c>
      <c r="V339" s="268" t="str">
        <f t="shared" si="24"/>
        <v>Normal</v>
      </c>
      <c r="W339" s="270">
        <f t="shared" si="25"/>
        <v>-0.15232722143864599</v>
      </c>
      <c r="X339" s="270">
        <f t="shared" si="26"/>
        <v>-0.12158054711246201</v>
      </c>
      <c r="Y339" s="249"/>
      <c r="Z339" s="249"/>
      <c r="AA339" s="249"/>
      <c r="AB339" s="249"/>
      <c r="AC339" s="249"/>
      <c r="AD339" s="249"/>
      <c r="AE339" s="249"/>
      <c r="AF339" s="249"/>
      <c r="AG339" s="249"/>
      <c r="AH339" s="249"/>
      <c r="AI339" s="249"/>
      <c r="AJ339" s="249"/>
      <c r="AK339" s="249"/>
      <c r="AL339" s="249"/>
      <c r="AR339">
        <f>MINUTE(Table6[[#This Row],[AHT]])</f>
        <v>0</v>
      </c>
      <c r="AS339">
        <f>SECOND(Table6[[#This Row],[AHT]])</f>
        <v>0</v>
      </c>
      <c r="AV339">
        <v>267</v>
      </c>
    </row>
    <row r="340" spans="1:48">
      <c r="A340" s="21">
        <v>44990</v>
      </c>
      <c r="B340" s="17">
        <f>IF(YEAR(Table9[[#This Row],[Date]]) = 2022, WEEKNUM(Table9[[#This Row],[Date]])-13, WEEKNUM(Table9[[#This Row],[Date]])+40)</f>
        <v>50</v>
      </c>
      <c r="C340" s="1" t="s">
        <v>47</v>
      </c>
      <c r="D340" s="1" t="s">
        <v>59</v>
      </c>
      <c r="E340" s="1">
        <v>0</v>
      </c>
      <c r="F340" s="1">
        <v>0</v>
      </c>
      <c r="G340" s="87">
        <v>0</v>
      </c>
      <c r="H340" s="87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18">
        <v>0</v>
      </c>
      <c r="O340" s="18">
        <v>0</v>
      </c>
      <c r="P340" s="18">
        <v>0</v>
      </c>
      <c r="Q340" s="193"/>
      <c r="R340" s="229">
        <v>0</v>
      </c>
      <c r="S340" s="155">
        <v>0</v>
      </c>
      <c r="T340" s="1">
        <v>0</v>
      </c>
      <c r="U340" s="268" t="str">
        <f t="shared" si="23"/>
        <v>Normal</v>
      </c>
      <c r="V340" s="268" t="str">
        <f t="shared" si="24"/>
        <v>Normal</v>
      </c>
      <c r="W340" s="270">
        <f t="shared" si="25"/>
        <v>0</v>
      </c>
      <c r="X340" s="270">
        <f t="shared" si="26"/>
        <v>0</v>
      </c>
      <c r="Y340" s="249"/>
      <c r="Z340" s="249"/>
      <c r="AA340" s="249"/>
      <c r="AB340" s="249"/>
      <c r="AC340" s="249"/>
      <c r="AD340" s="249"/>
      <c r="AE340" s="249"/>
      <c r="AF340" s="249"/>
      <c r="AG340" s="249"/>
      <c r="AH340" s="249"/>
      <c r="AI340" s="249"/>
      <c r="AJ340" s="249"/>
      <c r="AK340" s="249"/>
      <c r="AL340" s="249"/>
      <c r="AR340">
        <f>MINUTE(Table6[[#This Row],[AHT]])</f>
        <v>0</v>
      </c>
      <c r="AS340">
        <f>SECOND(Table6[[#This Row],[AHT]])</f>
        <v>0</v>
      </c>
      <c r="AV340">
        <v>0</v>
      </c>
    </row>
    <row r="341" spans="1:48">
      <c r="A341" s="21">
        <v>44991</v>
      </c>
      <c r="B341" s="17">
        <f>IF(YEAR(Table9[[#This Row],[Date]]) = 2022, WEEKNUM(Table9[[#This Row],[Date]])-13, WEEKNUM(Table9[[#This Row],[Date]])+40)</f>
        <v>50</v>
      </c>
      <c r="C341" s="1" t="s">
        <v>48</v>
      </c>
      <c r="D341" s="1" t="s">
        <v>59</v>
      </c>
      <c r="E341" s="1">
        <v>964</v>
      </c>
      <c r="F341" s="1">
        <v>908</v>
      </c>
      <c r="G341" s="87">
        <f>IFERROR((Table6[[#This Row],[Calls Off]]-E334)/E334,0)</f>
        <v>-7.662835249042145E-2</v>
      </c>
      <c r="H341" s="87">
        <f>IFERROR((Table6[[#This Row],[Calls Ans]]-F334)/F334,0)</f>
        <v>-9.0180360721442893E-2</v>
      </c>
      <c r="I341" s="1">
        <f>I339+Table6[[#This Row],[Calls Off]]</f>
        <v>4105</v>
      </c>
      <c r="J341" s="1">
        <f>J339+Table6[[#This Row],[Calls Ans]]</f>
        <v>3930</v>
      </c>
      <c r="K341" s="1">
        <f>K339+Table6[[#This Row],[Calls Off]]</f>
        <v>275711</v>
      </c>
      <c r="L341" s="1">
        <f>L339+Table6[[#This Row],[Calls Ans]]</f>
        <v>209570</v>
      </c>
      <c r="M341" s="18">
        <v>0.85</v>
      </c>
      <c r="N341" s="18">
        <v>0.06</v>
      </c>
      <c r="O341" s="18">
        <v>0.94</v>
      </c>
      <c r="P341" s="18">
        <v>0.63</v>
      </c>
      <c r="Q341" s="193"/>
      <c r="R341" s="229">
        <v>290</v>
      </c>
      <c r="S341" s="155">
        <v>1.3888888888888888E-2</v>
      </c>
      <c r="T341" s="1">
        <v>16</v>
      </c>
      <c r="U341" s="268" t="str">
        <f t="shared" si="23"/>
        <v>Normal</v>
      </c>
      <c r="V341" s="268" t="str">
        <f t="shared" si="24"/>
        <v>Normal</v>
      </c>
      <c r="W341" s="270">
        <f t="shared" si="25"/>
        <v>-7.662835249042145E-2</v>
      </c>
      <c r="X341" s="270">
        <f t="shared" si="26"/>
        <v>-9.0180360721442893E-2</v>
      </c>
      <c r="Y341" s="249"/>
      <c r="Z341" s="249"/>
      <c r="AA341" s="249"/>
      <c r="AB341" s="249"/>
      <c r="AC341" s="249"/>
      <c r="AD341" s="249"/>
      <c r="AE341" s="249"/>
      <c r="AF341" s="249"/>
      <c r="AG341" s="249"/>
      <c r="AH341" s="249"/>
      <c r="AI341" s="249"/>
      <c r="AJ341" s="249"/>
      <c r="AK341" s="249"/>
      <c r="AL341" s="249"/>
      <c r="AP341" s="168">
        <v>0.86736111111111114</v>
      </c>
      <c r="AR341">
        <f>MINUTE(Table6[[#This Row],[AHT]])</f>
        <v>0</v>
      </c>
      <c r="AS341">
        <f>SECOND(Table6[[#This Row],[AHT]])</f>
        <v>0</v>
      </c>
      <c r="AV341">
        <v>290</v>
      </c>
    </row>
    <row r="342" spans="1:48">
      <c r="A342" s="21">
        <v>44992</v>
      </c>
      <c r="B342" s="121">
        <f>IF(YEAR(Table9[[#This Row],[Date]]) = 2022, WEEKNUM(Table9[[#This Row],[Date]])-13, WEEKNUM(Table9[[#This Row],[Date]])+40)</f>
        <v>50</v>
      </c>
      <c r="C342" s="38" t="s">
        <v>49</v>
      </c>
      <c r="D342" s="1" t="s">
        <v>59</v>
      </c>
      <c r="E342" s="38">
        <v>850</v>
      </c>
      <c r="F342" s="38">
        <v>830</v>
      </c>
      <c r="G342" s="87">
        <f>IFERROR((Table6[[#This Row],[Calls Off]]-E335)/E335,0)</f>
        <v>-0.10052910052910052</v>
      </c>
      <c r="H342" s="87">
        <f>IFERROR((Table6[[#This Row],[Calls Ans]]-F335)/F335,0)</f>
        <v>-7.3660714285714288E-2</v>
      </c>
      <c r="I342" s="1">
        <f>I341+Table6[[#This Row],[Calls Off]]</f>
        <v>4955</v>
      </c>
      <c r="J342" s="1">
        <f>J341+Table6[[#This Row],[Calls Ans]]</f>
        <v>4760</v>
      </c>
      <c r="K342" s="1">
        <f>K341+Table6[[#This Row],[Calls Off]]</f>
        <v>276561</v>
      </c>
      <c r="L342" s="1">
        <f>L341+Table6[[#This Row],[Calls Ans]]</f>
        <v>210400</v>
      </c>
      <c r="M342" s="48">
        <v>0.93</v>
      </c>
      <c r="N342" s="48">
        <v>0.02</v>
      </c>
      <c r="O342" s="48">
        <v>0.98</v>
      </c>
      <c r="P342" s="48">
        <v>0.41</v>
      </c>
      <c r="Q342" s="193"/>
      <c r="R342" s="229">
        <v>244</v>
      </c>
      <c r="S342" s="155">
        <v>6.9444444444444441E-3</v>
      </c>
      <c r="T342" s="38">
        <v>19</v>
      </c>
      <c r="U342" s="268" t="str">
        <f t="shared" si="23"/>
        <v>Normal</v>
      </c>
      <c r="V342" s="268" t="str">
        <f t="shared" si="24"/>
        <v>Normal</v>
      </c>
      <c r="W342" s="270">
        <f t="shared" si="25"/>
        <v>-0.10052910052910052</v>
      </c>
      <c r="X342" s="270">
        <f t="shared" si="26"/>
        <v>-7.3660714285714288E-2</v>
      </c>
      <c r="Y342" s="249"/>
      <c r="Z342" s="249"/>
      <c r="AA342" s="249"/>
      <c r="AB342" s="249"/>
      <c r="AC342" s="249"/>
      <c r="AD342" s="249"/>
      <c r="AE342" s="249"/>
      <c r="AF342" s="249"/>
      <c r="AG342" s="249"/>
      <c r="AH342" s="249"/>
      <c r="AI342" s="249"/>
      <c r="AJ342" s="249"/>
      <c r="AK342" s="249"/>
      <c r="AL342" s="249"/>
      <c r="AR342">
        <f>MINUTE(Table6[[#This Row],[AHT]])</f>
        <v>0</v>
      </c>
      <c r="AS342">
        <f>SECOND(Table6[[#This Row],[AHT]])</f>
        <v>0</v>
      </c>
      <c r="AV342">
        <v>244</v>
      </c>
    </row>
    <row r="343" spans="1:48">
      <c r="A343" s="21">
        <v>44993</v>
      </c>
      <c r="B343" s="17">
        <f>IF(YEAR(Table9[[#This Row],[Date]]) = 2022, WEEKNUM(Table9[[#This Row],[Date]])-13, WEEKNUM(Table9[[#This Row],[Date]])+40)</f>
        <v>50</v>
      </c>
      <c r="C343" s="1" t="s">
        <v>50</v>
      </c>
      <c r="D343" s="1" t="s">
        <v>59</v>
      </c>
      <c r="E343" s="1">
        <v>1438</v>
      </c>
      <c r="F343" s="1">
        <v>1348</v>
      </c>
      <c r="G343" s="87">
        <f>IFERROR((Table6[[#This Row],[Calls Off]]-E336)/E336,0)</f>
        <v>0.61030235162374025</v>
      </c>
      <c r="H343" s="87">
        <f>IFERROR((Table6[[#This Row],[Calls Ans]]-F336)/F336,0)</f>
        <v>0.66009852216748766</v>
      </c>
      <c r="I343" s="1">
        <f>I342+Table6[[#This Row],[Calls Off]]</f>
        <v>6393</v>
      </c>
      <c r="J343" s="1">
        <f>J342+Table6[[#This Row],[Calls Ans]]</f>
        <v>6108</v>
      </c>
      <c r="K343" s="1">
        <f>K342+Table6[[#This Row],[Calls Off]]</f>
        <v>277999</v>
      </c>
      <c r="L343" s="1">
        <f>L342+Table6[[#This Row],[Calls Ans]]</f>
        <v>211748</v>
      </c>
      <c r="M343" s="18">
        <v>0.84</v>
      </c>
      <c r="N343" s="18">
        <v>0.06</v>
      </c>
      <c r="O343" s="18">
        <v>0.94</v>
      </c>
      <c r="P343" s="18">
        <v>1.1599999999999999</v>
      </c>
      <c r="Q343" s="193"/>
      <c r="R343" s="229">
        <v>291</v>
      </c>
      <c r="S343" s="155">
        <v>1.7361111111111112E-2</v>
      </c>
      <c r="T343" s="1">
        <v>13</v>
      </c>
      <c r="U343" s="268" t="str">
        <f t="shared" si="23"/>
        <v>Outlier</v>
      </c>
      <c r="V343" s="268" t="str">
        <f t="shared" si="24"/>
        <v>Outlier</v>
      </c>
      <c r="W343" s="270">
        <f t="shared" si="25"/>
        <v>0.61030235162374025</v>
      </c>
      <c r="X343" s="270">
        <f t="shared" si="26"/>
        <v>0.66009852216748766</v>
      </c>
      <c r="Y343" s="249"/>
      <c r="Z343" s="249"/>
      <c r="AA343" s="249"/>
      <c r="AB343" s="249"/>
      <c r="AC343" s="249"/>
      <c r="AD343" s="249"/>
      <c r="AE343" s="249"/>
      <c r="AF343" s="249"/>
      <c r="AG343" s="249"/>
      <c r="AH343" s="249"/>
      <c r="AI343" s="249"/>
      <c r="AJ343" s="249"/>
      <c r="AK343" s="249"/>
      <c r="AL343" s="249"/>
      <c r="AR343">
        <f>MINUTE(Table6[[#This Row],[AHT]])</f>
        <v>0</v>
      </c>
      <c r="AS343">
        <f>SECOND(Table6[[#This Row],[AHT]])</f>
        <v>0</v>
      </c>
      <c r="AV343">
        <v>291</v>
      </c>
    </row>
    <row r="344" spans="1:48">
      <c r="A344" s="21">
        <v>44994</v>
      </c>
      <c r="B344" s="17">
        <f>IF(YEAR(Table9[[#This Row],[Date]]) = 2022, WEEKNUM(Table9[[#This Row],[Date]])-13, WEEKNUM(Table9[[#This Row],[Date]])+40)</f>
        <v>50</v>
      </c>
      <c r="C344" s="1" t="s">
        <v>51</v>
      </c>
      <c r="D344" s="1" t="s">
        <v>59</v>
      </c>
      <c r="E344" s="1">
        <v>972</v>
      </c>
      <c r="F344" s="1">
        <v>930</v>
      </c>
      <c r="G344" s="87">
        <f>IFERROR((Table6[[#This Row],[Calls Off]]-E337)/E337,0)</f>
        <v>0.15852205005959474</v>
      </c>
      <c r="H344" s="87">
        <f>IFERROR((Table6[[#This Row],[Calls Ans]]-F337)/F337,0)</f>
        <v>0.13970588235294118</v>
      </c>
      <c r="I344" s="1">
        <f>Table6[[#This Row],[Calls Off]]+I343</f>
        <v>7365</v>
      </c>
      <c r="J344" s="1">
        <f>Table6[[#This Row],[Calls Ans]]+J343</f>
        <v>7038</v>
      </c>
      <c r="K344" s="1">
        <f>K343+Table6[[#This Row],[Calls Off]]</f>
        <v>278971</v>
      </c>
      <c r="L344" s="1">
        <f>L343+Table6[[#This Row],[Calls Ans]]</f>
        <v>212678</v>
      </c>
      <c r="M344" s="18">
        <v>0.82</v>
      </c>
      <c r="N344" s="18">
        <v>0.04</v>
      </c>
      <c r="O344" s="18">
        <v>0.96</v>
      </c>
      <c r="P344" s="18">
        <v>0.69</v>
      </c>
      <c r="Q344" s="193"/>
      <c r="R344" s="229">
        <v>309</v>
      </c>
      <c r="S344" s="155">
        <v>1.2499999999999999E-2</v>
      </c>
      <c r="T344" s="1">
        <v>16</v>
      </c>
      <c r="U344" s="268" t="str">
        <f t="shared" si="23"/>
        <v>Normal</v>
      </c>
      <c r="V344" s="268" t="str">
        <f t="shared" si="24"/>
        <v>Normal</v>
      </c>
      <c r="W344" s="270">
        <f t="shared" si="25"/>
        <v>0.15852205005959474</v>
      </c>
      <c r="X344" s="270">
        <f t="shared" si="26"/>
        <v>0.13970588235294118</v>
      </c>
      <c r="Y344" s="249"/>
      <c r="Z344" s="249"/>
      <c r="AA344" s="249"/>
      <c r="AB344" s="249"/>
      <c r="AC344" s="249"/>
      <c r="AD344" s="249"/>
      <c r="AE344" s="249"/>
      <c r="AF344" s="249"/>
      <c r="AG344" s="249"/>
      <c r="AH344" s="249"/>
      <c r="AI344" s="249"/>
      <c r="AJ344" s="249"/>
      <c r="AK344" s="249"/>
      <c r="AL344" s="249"/>
      <c r="AR344">
        <f>MINUTE(Table6[[#This Row],[AHT]])</f>
        <v>0</v>
      </c>
      <c r="AS344">
        <f>SECOND(Table6[[#This Row],[AHT]])</f>
        <v>0</v>
      </c>
      <c r="AV344">
        <v>309</v>
      </c>
    </row>
    <row r="345" spans="1:48">
      <c r="A345" s="21">
        <v>44995</v>
      </c>
      <c r="B345" s="17">
        <f>IF(YEAR(Table9[[#This Row],[Date]]) = 2022, WEEKNUM(Table9[[#This Row],[Date]])-13, WEEKNUM(Table9[[#This Row],[Date]])+40)</f>
        <v>50</v>
      </c>
      <c r="C345" s="1" t="s">
        <v>52</v>
      </c>
      <c r="D345" s="1" t="s">
        <v>59</v>
      </c>
      <c r="E345" s="1">
        <v>947</v>
      </c>
      <c r="F345" s="1">
        <v>869</v>
      </c>
      <c r="G345" s="87">
        <f>IFERROR((Table6[[#This Row],[Calls Off]]-E338)/E338,0)</f>
        <v>0.17202970297029702</v>
      </c>
      <c r="H345" s="87">
        <f>IFERROR((Table6[[#This Row],[Calls Ans]]-F338)/F338,0)</f>
        <v>6.4950980392156868E-2</v>
      </c>
      <c r="I345" s="1">
        <f>I344+Table6[[#This Row],[Calls Off]]</f>
        <v>8312</v>
      </c>
      <c r="J345" s="1">
        <f>J344+Table6[[#This Row],[Calls Ans]]</f>
        <v>7907</v>
      </c>
      <c r="K345" s="1">
        <f>K344+Table6[[#This Row],[Calls Off]]</f>
        <v>279918</v>
      </c>
      <c r="L345" s="1">
        <f>L344+Table6[[#This Row],[Calls Ans]]</f>
        <v>213547</v>
      </c>
      <c r="M345" s="18">
        <v>0.77</v>
      </c>
      <c r="N345" s="18">
        <v>0.08</v>
      </c>
      <c r="O345" s="18">
        <v>0.92</v>
      </c>
      <c r="P345" s="18">
        <v>0.68</v>
      </c>
      <c r="Q345" s="193"/>
      <c r="R345" s="229">
        <v>263</v>
      </c>
      <c r="S345" s="155">
        <v>4.3055555555555562E-2</v>
      </c>
      <c r="T345" s="1">
        <v>13</v>
      </c>
      <c r="U345" s="268" t="str">
        <f t="shared" si="23"/>
        <v>Normal</v>
      </c>
      <c r="V345" s="268" t="str">
        <f t="shared" si="24"/>
        <v>Normal</v>
      </c>
      <c r="W345" s="270">
        <f t="shared" si="25"/>
        <v>0.17202970297029702</v>
      </c>
      <c r="X345" s="270">
        <f t="shared" si="26"/>
        <v>6.4950980392156868E-2</v>
      </c>
      <c r="Y345" s="249"/>
      <c r="Z345" s="249"/>
      <c r="AA345" s="249"/>
      <c r="AB345" s="249"/>
      <c r="AC345" s="249"/>
      <c r="AD345" s="249"/>
      <c r="AE345" s="249"/>
      <c r="AF345" s="249"/>
      <c r="AG345" s="249"/>
      <c r="AH345" s="249"/>
      <c r="AI345" s="249"/>
      <c r="AJ345" s="249"/>
      <c r="AK345" s="249"/>
      <c r="AL345" s="249"/>
      <c r="AO345" cm="1">
        <f t="array" ref="AO345">_xlfn.STDEV.P(IF(R279:R341 &lt;&gt; 0,R279:R341))</f>
        <v>39.883820476509882</v>
      </c>
      <c r="AR345">
        <f>MINUTE(Table6[[#This Row],[AHT]])</f>
        <v>0</v>
      </c>
      <c r="AS345">
        <f>SECOND(Table6[[#This Row],[AHT]])</f>
        <v>0</v>
      </c>
      <c r="AV345">
        <v>263</v>
      </c>
    </row>
    <row r="346" spans="1:48">
      <c r="A346" s="21">
        <v>44996</v>
      </c>
      <c r="B346" s="17">
        <f>IF(YEAR(Table9[[#This Row],[Date]]) = 2022, WEEKNUM(Table9[[#This Row],[Date]])-13, WEEKNUM(Table9[[#This Row],[Date]])+40)</f>
        <v>50</v>
      </c>
      <c r="C346" s="1" t="s">
        <v>53</v>
      </c>
      <c r="D346" s="1" t="s">
        <v>59</v>
      </c>
      <c r="E346" s="1">
        <v>657</v>
      </c>
      <c r="F346" s="1">
        <v>638</v>
      </c>
      <c r="G346" s="87">
        <f>IFERROR((Table6[[#This Row],[Calls Off]]-E339)/E339,0)</f>
        <v>9.3178036605657238E-2</v>
      </c>
      <c r="H346" s="87">
        <f>IFERROR((Table6[[#This Row],[Calls Ans]]-F339)/F339,0)</f>
        <v>0.10380622837370242</v>
      </c>
      <c r="I346" s="1">
        <f>I345+Table6[[#This Row],[Calls Off]]</f>
        <v>8969</v>
      </c>
      <c r="J346" s="1">
        <f>J345+Table6[[#This Row],[Calls Ans]]</f>
        <v>8545</v>
      </c>
      <c r="K346" s="1">
        <f>K345+Table6[[#This Row],[Calls Off]]</f>
        <v>280575</v>
      </c>
      <c r="L346" s="1">
        <f>L345+Table6[[#This Row],[Calls Ans]]</f>
        <v>214185</v>
      </c>
      <c r="M346" s="18">
        <v>0.9</v>
      </c>
      <c r="N346" s="18">
        <v>0.03</v>
      </c>
      <c r="O346" s="18">
        <v>0.97</v>
      </c>
      <c r="P346" s="18">
        <v>0.52</v>
      </c>
      <c r="Q346" s="193"/>
      <c r="R346" s="229">
        <v>314</v>
      </c>
      <c r="S346" s="155">
        <v>8.3333333333333332E-3</v>
      </c>
      <c r="T346" s="1">
        <v>15</v>
      </c>
      <c r="U346" s="268" t="str">
        <f t="shared" si="23"/>
        <v>Normal</v>
      </c>
      <c r="V346" s="268" t="str">
        <f t="shared" si="24"/>
        <v>Normal</v>
      </c>
      <c r="W346" s="270">
        <f t="shared" si="25"/>
        <v>9.3178036605657238E-2</v>
      </c>
      <c r="X346" s="270">
        <f t="shared" si="26"/>
        <v>0.10380622837370242</v>
      </c>
      <c r="Y346" s="249"/>
      <c r="Z346" s="249"/>
      <c r="AA346" s="249"/>
      <c r="AB346" s="249"/>
      <c r="AC346" s="249"/>
      <c r="AD346" s="249"/>
      <c r="AE346" s="249"/>
      <c r="AF346" s="249"/>
      <c r="AG346" s="249"/>
      <c r="AH346" s="249"/>
      <c r="AI346" s="249"/>
      <c r="AJ346" s="249"/>
      <c r="AK346" s="249"/>
      <c r="AL346" s="249"/>
      <c r="AR346">
        <f>MINUTE(Table6[[#This Row],[AHT]])</f>
        <v>0</v>
      </c>
      <c r="AS346">
        <f>SECOND(Table6[[#This Row],[AHT]])</f>
        <v>0</v>
      </c>
      <c r="AV346">
        <v>314</v>
      </c>
    </row>
    <row r="347" spans="1:48">
      <c r="A347" s="21">
        <v>44997</v>
      </c>
      <c r="B347" s="17">
        <f>IF(YEAR(Table9[[#This Row],[Date]]) = 2022, WEEKNUM(Table9[[#This Row],[Date]])-13, WEEKNUM(Table9[[#This Row],[Date]])+40)</f>
        <v>51</v>
      </c>
      <c r="C347" s="1" t="s">
        <v>47</v>
      </c>
      <c r="D347" s="1" t="s">
        <v>59</v>
      </c>
      <c r="E347" s="1">
        <v>0</v>
      </c>
      <c r="F347" s="1">
        <v>0</v>
      </c>
      <c r="G347" s="87">
        <v>0</v>
      </c>
      <c r="H347" s="87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18">
        <v>0</v>
      </c>
      <c r="O347" s="18">
        <v>0</v>
      </c>
      <c r="P347" s="18">
        <v>0</v>
      </c>
      <c r="Q347" s="193"/>
      <c r="R347" s="229">
        <v>0</v>
      </c>
      <c r="S347" s="155">
        <v>0</v>
      </c>
      <c r="T347" s="1">
        <v>0</v>
      </c>
      <c r="U347" s="268" t="str">
        <f t="shared" si="23"/>
        <v>Normal</v>
      </c>
      <c r="V347" s="268" t="str">
        <f t="shared" si="24"/>
        <v>Normal</v>
      </c>
      <c r="W347" s="270">
        <f t="shared" si="25"/>
        <v>0</v>
      </c>
      <c r="X347" s="270">
        <f t="shared" si="26"/>
        <v>0</v>
      </c>
      <c r="Y347" s="249"/>
      <c r="Z347" s="249"/>
      <c r="AA347" s="249"/>
      <c r="AB347" s="249"/>
      <c r="AC347" s="249"/>
      <c r="AD347" s="249"/>
      <c r="AE347" s="249"/>
      <c r="AF347" s="249"/>
      <c r="AG347" s="249"/>
      <c r="AH347" s="249"/>
      <c r="AI347" s="249"/>
      <c r="AJ347" s="249"/>
      <c r="AK347" s="249"/>
      <c r="AL347" s="249"/>
      <c r="AR347">
        <f>MINUTE(Table6[[#This Row],[AHT]])</f>
        <v>0</v>
      </c>
      <c r="AS347">
        <f>SECOND(Table6[[#This Row],[AHT]])</f>
        <v>0</v>
      </c>
      <c r="AV347">
        <v>0</v>
      </c>
    </row>
    <row r="348" spans="1:48">
      <c r="A348" s="21">
        <v>44998</v>
      </c>
      <c r="B348" s="17">
        <f>IF(YEAR(Table9[[#This Row],[Date]]) = 2022, WEEKNUM(Table9[[#This Row],[Date]])-13, WEEKNUM(Table9[[#This Row],[Date]])+40)</f>
        <v>51</v>
      </c>
      <c r="C348" s="1" t="s">
        <v>48</v>
      </c>
      <c r="D348" s="1" t="s">
        <v>59</v>
      </c>
      <c r="E348" s="1">
        <v>940</v>
      </c>
      <c r="F348" s="1">
        <v>914</v>
      </c>
      <c r="G348" s="87">
        <f>IFERROR((Table6[[#This Row],[Calls Off]]-E341)/E341,0)</f>
        <v>-2.4896265560165973E-2</v>
      </c>
      <c r="H348" s="87">
        <f>IFERROR((Table6[[#This Row],[Calls Ans]]-F341)/F341,0)</f>
        <v>6.6079295154185024E-3</v>
      </c>
      <c r="I348" s="1">
        <f>I346+Table6[[#This Row],[Calls Off]]</f>
        <v>9909</v>
      </c>
      <c r="J348" s="1">
        <f>J346+Table6[[#This Row],[Calls Ans]]</f>
        <v>9459</v>
      </c>
      <c r="K348" s="1">
        <f>K346+Table6[[#This Row],[Calls Off]]</f>
        <v>281515</v>
      </c>
      <c r="L348" s="1">
        <f>L346+Table6[[#This Row],[Calls Ans]]</f>
        <v>215099</v>
      </c>
      <c r="M348" s="18">
        <v>0.9</v>
      </c>
      <c r="N348" s="18">
        <v>0.03</v>
      </c>
      <c r="O348" s="18">
        <v>0.97</v>
      </c>
      <c r="P348" s="18">
        <v>0.56000000000000005</v>
      </c>
      <c r="Q348" s="193"/>
      <c r="R348" s="229">
        <v>270</v>
      </c>
      <c r="S348" s="155">
        <v>9.0277777777777787E-3</v>
      </c>
      <c r="T348" s="1">
        <v>17</v>
      </c>
      <c r="U348" s="268" t="str">
        <f t="shared" si="23"/>
        <v>Normal</v>
      </c>
      <c r="V348" s="268" t="str">
        <f t="shared" si="24"/>
        <v>Normal</v>
      </c>
      <c r="W348" s="270">
        <f t="shared" si="25"/>
        <v>-2.4896265560165973E-2</v>
      </c>
      <c r="X348" s="270">
        <f t="shared" si="26"/>
        <v>6.6079295154185024E-3</v>
      </c>
      <c r="Y348" s="249"/>
      <c r="Z348" s="249"/>
      <c r="AA348" s="249"/>
      <c r="AB348" s="249"/>
      <c r="AC348" s="249"/>
      <c r="AD348" s="249"/>
      <c r="AE348" s="249"/>
      <c r="AF348" s="249"/>
      <c r="AG348" s="249"/>
      <c r="AH348" s="249"/>
      <c r="AI348" s="249"/>
      <c r="AJ348" s="249"/>
      <c r="AK348" s="249"/>
      <c r="AL348" s="249"/>
      <c r="AR348">
        <f>MINUTE(Table6[[#This Row],[AHT]])</f>
        <v>0</v>
      </c>
      <c r="AS348">
        <f>SECOND(Table6[[#This Row],[AHT]])</f>
        <v>0</v>
      </c>
      <c r="AV348">
        <v>270</v>
      </c>
    </row>
    <row r="349" spans="1:48">
      <c r="A349" s="21">
        <v>44999</v>
      </c>
      <c r="B349" s="17">
        <f>IF(YEAR(Table9[[#This Row],[Date]]) = 2022, WEEKNUM(Table9[[#This Row],[Date]])-13, WEEKNUM(Table9[[#This Row],[Date]])+40)</f>
        <v>51</v>
      </c>
      <c r="C349" s="1" t="s">
        <v>49</v>
      </c>
      <c r="D349" s="1" t="s">
        <v>59</v>
      </c>
      <c r="E349" s="1">
        <v>866</v>
      </c>
      <c r="F349" s="1">
        <v>750</v>
      </c>
      <c r="G349" s="87">
        <f>IFERROR((Table6[[#This Row],[Calls Off]]-E341)/E341,0)</f>
        <v>-0.1016597510373444</v>
      </c>
      <c r="H349" s="87">
        <f>IFERROR((Table6[[#This Row],[Calls Ans]]-F341)/F341,0)</f>
        <v>-0.17400881057268722</v>
      </c>
      <c r="I349" s="1">
        <f>I348+Table6[[#This Row],[Calls Off]]</f>
        <v>10775</v>
      </c>
      <c r="J349" s="1">
        <f>J348+Table6[[#This Row],[Calls Ans]]</f>
        <v>10209</v>
      </c>
      <c r="K349" s="1">
        <f>K348+Table6[[#This Row],[Calls Off]]</f>
        <v>282381</v>
      </c>
      <c r="L349" s="1">
        <f>L348+Table6[[#This Row],[Calls Ans]]</f>
        <v>215849</v>
      </c>
      <c r="M349" s="18">
        <v>0.79</v>
      </c>
      <c r="N349" s="18">
        <v>0.13</v>
      </c>
      <c r="O349" s="18">
        <v>0.87</v>
      </c>
      <c r="P349" s="18">
        <v>0.43</v>
      </c>
      <c r="Q349" s="193"/>
      <c r="R349" s="229">
        <v>270</v>
      </c>
      <c r="S349" s="155">
        <v>9.0277777777777787E-3</v>
      </c>
      <c r="T349" s="1">
        <v>18</v>
      </c>
      <c r="U349" s="268" t="str">
        <f t="shared" si="23"/>
        <v>Normal</v>
      </c>
      <c r="V349" s="268" t="str">
        <f t="shared" si="24"/>
        <v>Normal</v>
      </c>
      <c r="W349" s="270">
        <f t="shared" si="25"/>
        <v>-0.1016597510373444</v>
      </c>
      <c r="X349" s="270">
        <f t="shared" si="26"/>
        <v>-0.17400881057268722</v>
      </c>
      <c r="Y349" s="249"/>
      <c r="Z349" s="249"/>
      <c r="AA349" s="249"/>
      <c r="AB349" s="249"/>
      <c r="AC349" s="249"/>
      <c r="AD349" s="249"/>
      <c r="AE349" s="249"/>
      <c r="AF349" s="249"/>
      <c r="AG349" s="249"/>
      <c r="AH349" s="249"/>
      <c r="AI349" s="249"/>
      <c r="AJ349" s="249"/>
      <c r="AK349" s="249"/>
      <c r="AL349" s="249"/>
      <c r="AR349">
        <f>MINUTE(Table6[[#This Row],[AHT]])</f>
        <v>0</v>
      </c>
      <c r="AS349">
        <f>SECOND(Table6[[#This Row],[AHT]])</f>
        <v>0</v>
      </c>
      <c r="AV349">
        <v>270</v>
      </c>
    </row>
    <row r="350" spans="1:48">
      <c r="A350" s="21">
        <v>45000</v>
      </c>
      <c r="B350" s="17">
        <f>IF(YEAR(Table9[[#This Row],[Date]]) = 2022, WEEKNUM(Table9[[#This Row],[Date]])-13, WEEKNUM(Table9[[#This Row],[Date]])+40)</f>
        <v>51</v>
      </c>
      <c r="C350" s="1" t="s">
        <v>50</v>
      </c>
      <c r="D350" s="1" t="s">
        <v>59</v>
      </c>
      <c r="E350" s="1">
        <v>781</v>
      </c>
      <c r="F350" s="1">
        <v>766</v>
      </c>
      <c r="G350" s="87">
        <f>IFERROR((Table6[[#This Row],[Calls Off]]-E343)/E343,0)</f>
        <v>-0.45688456189151599</v>
      </c>
      <c r="H350" s="87">
        <f>IFERROR((Table6[[#This Row],[Calls Ans]]-F343)/F343,0)</f>
        <v>-0.43175074183976259</v>
      </c>
      <c r="I350" s="1">
        <f>I349+Table6[[#This Row],[Calls Off]]</f>
        <v>11556</v>
      </c>
      <c r="J350" s="1">
        <f>J349+Table6[[#This Row],[Calls Ans]]</f>
        <v>10975</v>
      </c>
      <c r="K350" s="1">
        <f>K349+Table6[[#This Row],[Calls Off]]</f>
        <v>283162</v>
      </c>
      <c r="L350" s="1">
        <f>L349+Table6[[#This Row],[Calls Ans]]</f>
        <v>216615</v>
      </c>
      <c r="M350" s="18">
        <v>0.92</v>
      </c>
      <c r="N350" s="18">
        <v>1.9206145966709345E-2</v>
      </c>
      <c r="O350" s="18">
        <v>0.98</v>
      </c>
      <c r="P350" s="18">
        <v>0.63959986772486777</v>
      </c>
      <c r="Q350" s="193"/>
      <c r="R350" s="229">
        <v>303</v>
      </c>
      <c r="S350" s="153">
        <v>9.7222222222222224E-3</v>
      </c>
      <c r="T350" s="1">
        <v>14</v>
      </c>
      <c r="U350" s="268" t="str">
        <f t="shared" si="23"/>
        <v>Outlier</v>
      </c>
      <c r="V350" s="268" t="str">
        <f t="shared" si="24"/>
        <v>Outlier</v>
      </c>
      <c r="W350" s="270">
        <f t="shared" si="25"/>
        <v>-0.45688456189151599</v>
      </c>
      <c r="X350" s="270">
        <f t="shared" si="26"/>
        <v>-0.43175074183976259</v>
      </c>
      <c r="Y350" s="249"/>
      <c r="Z350" s="249"/>
      <c r="AA350" s="249"/>
      <c r="AB350" s="249"/>
      <c r="AC350" s="249"/>
      <c r="AD350" s="249"/>
      <c r="AE350" s="249"/>
      <c r="AF350" s="249"/>
      <c r="AG350" s="249"/>
      <c r="AH350" s="249"/>
      <c r="AI350" s="249"/>
      <c r="AJ350" s="249"/>
      <c r="AK350" s="249"/>
      <c r="AL350" s="249"/>
      <c r="AR350">
        <f>MINUTE(Table6[[#This Row],[AHT]])</f>
        <v>0</v>
      </c>
      <c r="AS350">
        <f>SECOND(Table6[[#This Row],[AHT]])</f>
        <v>0</v>
      </c>
      <c r="AV350">
        <v>303</v>
      </c>
    </row>
    <row r="351" spans="1:48">
      <c r="A351" s="21">
        <v>45001</v>
      </c>
      <c r="B351" s="17">
        <f>IF(YEAR(Table9[[#This Row],[Date]]) = 2022, WEEKNUM(Table9[[#This Row],[Date]])-13, WEEKNUM(Table9[[#This Row],[Date]])+40)</f>
        <v>51</v>
      </c>
      <c r="C351" s="1" t="s">
        <v>51</v>
      </c>
      <c r="D351" s="1" t="s">
        <v>59</v>
      </c>
      <c r="E351" s="1">
        <v>762</v>
      </c>
      <c r="F351" s="1">
        <v>695</v>
      </c>
      <c r="G351" s="87">
        <f>IFERROR((Table6[[#This Row],[Calls Off]]-E344)/E344,0)</f>
        <v>-0.21604938271604937</v>
      </c>
      <c r="H351" s="87">
        <f>IFERROR((Table6[[#This Row],[Calls Ans]]-F344)/F344,0)</f>
        <v>-0.25268817204301075</v>
      </c>
      <c r="I351" s="1">
        <f>Table6[[#This Row],[Calls Off]]+I350</f>
        <v>12318</v>
      </c>
      <c r="J351" s="1">
        <f>Table6[[#This Row],[Calls Ans]]+J350</f>
        <v>11670</v>
      </c>
      <c r="K351" s="1">
        <f>K350+Table6[[#This Row],[Calls Off]]</f>
        <v>283924</v>
      </c>
      <c r="L351" s="1">
        <f>L350+Table6[[#This Row],[Calls Ans]]</f>
        <v>217310</v>
      </c>
      <c r="M351" s="18">
        <v>0.75</v>
      </c>
      <c r="N351" s="18">
        <v>8.7926509186351712E-2</v>
      </c>
      <c r="O351" s="18">
        <v>0.91</v>
      </c>
      <c r="P351" s="18">
        <v>0.62289292497625837</v>
      </c>
      <c r="Q351" s="193"/>
      <c r="R351" s="214">
        <v>302</v>
      </c>
      <c r="S351" s="153">
        <v>2.5694444444444447E-2</v>
      </c>
      <c r="T351" s="1">
        <v>13</v>
      </c>
      <c r="U351" s="268" t="str">
        <f t="shared" si="23"/>
        <v>Normal</v>
      </c>
      <c r="V351" s="268" t="str">
        <f t="shared" si="24"/>
        <v>Normal</v>
      </c>
      <c r="W351" s="270">
        <f t="shared" si="25"/>
        <v>-0.21604938271604937</v>
      </c>
      <c r="X351" s="270">
        <f t="shared" si="26"/>
        <v>-0.25268817204301075</v>
      </c>
      <c r="Y351" s="249"/>
      <c r="Z351" s="249"/>
      <c r="AA351" s="249"/>
      <c r="AB351" s="249"/>
      <c r="AC351" s="249"/>
      <c r="AD351" s="249"/>
      <c r="AE351" s="249"/>
      <c r="AF351" s="249"/>
      <c r="AG351" s="249"/>
      <c r="AH351" s="249"/>
      <c r="AI351" s="249"/>
      <c r="AJ351" s="249"/>
      <c r="AK351" s="249"/>
      <c r="AL351" s="249"/>
      <c r="AR351">
        <f>MINUTE(Table6[[#This Row],[AHT]])</f>
        <v>0</v>
      </c>
      <c r="AS351">
        <f>SECOND(Table6[[#This Row],[AHT]])</f>
        <v>0</v>
      </c>
      <c r="AV351">
        <v>302</v>
      </c>
    </row>
    <row r="352" spans="1:48">
      <c r="A352" s="21">
        <v>45002</v>
      </c>
      <c r="B352" s="17">
        <f>IF(YEAR(Table9[[#This Row],[Date]]) = 2022, WEEKNUM(Table9[[#This Row],[Date]])-13, WEEKNUM(Table9[[#This Row],[Date]])+40)</f>
        <v>51</v>
      </c>
      <c r="C352" s="1" t="s">
        <v>52</v>
      </c>
      <c r="D352" s="1" t="s">
        <v>59</v>
      </c>
      <c r="E352" s="1">
        <v>732</v>
      </c>
      <c r="F352" s="1">
        <v>703</v>
      </c>
      <c r="G352" s="87">
        <f>IFERROR((Table6[[#This Row],[Calls Off]]-E345)/E345,0)</f>
        <v>-0.22703273495248152</v>
      </c>
      <c r="H352" s="87">
        <f>IFERROR((Table6[[#This Row],[Calls Ans]]-F345)/F345,0)</f>
        <v>-0.19102416570771003</v>
      </c>
      <c r="I352" s="1">
        <f>I351+Table6[[#This Row],[Calls Off]]</f>
        <v>13050</v>
      </c>
      <c r="J352" s="1">
        <f>J351+Table6[[#This Row],[Calls Ans]]</f>
        <v>12373</v>
      </c>
      <c r="K352" s="1">
        <f>K351+Table6[[#This Row],[Calls Off]]</f>
        <v>284656</v>
      </c>
      <c r="L352" s="1">
        <f>L351+Table6[[#This Row],[Calls Ans]]</f>
        <v>218013</v>
      </c>
      <c r="M352" s="18">
        <v>0.86</v>
      </c>
      <c r="N352" s="18">
        <v>3.9617486338797817E-2</v>
      </c>
      <c r="O352" s="18">
        <v>0.96</v>
      </c>
      <c r="P352" s="18">
        <v>0.59442193930041165</v>
      </c>
      <c r="Q352" s="193"/>
      <c r="R352" s="214">
        <v>263</v>
      </c>
      <c r="S352" s="153">
        <v>1.5277777777777777E-2</v>
      </c>
      <c r="T352" s="1">
        <v>12</v>
      </c>
      <c r="U352" s="268" t="str">
        <f t="shared" si="23"/>
        <v>Normal</v>
      </c>
      <c r="V352" s="268" t="str">
        <f t="shared" si="24"/>
        <v>Normal</v>
      </c>
      <c r="W352" s="270">
        <f t="shared" si="25"/>
        <v>-0.22703273495248152</v>
      </c>
      <c r="X352" s="270">
        <f t="shared" si="26"/>
        <v>-0.19102416570771003</v>
      </c>
      <c r="Y352" s="249"/>
      <c r="Z352" s="249"/>
      <c r="AA352" s="249"/>
      <c r="AB352" s="249"/>
      <c r="AC352" s="249"/>
      <c r="AD352" s="249"/>
      <c r="AE352" s="249"/>
      <c r="AF352" s="249"/>
      <c r="AG352" s="249"/>
      <c r="AH352" s="249"/>
      <c r="AI352" s="249"/>
      <c r="AJ352" s="249"/>
      <c r="AK352" s="249"/>
      <c r="AL352" s="249"/>
      <c r="AR352">
        <f>MINUTE(Table6[[#This Row],[AHT]])</f>
        <v>0</v>
      </c>
      <c r="AS352">
        <f>SECOND(Table6[[#This Row],[AHT]])</f>
        <v>0</v>
      </c>
      <c r="AV352">
        <v>263</v>
      </c>
    </row>
    <row r="353" spans="1:48">
      <c r="A353" s="21">
        <v>45003</v>
      </c>
      <c r="B353" s="17">
        <f>IF(YEAR(Table9[[#This Row],[Date]]) = 2022, WEEKNUM(Table9[[#This Row],[Date]])-13, WEEKNUM(Table9[[#This Row],[Date]])+40)</f>
        <v>51</v>
      </c>
      <c r="C353" s="1" t="s">
        <v>53</v>
      </c>
      <c r="D353" s="1" t="s">
        <v>59</v>
      </c>
      <c r="E353" s="1">
        <v>662</v>
      </c>
      <c r="F353" s="1">
        <v>638</v>
      </c>
      <c r="G353" s="87">
        <f>IFERROR((Table6[[#This Row],[Calls Off]]-E346)/E346,0)</f>
        <v>7.6103500761035003E-3</v>
      </c>
      <c r="H353" s="87">
        <f>IFERROR((Table6[[#This Row],[Calls Ans]]-F346)/F346,0)</f>
        <v>0</v>
      </c>
      <c r="I353" s="1">
        <f>I352+Table6[[#This Row],[Calls Off]]</f>
        <v>13712</v>
      </c>
      <c r="J353" s="1">
        <f>J352+Table6[[#This Row],[Calls Ans]]</f>
        <v>13011</v>
      </c>
      <c r="K353" s="1">
        <f>K352+Table6[[#This Row],[Calls Off]]</f>
        <v>285318</v>
      </c>
      <c r="L353" s="1">
        <f>L352+Table6[[#This Row],[Calls Ans]]</f>
        <v>218651</v>
      </c>
      <c r="M353" s="18">
        <v>0.95</v>
      </c>
      <c r="N353" s="18">
        <v>3.6253776435045321E-2</v>
      </c>
      <c r="O353" s="18">
        <v>0.96</v>
      </c>
      <c r="P353" s="18">
        <v>0.53961894586894588</v>
      </c>
      <c r="Q353" s="193"/>
      <c r="R353" s="214">
        <v>285</v>
      </c>
      <c r="S353" s="153">
        <v>5.5555555555555558E-3</v>
      </c>
      <c r="T353" s="1">
        <v>13</v>
      </c>
      <c r="U353" s="268" t="str">
        <f t="shared" si="23"/>
        <v>Normal</v>
      </c>
      <c r="V353" s="268" t="str">
        <f t="shared" si="24"/>
        <v>Normal</v>
      </c>
      <c r="W353" s="270">
        <f t="shared" si="25"/>
        <v>7.6103500761035003E-3</v>
      </c>
      <c r="X353" s="270">
        <f t="shared" si="26"/>
        <v>0</v>
      </c>
      <c r="Y353" s="249"/>
      <c r="Z353" s="249"/>
      <c r="AA353" s="249"/>
      <c r="AB353" s="249"/>
      <c r="AC353" s="249"/>
      <c r="AD353" s="249"/>
      <c r="AE353" s="249"/>
      <c r="AF353" s="249"/>
      <c r="AG353" s="249"/>
      <c r="AH353" s="249"/>
      <c r="AI353" s="249"/>
      <c r="AJ353" s="249"/>
      <c r="AK353" s="249"/>
      <c r="AL353" s="249"/>
      <c r="AR353">
        <f>MINUTE(Table6[[#This Row],[AHT]])</f>
        <v>0</v>
      </c>
      <c r="AS353">
        <f>SECOND(Table6[[#This Row],[AHT]])</f>
        <v>0</v>
      </c>
      <c r="AV353">
        <v>285</v>
      </c>
    </row>
    <row r="354" spans="1:48">
      <c r="A354" s="21">
        <v>45004</v>
      </c>
      <c r="B354" s="17">
        <f>IF(YEAR(Table9[[#This Row],[Date]]) = 2022, WEEKNUM(Table9[[#This Row],[Date]])-13, WEEKNUM(Table9[[#This Row],[Date]])+40)</f>
        <v>52</v>
      </c>
      <c r="C354" s="1" t="s">
        <v>47</v>
      </c>
      <c r="D354" s="1" t="s">
        <v>59</v>
      </c>
      <c r="E354" s="1">
        <v>0</v>
      </c>
      <c r="F354" s="1">
        <v>0</v>
      </c>
      <c r="G354" s="87">
        <v>0</v>
      </c>
      <c r="H354" s="87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18">
        <v>0</v>
      </c>
      <c r="O354" s="18">
        <v>0</v>
      </c>
      <c r="P354" s="18">
        <v>0</v>
      </c>
      <c r="Q354" s="193"/>
      <c r="R354" s="214">
        <v>0</v>
      </c>
      <c r="S354" s="1">
        <v>0</v>
      </c>
      <c r="T354" s="1">
        <v>0</v>
      </c>
      <c r="U354" s="268" t="str">
        <f t="shared" si="23"/>
        <v>Normal</v>
      </c>
      <c r="V354" s="268" t="str">
        <f t="shared" si="24"/>
        <v>Normal</v>
      </c>
      <c r="W354" s="270">
        <f t="shared" si="25"/>
        <v>0</v>
      </c>
      <c r="X354" s="270">
        <f t="shared" si="26"/>
        <v>0</v>
      </c>
      <c r="Y354" s="249"/>
      <c r="Z354" s="249"/>
      <c r="AA354" s="249"/>
      <c r="AB354" s="249"/>
      <c r="AC354" s="249"/>
      <c r="AD354" s="249"/>
      <c r="AE354" s="249"/>
      <c r="AF354" s="249"/>
      <c r="AG354" s="249"/>
      <c r="AH354" s="249"/>
      <c r="AI354" s="249"/>
      <c r="AJ354" s="249"/>
      <c r="AK354" s="249"/>
      <c r="AL354" s="249"/>
      <c r="AR354">
        <f>MINUTE(Table6[[#This Row],[AHT]])</f>
        <v>0</v>
      </c>
      <c r="AS354">
        <f>SECOND(Table6[[#This Row],[AHT]])</f>
        <v>0</v>
      </c>
      <c r="AV354">
        <v>0</v>
      </c>
    </row>
    <row r="355" spans="1:48">
      <c r="A355" s="21">
        <v>45005</v>
      </c>
      <c r="B355" s="17">
        <f>IF(YEAR(Table9[[#This Row],[Date]]) = 2022, WEEKNUM(Table9[[#This Row],[Date]])-13, WEEKNUM(Table9[[#This Row],[Date]])+40)</f>
        <v>52</v>
      </c>
      <c r="C355" s="1" t="s">
        <v>48</v>
      </c>
      <c r="D355" s="1" t="s">
        <v>59</v>
      </c>
      <c r="E355" s="1">
        <v>880</v>
      </c>
      <c r="F355" s="1">
        <v>855</v>
      </c>
      <c r="G355" s="87">
        <f>IFERROR((Table6[[#This Row],[Calls Off]]-E348)/E348,0)</f>
        <v>-6.3829787234042548E-2</v>
      </c>
      <c r="H355" s="87">
        <f>IFERROR((Table6[[#This Row],[Calls Ans]]-F348)/F348,0)</f>
        <v>-6.4551422319474833E-2</v>
      </c>
      <c r="I355" s="1">
        <f>I353+Table6[[#This Row],[Calls Off]]</f>
        <v>14592</v>
      </c>
      <c r="J355" s="1">
        <f>J353+Table6[[#This Row],[Calls Ans]]</f>
        <v>13866</v>
      </c>
      <c r="K355" s="1">
        <f>K353+Table6[[#This Row],[Calls Off]]</f>
        <v>286198</v>
      </c>
      <c r="L355" s="1">
        <f>L353+Table6[[#This Row],[Calls Ans]]</f>
        <v>219506</v>
      </c>
      <c r="M355" s="18">
        <v>0.89</v>
      </c>
      <c r="N355" s="18">
        <v>2.8409090909090908E-2</v>
      </c>
      <c r="O355" s="18">
        <v>0.97</v>
      </c>
      <c r="P355" s="18">
        <v>0.56956018518518514</v>
      </c>
      <c r="Q355" s="193"/>
      <c r="R355" s="214">
        <v>259</v>
      </c>
      <c r="S355" s="153">
        <v>1.3888888888888888E-2</v>
      </c>
      <c r="T355" s="1">
        <v>15</v>
      </c>
      <c r="U355" s="268" t="str">
        <f t="shared" si="23"/>
        <v>Normal</v>
      </c>
      <c r="V355" s="268" t="str">
        <f t="shared" si="24"/>
        <v>Normal</v>
      </c>
      <c r="W355" s="270">
        <f t="shared" si="25"/>
        <v>-6.3829787234042548E-2</v>
      </c>
      <c r="X355" s="270">
        <f t="shared" si="26"/>
        <v>-6.4551422319474833E-2</v>
      </c>
      <c r="Y355" s="249"/>
      <c r="Z355" s="249"/>
      <c r="AA355" s="249"/>
      <c r="AB355" s="249"/>
      <c r="AC355" s="249"/>
      <c r="AD355" s="249"/>
      <c r="AE355" s="249"/>
      <c r="AF355" s="249"/>
      <c r="AG355" s="249"/>
      <c r="AH355" s="249"/>
      <c r="AI355" s="249"/>
      <c r="AJ355" s="249"/>
      <c r="AK355" s="249"/>
      <c r="AL355" s="249"/>
      <c r="AR355">
        <f>MINUTE(Table6[[#This Row],[AHT]])</f>
        <v>0</v>
      </c>
      <c r="AS355">
        <f>SECOND(Table6[[#This Row],[AHT]])</f>
        <v>0</v>
      </c>
      <c r="AV355">
        <v>259</v>
      </c>
    </row>
    <row r="356" spans="1:48">
      <c r="A356" s="21">
        <v>45006</v>
      </c>
      <c r="B356" s="17">
        <f>IF(YEAR(Table9[[#This Row],[Date]]) = 2022, WEEKNUM(Table9[[#This Row],[Date]])-13, WEEKNUM(Table9[[#This Row],[Date]])+40)</f>
        <v>52</v>
      </c>
      <c r="C356" s="1" t="s">
        <v>49</v>
      </c>
      <c r="D356" s="1" t="s">
        <v>59</v>
      </c>
      <c r="E356" s="1">
        <v>843</v>
      </c>
      <c r="F356" s="1">
        <v>823</v>
      </c>
      <c r="G356" s="87">
        <f>IFERROR((Table6[[#This Row],[Calls Off]]-E348)/E348,0)</f>
        <v>-0.10319148936170212</v>
      </c>
      <c r="H356" s="87">
        <f>IFERROR((Table6[[#This Row],[Calls Ans]]-F348)/F348,0)</f>
        <v>-9.9562363238512031E-2</v>
      </c>
      <c r="I356" s="1">
        <f>I355+Table6[[#This Row],[Calls Off]]</f>
        <v>15435</v>
      </c>
      <c r="J356" s="1">
        <f>J355+Table6[[#This Row],[Calls Ans]]</f>
        <v>14689</v>
      </c>
      <c r="K356" s="1">
        <f>K355+Table6[[#This Row],[Calls Off]]</f>
        <v>287041</v>
      </c>
      <c r="L356" s="1">
        <f>L355+Table6[[#This Row],[Calls Ans]]</f>
        <v>220329</v>
      </c>
      <c r="M356" s="18">
        <v>0.94</v>
      </c>
      <c r="N356" s="18">
        <v>0.02</v>
      </c>
      <c r="O356" s="18">
        <v>0.98</v>
      </c>
      <c r="P356" s="18">
        <v>0.47</v>
      </c>
      <c r="Q356" s="193"/>
      <c r="R356" s="214">
        <v>268</v>
      </c>
      <c r="S356" s="153">
        <v>1.8749999999999999E-2</v>
      </c>
      <c r="T356" s="1">
        <v>18</v>
      </c>
      <c r="U356" s="268" t="str">
        <f t="shared" si="23"/>
        <v>Normal</v>
      </c>
      <c r="V356" s="268" t="str">
        <f t="shared" si="24"/>
        <v>Normal</v>
      </c>
      <c r="W356" s="270">
        <f t="shared" si="25"/>
        <v>-0.10319148936170212</v>
      </c>
      <c r="X356" s="270">
        <f t="shared" si="26"/>
        <v>-9.9562363238512031E-2</v>
      </c>
      <c r="Y356" s="249"/>
      <c r="Z356" s="249"/>
      <c r="AA356" s="249"/>
      <c r="AB356" s="249"/>
      <c r="AC356" s="249"/>
      <c r="AD356" s="249"/>
      <c r="AE356" s="249"/>
      <c r="AF356" s="249"/>
      <c r="AG356" s="249"/>
      <c r="AH356" s="249"/>
      <c r="AI356" s="249"/>
      <c r="AJ356" s="249"/>
      <c r="AK356" s="249"/>
      <c r="AL356" s="249"/>
      <c r="AR356">
        <f>MINUTE(Table6[[#This Row],[AHT]])</f>
        <v>0</v>
      </c>
      <c r="AS356">
        <f>SECOND(Table6[[#This Row],[AHT]])</f>
        <v>0</v>
      </c>
      <c r="AV356">
        <v>268</v>
      </c>
    </row>
    <row r="357" spans="1:48">
      <c r="A357" s="21">
        <v>45007</v>
      </c>
      <c r="B357" s="17">
        <f>IF(YEAR(Table9[[#This Row],[Date]]) = 2022, WEEKNUM(Table9[[#This Row],[Date]])-13, WEEKNUM(Table9[[#This Row],[Date]])+40)</f>
        <v>52</v>
      </c>
      <c r="C357" s="1" t="s">
        <v>50</v>
      </c>
      <c r="D357" s="1" t="s">
        <v>59</v>
      </c>
      <c r="E357" s="1">
        <v>1190</v>
      </c>
      <c r="F357" s="1">
        <v>1105</v>
      </c>
      <c r="G357" s="87">
        <f>IFERROR((Table6[[#This Row],[Calls Off]]-E350)/E350,0)</f>
        <v>0.52368758002560822</v>
      </c>
      <c r="H357" s="87">
        <f>IFERROR((Table6[[#This Row],[Calls Ans]]-F350)/F350,0)</f>
        <v>0.44255874673629242</v>
      </c>
      <c r="I357" s="1">
        <f>I356+Table6[[#This Row],[Calls Off]]</f>
        <v>16625</v>
      </c>
      <c r="J357" s="1">
        <f>J356+Table6[[#This Row],[Calls Ans]]</f>
        <v>15794</v>
      </c>
      <c r="K357" s="1">
        <f>K356+Table6[[#This Row],[Calls Off]]</f>
        <v>288231</v>
      </c>
      <c r="L357" s="1">
        <f>L356+Table6[[#This Row],[Calls Ans]]</f>
        <v>221434</v>
      </c>
      <c r="M357" s="18">
        <v>0.79</v>
      </c>
      <c r="N357" s="18">
        <v>7.0000000000000007E-2</v>
      </c>
      <c r="O357" s="18">
        <v>0.93</v>
      </c>
      <c r="P357" s="18">
        <v>0.9</v>
      </c>
      <c r="Q357" s="193"/>
      <c r="R357" s="214">
        <v>337</v>
      </c>
      <c r="S357" s="153">
        <v>6.9444444444444441E-3</v>
      </c>
      <c r="T357" s="1">
        <v>16</v>
      </c>
      <c r="U357" s="268" t="str">
        <f t="shared" si="23"/>
        <v>Outlier</v>
      </c>
      <c r="V357" s="268" t="str">
        <f t="shared" si="24"/>
        <v>Outlier</v>
      </c>
      <c r="W357" s="270">
        <f t="shared" si="25"/>
        <v>0.52368758002560822</v>
      </c>
      <c r="X357" s="270">
        <f t="shared" si="26"/>
        <v>0.44255874673629242</v>
      </c>
      <c r="Y357" s="249"/>
      <c r="Z357" s="249"/>
      <c r="AA357" s="249"/>
      <c r="AB357" s="249"/>
      <c r="AC357" s="249"/>
      <c r="AD357" s="249"/>
      <c r="AE357" s="249"/>
      <c r="AF357" s="249"/>
      <c r="AG357" s="249"/>
      <c r="AH357" s="249"/>
      <c r="AI357" s="249"/>
      <c r="AJ357" s="249"/>
      <c r="AK357" s="249"/>
      <c r="AL357" s="249"/>
      <c r="AR357">
        <f>MINUTE(Table6[[#This Row],[AHT]])</f>
        <v>0</v>
      </c>
      <c r="AS357">
        <f>SECOND(Table6[[#This Row],[AHT]])</f>
        <v>0</v>
      </c>
      <c r="AV357">
        <v>337</v>
      </c>
    </row>
    <row r="358" spans="1:48">
      <c r="A358" s="21">
        <v>45008</v>
      </c>
      <c r="B358" s="17">
        <f>IF(YEAR(Table9[[#This Row],[Date]]) = 2022, WEEKNUM(Table9[[#This Row],[Date]])-13, WEEKNUM(Table9[[#This Row],[Date]])+40)</f>
        <v>52</v>
      </c>
      <c r="C358" s="1" t="s">
        <v>51</v>
      </c>
      <c r="D358" s="1" t="s">
        <v>59</v>
      </c>
      <c r="E358" s="1">
        <v>904</v>
      </c>
      <c r="F358" s="1">
        <v>848</v>
      </c>
      <c r="G358" s="87">
        <f>IFERROR((Table6[[#This Row],[Calls Off]]-E351)/E351,0)</f>
        <v>0.18635170603674542</v>
      </c>
      <c r="H358" s="87">
        <f>IFERROR((Table6[[#This Row],[Calls Ans]]-F351)/F351,0)</f>
        <v>0.22014388489208633</v>
      </c>
      <c r="I358" s="1">
        <f>Table6[[#This Row],[Calls Off]]+I357</f>
        <v>17529</v>
      </c>
      <c r="J358" s="1">
        <f>Table6[[#This Row],[Calls Ans]]+J357</f>
        <v>16642</v>
      </c>
      <c r="K358" s="1">
        <f>K357+Table6[[#This Row],[Calls Off]]</f>
        <v>289135</v>
      </c>
      <c r="L358" s="1">
        <f>L357+Table6[[#This Row],[Calls Ans]]</f>
        <v>222282</v>
      </c>
      <c r="M358" s="18">
        <v>0.85</v>
      </c>
      <c r="N358" s="18">
        <v>0.06</v>
      </c>
      <c r="O358" s="18">
        <v>0.94</v>
      </c>
      <c r="P358" s="18">
        <v>0.91</v>
      </c>
      <c r="Q358" s="193"/>
      <c r="R358" s="214">
        <v>306</v>
      </c>
      <c r="S358" s="153">
        <v>1.4583333333333332E-2</v>
      </c>
      <c r="T358" s="1">
        <v>11</v>
      </c>
      <c r="U358" s="268" t="str">
        <f t="shared" si="23"/>
        <v>Normal</v>
      </c>
      <c r="V358" s="268" t="str">
        <f t="shared" si="24"/>
        <v>Normal</v>
      </c>
      <c r="W358" s="270">
        <f t="shared" si="25"/>
        <v>0.18635170603674542</v>
      </c>
      <c r="X358" s="270">
        <f t="shared" si="26"/>
        <v>0.22014388489208633</v>
      </c>
      <c r="Y358" s="249"/>
      <c r="Z358" s="249"/>
      <c r="AA358" s="249"/>
      <c r="AB358" s="249"/>
      <c r="AC358" s="249"/>
      <c r="AD358" s="249"/>
      <c r="AE358" s="249"/>
      <c r="AF358" s="249"/>
      <c r="AG358" s="249"/>
      <c r="AH358" s="249"/>
      <c r="AI358" s="249"/>
      <c r="AJ358" s="249"/>
      <c r="AK358" s="249"/>
      <c r="AL358" s="249"/>
      <c r="AR358">
        <f>MINUTE(Table6[[#This Row],[AHT]])</f>
        <v>0</v>
      </c>
      <c r="AS358">
        <f>SECOND(Table6[[#This Row],[AHT]])</f>
        <v>0</v>
      </c>
      <c r="AV358">
        <v>306</v>
      </c>
    </row>
    <row r="359" spans="1:48">
      <c r="A359" s="21">
        <v>45009</v>
      </c>
      <c r="B359" s="17">
        <f>IF(YEAR(Table9[[#This Row],[Date]]) = 2022, WEEKNUM(Table9[[#This Row],[Date]])-13, WEEKNUM(Table9[[#This Row],[Date]])+40)</f>
        <v>52</v>
      </c>
      <c r="C359" s="1" t="s">
        <v>52</v>
      </c>
      <c r="D359" s="1" t="s">
        <v>59</v>
      </c>
      <c r="E359" s="1">
        <v>924</v>
      </c>
      <c r="F359" s="1">
        <v>894</v>
      </c>
      <c r="G359" s="87">
        <f>IFERROR((Table6[[#This Row],[Calls Off]]-E352)/E352,0)</f>
        <v>0.26229508196721313</v>
      </c>
      <c r="H359" s="87">
        <f>IFERROR((Table6[[#This Row],[Calls Ans]]-F352)/F352,0)</f>
        <v>0.27169274537695592</v>
      </c>
      <c r="I359" s="1">
        <f>I358+Table6[[#This Row],[Calls Off]]</f>
        <v>18453</v>
      </c>
      <c r="J359" s="1">
        <f>J358+Table6[[#This Row],[Calls Ans]]</f>
        <v>17536</v>
      </c>
      <c r="K359" s="1">
        <f>K358+Table6[[#This Row],[Calls Off]]</f>
        <v>290059</v>
      </c>
      <c r="L359" s="1">
        <f>L358+Table6[[#This Row],[Calls Ans]]</f>
        <v>223176</v>
      </c>
      <c r="M359" s="18">
        <v>0.92</v>
      </c>
      <c r="N359" s="18">
        <v>0.03</v>
      </c>
      <c r="O359" s="18">
        <v>0.97</v>
      </c>
      <c r="P359" s="18">
        <v>0.57999999999999996</v>
      </c>
      <c r="Q359" s="193"/>
      <c r="R359" s="214">
        <v>254</v>
      </c>
      <c r="S359" s="153">
        <v>9.7222222222222224E-3</v>
      </c>
      <c r="T359" s="1">
        <v>15</v>
      </c>
      <c r="U359" s="268" t="str">
        <f t="shared" si="23"/>
        <v>Normal</v>
      </c>
      <c r="V359" s="268" t="str">
        <f t="shared" si="24"/>
        <v>Normal</v>
      </c>
      <c r="W359" s="270">
        <f t="shared" si="25"/>
        <v>0.26229508196721313</v>
      </c>
      <c r="X359" s="270">
        <f t="shared" si="26"/>
        <v>0.27169274537695592</v>
      </c>
      <c r="Y359" s="249"/>
      <c r="Z359" s="249"/>
      <c r="AA359" s="249"/>
      <c r="AB359" s="249"/>
      <c r="AC359" s="249"/>
      <c r="AD359" s="249"/>
      <c r="AE359" s="249"/>
      <c r="AF359" s="249"/>
      <c r="AG359" s="249"/>
      <c r="AH359" s="249"/>
      <c r="AI359" s="249"/>
      <c r="AJ359" s="249"/>
      <c r="AK359" s="249"/>
      <c r="AL359" s="249"/>
      <c r="AR359">
        <f>MINUTE(Table6[[#This Row],[AHT]])</f>
        <v>0</v>
      </c>
      <c r="AS359">
        <f>SECOND(Table6[[#This Row],[AHT]])</f>
        <v>0</v>
      </c>
      <c r="AV359">
        <v>254</v>
      </c>
    </row>
    <row r="360" spans="1:48">
      <c r="A360" s="21">
        <v>45010</v>
      </c>
      <c r="B360" s="17">
        <f>IF(YEAR(Table9[[#This Row],[Date]]) = 2022, WEEKNUM(Table9[[#This Row],[Date]])-13, WEEKNUM(Table9[[#This Row],[Date]])+40)</f>
        <v>52</v>
      </c>
      <c r="C360" s="1" t="s">
        <v>53</v>
      </c>
      <c r="D360" s="1" t="s">
        <v>59</v>
      </c>
      <c r="E360" s="1">
        <v>715</v>
      </c>
      <c r="F360" s="1">
        <v>661</v>
      </c>
      <c r="G360" s="87">
        <f>IFERROR((Table6[[#This Row],[Calls Off]]-E353)/E353,0)</f>
        <v>8.0060422960725075E-2</v>
      </c>
      <c r="H360" s="87">
        <f>IFERROR((Table6[[#This Row],[Calls Ans]]-F353)/F353,0)</f>
        <v>3.6050156739811913E-2</v>
      </c>
      <c r="I360" s="1">
        <f>I359+Table6[[#This Row],[Calls Off]]</f>
        <v>19168</v>
      </c>
      <c r="J360" s="1">
        <f>J359+Table6[[#This Row],[Calls Ans]]</f>
        <v>18197</v>
      </c>
      <c r="K360" s="1">
        <f>K359+Table6[[#This Row],[Calls Off]]</f>
        <v>290774</v>
      </c>
      <c r="L360" s="1">
        <f>L359+Table6[[#This Row],[Calls Ans]]</f>
        <v>223837</v>
      </c>
      <c r="M360" s="18">
        <v>0.76</v>
      </c>
      <c r="N360" s="18">
        <v>0.08</v>
      </c>
      <c r="O360" s="18">
        <v>0.92</v>
      </c>
      <c r="P360" s="18">
        <v>0.6</v>
      </c>
      <c r="Q360" s="193"/>
      <c r="R360" s="214">
        <v>282</v>
      </c>
      <c r="S360" s="153">
        <v>2.4305555555555556E-2</v>
      </c>
      <c r="T360" s="1">
        <v>12</v>
      </c>
      <c r="U360" s="268" t="str">
        <f t="shared" si="23"/>
        <v>Normal</v>
      </c>
      <c r="V360" s="268" t="str">
        <f t="shared" si="24"/>
        <v>Normal</v>
      </c>
      <c r="W360" s="270">
        <f t="shared" si="25"/>
        <v>8.0060422960725075E-2</v>
      </c>
      <c r="X360" s="270">
        <f t="shared" si="26"/>
        <v>3.6050156739811913E-2</v>
      </c>
      <c r="Y360" s="249"/>
      <c r="Z360" s="249"/>
      <c r="AA360" s="249"/>
      <c r="AB360" s="249"/>
      <c r="AC360" s="249"/>
      <c r="AD360" s="249"/>
      <c r="AE360" s="249"/>
      <c r="AF360" s="249"/>
      <c r="AG360" s="249"/>
      <c r="AH360" s="249"/>
      <c r="AI360" s="249"/>
      <c r="AJ360" s="249"/>
      <c r="AK360" s="249"/>
      <c r="AL360" s="249"/>
      <c r="AR360">
        <f>MINUTE(Table6[[#This Row],[AHT]])</f>
        <v>0</v>
      </c>
      <c r="AS360">
        <f>SECOND(Table6[[#This Row],[AHT]])</f>
        <v>0</v>
      </c>
      <c r="AV360">
        <v>282</v>
      </c>
    </row>
    <row r="361" spans="1:48">
      <c r="A361" s="21">
        <v>45011</v>
      </c>
      <c r="B361" s="17">
        <f>IF(YEAR(Table9[[#This Row],[Date]]) = 2022, WEEKNUM(Table9[[#This Row],[Date]])-13, WEEKNUM(Table9[[#This Row],[Date]])+40)</f>
        <v>53</v>
      </c>
      <c r="C361" s="1" t="s">
        <v>47</v>
      </c>
      <c r="D361" s="1" t="s">
        <v>59</v>
      </c>
      <c r="E361" s="1">
        <v>0</v>
      </c>
      <c r="F361" s="1">
        <v>0</v>
      </c>
      <c r="G361" s="87">
        <v>0</v>
      </c>
      <c r="H361" s="87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18">
        <v>0</v>
      </c>
      <c r="O361" s="18">
        <v>0</v>
      </c>
      <c r="P361" s="18">
        <v>0</v>
      </c>
      <c r="Q361" s="193"/>
      <c r="R361" s="214">
        <v>0</v>
      </c>
      <c r="S361" s="153">
        <v>0</v>
      </c>
      <c r="T361" s="1">
        <v>0</v>
      </c>
      <c r="U361" s="268" t="str">
        <f t="shared" si="23"/>
        <v>Normal</v>
      </c>
      <c r="V361" s="268" t="str">
        <f t="shared" si="24"/>
        <v>Normal</v>
      </c>
      <c r="W361" s="270">
        <f t="shared" si="25"/>
        <v>0</v>
      </c>
      <c r="X361" s="270">
        <f t="shared" si="26"/>
        <v>0</v>
      </c>
      <c r="Y361" s="249"/>
      <c r="Z361" s="249"/>
      <c r="AA361" s="249"/>
      <c r="AB361" s="249"/>
      <c r="AC361" s="249"/>
      <c r="AD361" s="249"/>
      <c r="AE361" s="249"/>
      <c r="AF361" s="249"/>
      <c r="AG361" s="249"/>
      <c r="AH361" s="249"/>
      <c r="AI361" s="249"/>
      <c r="AJ361" s="249"/>
      <c r="AK361" s="249"/>
      <c r="AL361" s="249"/>
      <c r="AR361">
        <f>MINUTE(Table6[[#This Row],[AHT]])</f>
        <v>0</v>
      </c>
      <c r="AS361">
        <f>SECOND(Table6[[#This Row],[AHT]])</f>
        <v>0</v>
      </c>
      <c r="AV361">
        <v>0</v>
      </c>
    </row>
    <row r="362" spans="1:48">
      <c r="A362" s="21">
        <v>45012</v>
      </c>
      <c r="B362" s="17">
        <f>IF(YEAR(Table9[[#This Row],[Date]]) = 2022, WEEKNUM(Table9[[#This Row],[Date]])-13, WEEKNUM(Table9[[#This Row],[Date]])+40)</f>
        <v>53</v>
      </c>
      <c r="C362" s="1" t="s">
        <v>48</v>
      </c>
      <c r="D362" s="1" t="s">
        <v>59</v>
      </c>
      <c r="E362" s="1">
        <v>953</v>
      </c>
      <c r="F362" s="1">
        <v>937</v>
      </c>
      <c r="G362" s="87">
        <f>IFERROR((Table6[[#This Row],[Calls Off]]-E355)/E355,0)</f>
        <v>8.2954545454545461E-2</v>
      </c>
      <c r="H362" s="87">
        <f>IFERROR((Table6[[#This Row],[Calls Ans]]-F355)/F355,0)</f>
        <v>9.5906432748538009E-2</v>
      </c>
      <c r="I362" s="1">
        <f>I360+Table6[[#This Row],[Calls Off]]</f>
        <v>20121</v>
      </c>
      <c r="J362" s="1">
        <f>J360+Table6[[#This Row],[Calls Ans]]</f>
        <v>19134</v>
      </c>
      <c r="K362" s="1">
        <f>K360+Table6[[#This Row],[Calls Off]]</f>
        <v>291727</v>
      </c>
      <c r="L362" s="1">
        <f>L360+Table6[[#This Row],[Calls Ans]]</f>
        <v>224774</v>
      </c>
      <c r="M362" s="18">
        <v>0.97</v>
      </c>
      <c r="N362" s="18">
        <v>0.02</v>
      </c>
      <c r="O362" s="18">
        <v>0.98</v>
      </c>
      <c r="P362" s="18">
        <v>0.6</v>
      </c>
      <c r="Q362" s="193"/>
      <c r="R362" s="214">
        <v>282</v>
      </c>
      <c r="S362" s="153">
        <v>2.4305555555555556E-2</v>
      </c>
      <c r="T362" s="1">
        <v>17</v>
      </c>
      <c r="U362" s="268" t="str">
        <f t="shared" si="23"/>
        <v>Normal</v>
      </c>
      <c r="V362" s="268" t="str">
        <f t="shared" si="24"/>
        <v>Normal</v>
      </c>
      <c r="W362" s="270">
        <f t="shared" si="25"/>
        <v>8.2954545454545461E-2</v>
      </c>
      <c r="X362" s="270">
        <f t="shared" si="26"/>
        <v>9.5906432748538009E-2</v>
      </c>
      <c r="Y362" s="249"/>
      <c r="Z362" s="249"/>
      <c r="AA362" s="249"/>
      <c r="AB362" s="249"/>
      <c r="AC362" s="249"/>
      <c r="AD362" s="249"/>
      <c r="AE362" s="249"/>
      <c r="AF362" s="249"/>
      <c r="AG362" s="249"/>
      <c r="AH362" s="249"/>
      <c r="AI362" s="249"/>
      <c r="AJ362" s="249"/>
      <c r="AK362" s="249"/>
      <c r="AL362" s="249"/>
      <c r="AR362">
        <f>MINUTE(Table6[[#This Row],[AHT]])</f>
        <v>0</v>
      </c>
      <c r="AS362">
        <f>SECOND(Table6[[#This Row],[AHT]])</f>
        <v>0</v>
      </c>
      <c r="AV362">
        <v>282</v>
      </c>
    </row>
    <row r="363" spans="1:48">
      <c r="A363" s="21">
        <v>45013</v>
      </c>
      <c r="B363" s="17">
        <f>IF(YEAR(Table9[[#This Row],[Date]]) = 2022, WEEKNUM(Table9[[#This Row],[Date]])-13, WEEKNUM(Table9[[#This Row],[Date]])+40)</f>
        <v>53</v>
      </c>
      <c r="C363" s="1" t="s">
        <v>49</v>
      </c>
      <c r="D363" s="1" t="s">
        <v>59</v>
      </c>
      <c r="E363" s="1">
        <v>935</v>
      </c>
      <c r="F363" s="1">
        <v>916</v>
      </c>
      <c r="G363" s="87">
        <f>IFERROR((Table6[[#This Row],[Calls Off]]-E355)/E355,0)</f>
        <v>6.25E-2</v>
      </c>
      <c r="H363" s="87">
        <f>IFERROR((Table6[[#This Row],[Calls Ans]]-F355)/F355,0)</f>
        <v>7.1345029239766086E-2</v>
      </c>
      <c r="I363" s="1">
        <f>I362+Table6[[#This Row],[Calls Off]]</f>
        <v>21056</v>
      </c>
      <c r="J363" s="1">
        <f>J362+Table6[[#This Row],[Calls Ans]]</f>
        <v>20050</v>
      </c>
      <c r="K363" s="1">
        <f>K362+Table6[[#This Row],[Calls Off]]</f>
        <v>292662</v>
      </c>
      <c r="L363" s="1">
        <f>L362+Table6[[#This Row],[Calls Ans]]</f>
        <v>225690</v>
      </c>
      <c r="M363" s="18">
        <v>0.95</v>
      </c>
      <c r="N363" s="18">
        <v>0.02</v>
      </c>
      <c r="O363" s="18">
        <v>0.98</v>
      </c>
      <c r="P363" s="18">
        <v>0.55000000000000004</v>
      </c>
      <c r="Q363" s="193"/>
      <c r="R363" s="214">
        <v>264</v>
      </c>
      <c r="S363" s="153">
        <v>6.2499999999999995E-3</v>
      </c>
      <c r="T363" s="1">
        <v>17</v>
      </c>
      <c r="U363" s="268" t="str">
        <f t="shared" si="23"/>
        <v>Normal</v>
      </c>
      <c r="V363" s="268" t="str">
        <f t="shared" si="24"/>
        <v>Normal</v>
      </c>
      <c r="W363" s="270">
        <f t="shared" si="25"/>
        <v>6.25E-2</v>
      </c>
      <c r="X363" s="270">
        <f t="shared" si="26"/>
        <v>7.1345029239766086E-2</v>
      </c>
      <c r="Y363" s="249"/>
      <c r="Z363" s="249"/>
      <c r="AA363" s="249"/>
      <c r="AB363" s="249"/>
      <c r="AC363" s="249"/>
      <c r="AD363" s="249"/>
      <c r="AE363" s="249"/>
      <c r="AF363" s="249"/>
      <c r="AG363" s="249"/>
      <c r="AH363" s="249"/>
      <c r="AI363" s="249"/>
      <c r="AJ363" s="249"/>
      <c r="AK363" s="249"/>
      <c r="AL363" s="249"/>
      <c r="AR363">
        <f>MINUTE(Table6[[#This Row],[AHT]])</f>
        <v>0</v>
      </c>
      <c r="AS363">
        <f>SECOND(Table6[[#This Row],[AHT]])</f>
        <v>0</v>
      </c>
      <c r="AV363">
        <v>264</v>
      </c>
    </row>
    <row r="364" spans="1:48">
      <c r="A364" s="21">
        <v>45014</v>
      </c>
      <c r="B364" s="17">
        <f>IF(YEAR(Table9[[#This Row],[Date]]) = 2022, WEEKNUM(Table9[[#This Row],[Date]])-13, WEEKNUM(Table9[[#This Row],[Date]])+40)</f>
        <v>53</v>
      </c>
      <c r="C364" s="1" t="s">
        <v>50</v>
      </c>
      <c r="D364" s="1" t="s">
        <v>59</v>
      </c>
      <c r="E364" s="1">
        <v>967</v>
      </c>
      <c r="F364" s="1">
        <v>900</v>
      </c>
      <c r="G364" s="87">
        <f>IFERROR((Table6[[#This Row],[Calls Off]]-E357)/E357,0)</f>
        <v>-0.18739495798319328</v>
      </c>
      <c r="H364" s="87">
        <f>IFERROR((Table6[[#This Row],[Calls Ans]]-F357)/F357,0)</f>
        <v>-0.18552036199095023</v>
      </c>
      <c r="I364" s="1">
        <f>I363+Table6[[#This Row],[Calls Off]]</f>
        <v>22023</v>
      </c>
      <c r="J364" s="1">
        <f>J363+Table6[[#This Row],[Calls Ans]]</f>
        <v>20950</v>
      </c>
      <c r="K364" s="1">
        <f>K363+Table6[[#This Row],[Calls Off]]</f>
        <v>293629</v>
      </c>
      <c r="L364" s="1">
        <f>L363+Table6[[#This Row],[Calls Ans]]</f>
        <v>226590</v>
      </c>
      <c r="M364" s="18">
        <v>0.81</v>
      </c>
      <c r="N364" s="18">
        <v>7.0000000000000007E-2</v>
      </c>
      <c r="O364" s="18">
        <v>0.93</v>
      </c>
      <c r="P364" s="18">
        <v>0.69</v>
      </c>
      <c r="Q364" s="193"/>
      <c r="R364" s="214">
        <v>280</v>
      </c>
      <c r="S364" s="153">
        <v>1.8749999999999999E-2</v>
      </c>
      <c r="T364" s="1">
        <v>14</v>
      </c>
      <c r="U364" s="268" t="str">
        <f t="shared" si="23"/>
        <v>Normal</v>
      </c>
      <c r="V364" s="268" t="str">
        <f t="shared" si="24"/>
        <v>Normal</v>
      </c>
      <c r="W364" s="270">
        <f t="shared" si="25"/>
        <v>-0.18739495798319328</v>
      </c>
      <c r="X364" s="270">
        <f t="shared" si="26"/>
        <v>-0.18552036199095023</v>
      </c>
      <c r="Y364" s="249"/>
      <c r="Z364" s="249"/>
      <c r="AA364" s="249"/>
      <c r="AB364" s="249"/>
      <c r="AC364" s="249"/>
      <c r="AD364" s="249"/>
      <c r="AE364" s="249"/>
      <c r="AF364" s="249"/>
      <c r="AG364" s="249"/>
      <c r="AH364" s="249"/>
      <c r="AI364" s="249"/>
      <c r="AJ364" s="249"/>
      <c r="AK364" s="249"/>
      <c r="AL364" s="249"/>
      <c r="AR364">
        <f>MINUTE(Table6[[#This Row],[AHT]])</f>
        <v>0</v>
      </c>
      <c r="AS364">
        <f>SECOND(Table6[[#This Row],[AHT]])</f>
        <v>0</v>
      </c>
      <c r="AV364">
        <v>280</v>
      </c>
    </row>
    <row r="365" spans="1:48">
      <c r="A365" s="21">
        <v>45015</v>
      </c>
      <c r="B365" s="17">
        <f>IF(YEAR(Table9[[#This Row],[Date]]) = 2022, WEEKNUM(Table9[[#This Row],[Date]])-13, WEEKNUM(Table9[[#This Row],[Date]])+40)</f>
        <v>53</v>
      </c>
      <c r="C365" s="1" t="s">
        <v>51</v>
      </c>
      <c r="D365" s="1" t="s">
        <v>59</v>
      </c>
      <c r="E365" s="1">
        <v>899</v>
      </c>
      <c r="F365" s="1">
        <v>847</v>
      </c>
      <c r="G365" s="87">
        <f>IFERROR((Table6[[#This Row],[Calls Off]]-E358)/E358,0)</f>
        <v>-5.5309734513274336E-3</v>
      </c>
      <c r="H365" s="87">
        <f>IFERROR((Table6[[#This Row],[Calls Ans]]-F358)/F358,0)</f>
        <v>-1.1792452830188679E-3</v>
      </c>
      <c r="I365" s="1">
        <f>Table6[[#This Row],[Calls Off]]+I364</f>
        <v>22922</v>
      </c>
      <c r="J365" s="1">
        <f>Table6[[#This Row],[Calls Ans]]+J364</f>
        <v>21797</v>
      </c>
      <c r="K365" s="1">
        <f>K364+Table6[[#This Row],[Calls Off]]</f>
        <v>294528</v>
      </c>
      <c r="L365" s="1">
        <f>L364+Table6[[#This Row],[Calls Ans]]</f>
        <v>227437</v>
      </c>
      <c r="M365" s="18">
        <v>0.87</v>
      </c>
      <c r="N365" s="18">
        <v>0.06</v>
      </c>
      <c r="O365" s="18">
        <v>0.94</v>
      </c>
      <c r="P365" s="18">
        <v>0.69</v>
      </c>
      <c r="Q365" s="193"/>
      <c r="R365" s="214">
        <v>276</v>
      </c>
      <c r="S365" s="153">
        <v>1.2499999999999999E-2</v>
      </c>
      <c r="T365" s="1">
        <v>13</v>
      </c>
      <c r="U365" s="268" t="str">
        <f t="shared" si="23"/>
        <v>Normal</v>
      </c>
      <c r="V365" s="268" t="str">
        <f t="shared" si="24"/>
        <v>Normal</v>
      </c>
      <c r="W365" s="270">
        <f t="shared" si="25"/>
        <v>-5.5309734513274336E-3</v>
      </c>
      <c r="X365" s="270">
        <f t="shared" si="26"/>
        <v>-1.1792452830188679E-3</v>
      </c>
      <c r="Y365" s="249"/>
      <c r="Z365" s="249"/>
      <c r="AA365" s="249"/>
      <c r="AB365" s="249"/>
      <c r="AC365" s="249"/>
      <c r="AD365" s="249"/>
      <c r="AE365" s="249"/>
      <c r="AF365" s="249"/>
      <c r="AG365" s="249"/>
      <c r="AH365" s="249"/>
      <c r="AI365" s="249"/>
      <c r="AJ365" s="249"/>
      <c r="AK365" s="249"/>
      <c r="AL365" s="249"/>
      <c r="AR365">
        <f>MINUTE(Table6[[#This Row],[AHT]])</f>
        <v>0</v>
      </c>
      <c r="AS365">
        <f>SECOND(Table6[[#This Row],[AHT]])</f>
        <v>0</v>
      </c>
      <c r="AV365">
        <v>276</v>
      </c>
    </row>
    <row r="366" spans="1:48">
      <c r="A366" s="21">
        <v>45016</v>
      </c>
      <c r="B366" s="17">
        <f>IF(YEAR(Table9[[#This Row],[Date]]) = 2022, WEEKNUM(Table9[[#This Row],[Date]])-13, WEEKNUM(Table9[[#This Row],[Date]])+40)</f>
        <v>53</v>
      </c>
      <c r="C366" s="1" t="s">
        <v>52</v>
      </c>
      <c r="D366" s="1" t="s">
        <v>59</v>
      </c>
      <c r="E366" s="1">
        <v>903</v>
      </c>
      <c r="F366" s="1">
        <v>858</v>
      </c>
      <c r="G366" s="87">
        <f>IFERROR((Table6[[#This Row],[Calls Off]]-E359)/E359,0)</f>
        <v>-2.2727272727272728E-2</v>
      </c>
      <c r="H366" s="87">
        <f>IFERROR((Table6[[#This Row],[Calls Ans]]-F359)/F359,0)</f>
        <v>-4.0268456375838924E-2</v>
      </c>
      <c r="I366" s="1">
        <f>I365+Table6[[#This Row],[Calls Off]]</f>
        <v>23825</v>
      </c>
      <c r="J366" s="1">
        <f>J365+Table6[[#This Row],[Calls Ans]]</f>
        <v>22655</v>
      </c>
      <c r="K366" s="1">
        <f>K365+Table6[[#This Row],[Calls Off]]</f>
        <v>295431</v>
      </c>
      <c r="L366" s="1">
        <f>L365+Table6[[#This Row],[Calls Ans]]</f>
        <v>228295</v>
      </c>
      <c r="M366" s="18">
        <v>0.89</v>
      </c>
      <c r="N366" s="18">
        <v>0.05</v>
      </c>
      <c r="O366" s="18">
        <v>0.95</v>
      </c>
      <c r="P366" s="18">
        <v>0.69</v>
      </c>
      <c r="Q366" s="193"/>
      <c r="R366" s="214">
        <v>271</v>
      </c>
      <c r="S366" s="153">
        <v>1.1805555555555555E-2</v>
      </c>
      <c r="T366" s="1">
        <v>13</v>
      </c>
      <c r="U366" s="268" t="str">
        <f t="shared" si="23"/>
        <v>Normal</v>
      </c>
      <c r="V366" s="268" t="str">
        <f t="shared" si="24"/>
        <v>Normal</v>
      </c>
      <c r="W366" s="270">
        <f t="shared" si="25"/>
        <v>-2.2727272727272728E-2</v>
      </c>
      <c r="X366" s="270">
        <f t="shared" si="26"/>
        <v>-4.0268456375838924E-2</v>
      </c>
      <c r="Y366" s="249"/>
      <c r="Z366" s="249"/>
      <c r="AA366" s="249"/>
      <c r="AB366" s="249"/>
      <c r="AC366" s="249"/>
      <c r="AD366" s="249"/>
      <c r="AE366" s="249"/>
      <c r="AF366" s="249"/>
      <c r="AG366" s="249"/>
      <c r="AH366" s="249"/>
      <c r="AI366" s="249"/>
      <c r="AJ366" s="249"/>
      <c r="AK366" s="249"/>
      <c r="AL366" s="249"/>
      <c r="AR366">
        <f>MINUTE(Table6[[#This Row],[AHT]])</f>
        <v>0</v>
      </c>
      <c r="AS366">
        <f>SECOND(Table6[[#This Row],[AHT]])</f>
        <v>0</v>
      </c>
      <c r="AV366">
        <v>271</v>
      </c>
    </row>
  </sheetData>
  <mergeCells count="6">
    <mergeCell ref="AO315:AP315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O108:AO109" xr:uid="{FBA57D66-F6AC-40AC-964A-9278872D5B4B}">
      <formula1>period_JAM</formula1>
    </dataValidation>
    <dataValidation type="list" allowBlank="1" showInputMessage="1" showErrorMessage="1" sqref="AT5:AT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AQ367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4.5"/>
  <cols>
    <col min="2" max="2" width="16.36328125" bestFit="1" customWidth="1"/>
    <col min="3" max="3" width="19" bestFit="1" customWidth="1"/>
    <col min="4" max="4" width="5.08984375" customWidth="1"/>
    <col min="5" max="5" width="10" customWidth="1"/>
    <col min="6" max="6" width="10.36328125" customWidth="1"/>
    <col min="7" max="7" width="27.54296875" bestFit="1" customWidth="1"/>
    <col min="8" max="8" width="24.1796875" bestFit="1" customWidth="1"/>
    <col min="9" max="9" width="21.81640625" bestFit="1" customWidth="1"/>
    <col min="10" max="10" width="18.36328125" bestFit="1" customWidth="1"/>
    <col min="11" max="11" width="21" bestFit="1" customWidth="1"/>
    <col min="12" max="12" width="17.6328125" bestFit="1" customWidth="1"/>
    <col min="16" max="16" width="8.90625" customWidth="1"/>
    <col min="21" max="21" width="52.36328125" bestFit="1" customWidth="1"/>
    <col min="22" max="22" width="48" bestFit="1" customWidth="1"/>
    <col min="23" max="23" width="32.7265625" bestFit="1" customWidth="1"/>
    <col min="24" max="24" width="28.36328125" bestFit="1" customWidth="1"/>
    <col min="26" max="26" width="12.81640625" bestFit="1" customWidth="1"/>
    <col min="27" max="28" width="13.1796875" bestFit="1" customWidth="1"/>
    <col min="37" max="37" width="9.81640625" customWidth="1"/>
    <col min="38" max="38" width="21.81640625" bestFit="1" customWidth="1"/>
    <col min="39" max="39" width="23.1796875" bestFit="1" customWidth="1"/>
    <col min="40" max="40" width="11.26953125" bestFit="1" customWidth="1"/>
    <col min="44" max="44" width="9.6328125" bestFit="1" customWidth="1"/>
  </cols>
  <sheetData>
    <row r="1" spans="1:41">
      <c r="A1" s="25" t="s">
        <v>35</v>
      </c>
      <c r="B1" s="25" t="s">
        <v>177</v>
      </c>
      <c r="C1" s="28" t="s">
        <v>54</v>
      </c>
      <c r="D1" s="28" t="s">
        <v>58</v>
      </c>
      <c r="E1" s="28" t="s">
        <v>57</v>
      </c>
      <c r="F1" s="28" t="s">
        <v>33</v>
      </c>
      <c r="G1" s="28" t="s">
        <v>155</v>
      </c>
      <c r="H1" s="28" t="s">
        <v>156</v>
      </c>
      <c r="I1" s="28" t="s">
        <v>55</v>
      </c>
      <c r="J1" s="28" t="s">
        <v>56</v>
      </c>
      <c r="K1" s="28" t="s">
        <v>152</v>
      </c>
      <c r="L1" s="28" t="s">
        <v>151</v>
      </c>
      <c r="M1" s="28" t="s">
        <v>32</v>
      </c>
      <c r="N1" s="28" t="s">
        <v>5</v>
      </c>
      <c r="O1" s="28" t="s">
        <v>4</v>
      </c>
      <c r="P1" s="28" t="s">
        <v>178</v>
      </c>
      <c r="Q1" s="29" t="s">
        <v>7</v>
      </c>
      <c r="R1" s="25" t="s">
        <v>81</v>
      </c>
      <c r="S1" s="25" t="s">
        <v>82</v>
      </c>
      <c r="T1" s="25" t="s">
        <v>79</v>
      </c>
      <c r="U1" s="25" t="s">
        <v>157</v>
      </c>
      <c r="V1" s="25" t="s">
        <v>158</v>
      </c>
      <c r="W1" s="25" t="s">
        <v>159</v>
      </c>
      <c r="X1" s="25" t="s">
        <v>160</v>
      </c>
    </row>
    <row r="2" spans="1:41" s="50" customFormat="1">
      <c r="A2" s="54">
        <v>44652</v>
      </c>
      <c r="B2" s="131">
        <f>IF(YEAR(Table9[[#This Row],[Date]]) = 2022, WEEKNUM(Table9[[#This Row],[Date]])-13, WEEKNUM(Table9[[#This Row],[Date]])+40)</f>
        <v>1</v>
      </c>
      <c r="C2" s="51" t="s">
        <v>52</v>
      </c>
      <c r="D2" s="51" t="s">
        <v>59</v>
      </c>
      <c r="E2" s="52">
        <v>976</v>
      </c>
      <c r="F2" s="52">
        <v>860</v>
      </c>
      <c r="G2" s="81">
        <v>0.21544209215442092</v>
      </c>
      <c r="H2" s="81">
        <v>0.14513981358189082</v>
      </c>
      <c r="I2" s="52">
        <v>976</v>
      </c>
      <c r="J2" s="52">
        <v>860</v>
      </c>
      <c r="K2" s="52">
        <v>976</v>
      </c>
      <c r="L2" s="52">
        <v>860</v>
      </c>
      <c r="M2" s="53">
        <v>0.57999999999999996</v>
      </c>
      <c r="N2" s="53">
        <v>0.12</v>
      </c>
      <c r="O2" s="53">
        <v>0.88</v>
      </c>
      <c r="P2" s="53">
        <v>0.59</v>
      </c>
      <c r="Q2" s="53">
        <v>0.74</v>
      </c>
      <c r="R2" s="222">
        <v>0</v>
      </c>
      <c r="S2" s="222">
        <v>0</v>
      </c>
      <c r="T2" s="222">
        <v>0</v>
      </c>
      <c r="U2" s="271" t="str">
        <f>IF(OR(G2&lt;$AA$5,G2&gt;$AB$5), "Outlier", "Normal")</f>
        <v>Normal</v>
      </c>
      <c r="V2" s="271" t="str">
        <f>IF(OR(H2&lt;$AA$6,H2&gt;$AB$6), "Outlier", "Normal")</f>
        <v>Normal</v>
      </c>
      <c r="W2" s="270">
        <f>IF(U2="Normal",$G2,IF($G2&lt;150%, $G2, $AA$9))</f>
        <v>0.21544209215442092</v>
      </c>
      <c r="X2" s="270">
        <f>IF(V2="Normal",$H2,IF($H2&lt;150%, $H2, $AE$9))</f>
        <v>0.14513981358189082</v>
      </c>
    </row>
    <row r="3" spans="1:41">
      <c r="A3" s="21">
        <v>44653</v>
      </c>
      <c r="B3" s="17">
        <f>IF(YEAR(Table9[[#This Row],[Date]]) = 2022, WEEKNUM(Table9[[#This Row],[Date]])-13, WEEKNUM(Table9[[#This Row],[Date]])+40)</f>
        <v>1</v>
      </c>
      <c r="C3" s="35" t="s">
        <v>53</v>
      </c>
      <c r="D3" s="35" t="s">
        <v>59</v>
      </c>
      <c r="E3" s="1">
        <v>471</v>
      </c>
      <c r="F3" s="1">
        <v>441</v>
      </c>
      <c r="G3" s="67">
        <v>8.5653104925053538E-3</v>
      </c>
      <c r="H3" s="67">
        <v>-0.02</v>
      </c>
      <c r="I3" s="1">
        <v>1447</v>
      </c>
      <c r="J3" s="1">
        <v>1301</v>
      </c>
      <c r="K3" s="1">
        <v>1447</v>
      </c>
      <c r="L3" s="1">
        <v>1301</v>
      </c>
      <c r="M3" s="18">
        <v>0.82</v>
      </c>
      <c r="N3" s="18">
        <v>0.06</v>
      </c>
      <c r="O3" s="18">
        <v>0.94</v>
      </c>
      <c r="P3" s="18">
        <v>0.36</v>
      </c>
      <c r="Q3" s="18">
        <v>0.69</v>
      </c>
      <c r="R3" s="17">
        <v>0</v>
      </c>
      <c r="S3" s="17">
        <v>0</v>
      </c>
      <c r="T3" s="17">
        <v>0</v>
      </c>
      <c r="U3" s="1" t="str">
        <f t="shared" ref="U3:U66" si="0">IF(OR(G3&lt;$AA$5,G3&gt;$AB$5), "Outlier", "Normal")</f>
        <v>Normal</v>
      </c>
      <c r="V3" s="1" t="str">
        <f t="shared" ref="V3:V66" si="1">IF(OR(H3&lt;$AA$6,H3&gt;$AB$6), "Outlier", "Normal")</f>
        <v>Normal</v>
      </c>
      <c r="W3" s="19">
        <f t="shared" ref="W3:W66" si="2">IF(U3="Normal",$G3,IF($G3&lt;150%, $G3, $AA$9))</f>
        <v>8.5653104925053538E-3</v>
      </c>
      <c r="X3" s="19">
        <f t="shared" ref="X3:X66" si="3">IF(V3="Normal",$H3,IF($H3&lt;150%, $H3, $AE$9))</f>
        <v>-0.02</v>
      </c>
      <c r="Z3" s="329" t="s">
        <v>161</v>
      </c>
      <c r="AA3" s="329"/>
      <c r="AB3" s="329"/>
      <c r="AD3" s="329" t="s">
        <v>162</v>
      </c>
      <c r="AE3" s="329"/>
      <c r="AF3" s="247"/>
      <c r="AG3" s="329" t="s">
        <v>163</v>
      </c>
      <c r="AH3" s="329"/>
    </row>
    <row r="4" spans="1:41">
      <c r="A4" s="21">
        <v>44654</v>
      </c>
      <c r="B4" s="17">
        <f>IF(YEAR(Table9[[#This Row],[Date]]) = 2022, WEEKNUM(Table9[[#This Row],[Date]])-13, WEEKNUM(Table9[[#This Row],[Date]])+40)</f>
        <v>2</v>
      </c>
      <c r="C4" s="35" t="s">
        <v>47</v>
      </c>
      <c r="D4" s="35" t="s">
        <v>59</v>
      </c>
      <c r="E4" s="1">
        <v>0</v>
      </c>
      <c r="F4" s="1">
        <v>0</v>
      </c>
      <c r="G4" s="67">
        <v>0</v>
      </c>
      <c r="H4" s="67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7">
        <v>0</v>
      </c>
      <c r="S4" s="17">
        <v>0</v>
      </c>
      <c r="T4" s="17">
        <v>0</v>
      </c>
      <c r="U4" s="1" t="str">
        <f t="shared" si="0"/>
        <v>Normal</v>
      </c>
      <c r="V4" s="1" t="str">
        <f t="shared" si="1"/>
        <v>Normal</v>
      </c>
      <c r="W4" s="19">
        <f t="shared" si="2"/>
        <v>0</v>
      </c>
      <c r="X4" s="19">
        <f t="shared" si="3"/>
        <v>0</v>
      </c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-6.0283687943262408E-2</v>
      </c>
      <c r="AF4" s="247"/>
      <c r="AG4" s="1" t="s">
        <v>167</v>
      </c>
      <c r="AH4" s="248">
        <f>_xlfn.QUARTILE.INC(H:H, 1)</f>
        <v>-8.143322475570032E-2</v>
      </c>
    </row>
    <row r="5" spans="1:41">
      <c r="A5" s="23">
        <v>44655</v>
      </c>
      <c r="B5" s="121">
        <f>IF(YEAR(Table9[[#This Row],[Date]]) = 2022, WEEKNUM(Table9[[#This Row],[Date]])-13, WEEKNUM(Table9[[#This Row],[Date]])+40)</f>
        <v>2</v>
      </c>
      <c r="C5" s="35" t="s">
        <v>48</v>
      </c>
      <c r="D5" s="35" t="s">
        <v>59</v>
      </c>
      <c r="E5" s="38">
        <v>1090</v>
      </c>
      <c r="F5" s="38">
        <v>963</v>
      </c>
      <c r="G5" s="85">
        <v>0.14857744994731295</v>
      </c>
      <c r="H5" s="85">
        <v>0.12763466042154567</v>
      </c>
      <c r="I5" s="38">
        <v>2537</v>
      </c>
      <c r="J5" s="38">
        <v>2264</v>
      </c>
      <c r="K5" s="38">
        <v>2537</v>
      </c>
      <c r="L5" s="38">
        <v>2264</v>
      </c>
      <c r="M5" s="48">
        <v>0.65</v>
      </c>
      <c r="N5" s="48">
        <v>0.12</v>
      </c>
      <c r="O5" s="48">
        <v>0.88</v>
      </c>
      <c r="P5" s="48">
        <v>0.6</v>
      </c>
      <c r="Q5" s="48">
        <v>0.69</v>
      </c>
      <c r="R5" s="121">
        <v>0</v>
      </c>
      <c r="S5" s="121">
        <v>0</v>
      </c>
      <c r="T5" s="17">
        <v>0</v>
      </c>
      <c r="U5" s="1" t="str">
        <f t="shared" si="0"/>
        <v>Normal</v>
      </c>
      <c r="V5" s="1" t="str">
        <f t="shared" si="1"/>
        <v>Normal</v>
      </c>
      <c r="W5" s="19">
        <f t="shared" si="2"/>
        <v>0.14857744994731295</v>
      </c>
      <c r="X5" s="19">
        <f t="shared" si="3"/>
        <v>0.12763466042154567</v>
      </c>
      <c r="Z5" s="203" t="s">
        <v>168</v>
      </c>
      <c r="AA5" s="19">
        <f>AE4-1.5*AE6</f>
        <v>-0.23612588652482269</v>
      </c>
      <c r="AB5" s="19">
        <f>AE5+1.5*AE6</f>
        <v>0.23278664302600471</v>
      </c>
      <c r="AD5" s="1" t="s">
        <v>169</v>
      </c>
      <c r="AE5" s="248">
        <f>_xlfn.QUARTILE.INC(G:G, 3)</f>
        <v>5.6944444444444443E-2</v>
      </c>
      <c r="AF5" s="247"/>
      <c r="AG5" s="1" t="s">
        <v>169</v>
      </c>
      <c r="AH5" s="248">
        <f>_xlfn.QUARTILE.INC(H:H, 3)</f>
        <v>6.5948855989232835E-2</v>
      </c>
    </row>
    <row r="6" spans="1:41">
      <c r="A6" s="23">
        <v>44656</v>
      </c>
      <c r="B6" s="121">
        <f>IF(YEAR(Table9[[#This Row],[Date]]) = 2022, WEEKNUM(Table9[[#This Row],[Date]])-13, WEEKNUM(Table9[[#This Row],[Date]])+40)</f>
        <v>2</v>
      </c>
      <c r="C6" s="35" t="s">
        <v>49</v>
      </c>
      <c r="D6" s="35" t="s">
        <v>59</v>
      </c>
      <c r="E6" s="38">
        <v>934</v>
      </c>
      <c r="F6" s="38">
        <v>842</v>
      </c>
      <c r="G6" s="85">
        <v>3.8932146829810901E-2</v>
      </c>
      <c r="H6" s="85">
        <v>1.0804321728691477E-2</v>
      </c>
      <c r="I6" s="38">
        <v>3471</v>
      </c>
      <c r="J6" s="38">
        <v>3106</v>
      </c>
      <c r="K6" s="38">
        <v>3471</v>
      </c>
      <c r="L6" s="38">
        <v>3106</v>
      </c>
      <c r="M6" s="48">
        <v>0.7</v>
      </c>
      <c r="N6" s="48">
        <v>0.1</v>
      </c>
      <c r="O6" s="48">
        <v>0.9</v>
      </c>
      <c r="P6" s="48">
        <v>0.52</v>
      </c>
      <c r="Q6" s="48">
        <v>0.69</v>
      </c>
      <c r="R6" s="121">
        <v>0</v>
      </c>
      <c r="S6" s="121">
        <v>0</v>
      </c>
      <c r="T6" s="17">
        <v>0</v>
      </c>
      <c r="U6" s="1" t="str">
        <f t="shared" si="0"/>
        <v>Normal</v>
      </c>
      <c r="V6" s="1" t="str">
        <f t="shared" si="1"/>
        <v>Normal</v>
      </c>
      <c r="W6" s="19">
        <f t="shared" si="2"/>
        <v>3.8932146829810901E-2</v>
      </c>
      <c r="X6" s="19">
        <f t="shared" si="3"/>
        <v>1.0804321728691477E-2</v>
      </c>
      <c r="Z6" s="203" t="s">
        <v>33</v>
      </c>
      <c r="AA6" s="19">
        <f>AH4-1.5*AH6</f>
        <v>-0.30250634587310005</v>
      </c>
      <c r="AB6" s="19">
        <f>AH5+1.5*AH6</f>
        <v>0.28702197710663258</v>
      </c>
      <c r="AD6" s="68" t="s">
        <v>170</v>
      </c>
      <c r="AE6" s="148">
        <f>AE5-AE4</f>
        <v>0.11722813238770685</v>
      </c>
      <c r="AF6" s="247"/>
      <c r="AG6" s="68" t="s">
        <v>170</v>
      </c>
      <c r="AH6" s="148">
        <f>AH5-AH4</f>
        <v>0.14738208074493314</v>
      </c>
      <c r="AN6" t="s">
        <v>67</v>
      </c>
      <c r="AO6" s="16">
        <v>44655</v>
      </c>
    </row>
    <row r="7" spans="1:41">
      <c r="A7" s="23">
        <v>44657</v>
      </c>
      <c r="B7" s="121">
        <f>IF(YEAR(Table9[[#This Row],[Date]]) = 2022, WEEKNUM(Table9[[#This Row],[Date]])-13, WEEKNUM(Table9[[#This Row],[Date]])+40)</f>
        <v>2</v>
      </c>
      <c r="C7" s="35" t="s">
        <v>50</v>
      </c>
      <c r="D7" s="35" t="s">
        <v>59</v>
      </c>
      <c r="E7" s="38">
        <v>795</v>
      </c>
      <c r="F7" s="38">
        <v>761</v>
      </c>
      <c r="G7" s="85">
        <v>0</v>
      </c>
      <c r="H7" s="85">
        <v>0</v>
      </c>
      <c r="I7" s="38">
        <v>4266</v>
      </c>
      <c r="J7" s="38">
        <v>3867</v>
      </c>
      <c r="K7" s="38">
        <v>4266</v>
      </c>
      <c r="L7" s="38">
        <v>3867</v>
      </c>
      <c r="M7" s="48">
        <v>0.94</v>
      </c>
      <c r="N7" s="48">
        <v>0.04</v>
      </c>
      <c r="O7" s="48">
        <v>0.96</v>
      </c>
      <c r="P7" s="48">
        <v>0.35</v>
      </c>
      <c r="Q7" s="48">
        <v>0.77</v>
      </c>
      <c r="R7" s="121">
        <v>0</v>
      </c>
      <c r="S7" s="121">
        <v>0</v>
      </c>
      <c r="T7" s="17">
        <v>0</v>
      </c>
      <c r="U7" s="1" t="str">
        <f t="shared" si="0"/>
        <v>Normal</v>
      </c>
      <c r="V7" s="1" t="str">
        <f t="shared" si="1"/>
        <v>Normal</v>
      </c>
      <c r="W7" s="19">
        <f t="shared" si="2"/>
        <v>0</v>
      </c>
      <c r="X7" s="19">
        <f t="shared" si="3"/>
        <v>0</v>
      </c>
      <c r="AF7" s="247"/>
      <c r="AG7" s="247"/>
      <c r="AH7" s="247"/>
      <c r="AN7" t="s">
        <v>68</v>
      </c>
      <c r="AO7" s="16">
        <v>45012</v>
      </c>
    </row>
    <row r="8" spans="1:41">
      <c r="A8" s="23">
        <v>44658</v>
      </c>
      <c r="B8" s="121">
        <f>IF(YEAR(Table9[[#This Row],[Date]]) = 2022, WEEKNUM(Table9[[#This Row],[Date]])-13, WEEKNUM(Table9[[#This Row],[Date]])+40)</f>
        <v>2</v>
      </c>
      <c r="C8" s="35" t="s">
        <v>51</v>
      </c>
      <c r="D8" s="35" t="s">
        <v>59</v>
      </c>
      <c r="E8" s="38">
        <v>845</v>
      </c>
      <c r="F8" s="38">
        <v>742</v>
      </c>
      <c r="G8" s="85">
        <v>-7.7510917030567686E-2</v>
      </c>
      <c r="H8" s="85">
        <v>-0.13418903150525088</v>
      </c>
      <c r="I8" s="38">
        <v>5111</v>
      </c>
      <c r="J8" s="38">
        <v>4609</v>
      </c>
      <c r="K8" s="38">
        <v>5111</v>
      </c>
      <c r="L8" s="38">
        <v>4609</v>
      </c>
      <c r="M8" s="48">
        <v>0.7</v>
      </c>
      <c r="N8" s="48">
        <v>0.12</v>
      </c>
      <c r="O8" s="48">
        <v>0.88</v>
      </c>
      <c r="P8" s="48">
        <v>0.47</v>
      </c>
      <c r="Q8" s="48">
        <v>0.74</v>
      </c>
      <c r="R8" s="121">
        <v>0</v>
      </c>
      <c r="S8" s="121">
        <v>0</v>
      </c>
      <c r="T8" s="17">
        <v>0</v>
      </c>
      <c r="U8" s="1" t="str">
        <f t="shared" si="0"/>
        <v>Normal</v>
      </c>
      <c r="V8" s="1" t="str">
        <f t="shared" si="1"/>
        <v>Normal</v>
      </c>
      <c r="W8" s="19">
        <f t="shared" si="2"/>
        <v>-7.7510917030567686E-2</v>
      </c>
      <c r="X8" s="19">
        <f t="shared" si="3"/>
        <v>-0.13418903150525088</v>
      </c>
      <c r="Z8" s="325" t="s">
        <v>171</v>
      </c>
      <c r="AA8" s="327"/>
      <c r="AD8" s="325" t="s">
        <v>172</v>
      </c>
      <c r="AE8" s="327"/>
      <c r="AF8" s="247"/>
      <c r="AG8" s="247"/>
      <c r="AH8" s="247"/>
    </row>
    <row r="9" spans="1:41">
      <c r="A9" s="23">
        <v>44659</v>
      </c>
      <c r="B9" s="121">
        <f>IF(YEAR(Table9[[#This Row],[Date]]) = 2022, WEEKNUM(Table9[[#This Row],[Date]])-13, WEEKNUM(Table9[[#This Row],[Date]])+40)</f>
        <v>2</v>
      </c>
      <c r="C9" s="35" t="s">
        <v>52</v>
      </c>
      <c r="D9" s="35" t="s">
        <v>59</v>
      </c>
      <c r="E9" s="38">
        <v>835</v>
      </c>
      <c r="F9" s="38">
        <v>780</v>
      </c>
      <c r="G9" s="85">
        <v>-0.14446721311475411</v>
      </c>
      <c r="H9" s="85">
        <v>-9.3023255813953487E-2</v>
      </c>
      <c r="I9" s="38">
        <v>5946</v>
      </c>
      <c r="J9" s="38">
        <v>5389</v>
      </c>
      <c r="K9" s="38">
        <v>5946</v>
      </c>
      <c r="L9" s="38">
        <v>5389</v>
      </c>
      <c r="M9" s="48">
        <v>0.83</v>
      </c>
      <c r="N9" s="48">
        <v>7.0000000000000007E-2</v>
      </c>
      <c r="O9" s="48">
        <v>0.93</v>
      </c>
      <c r="P9" s="48">
        <v>0.47</v>
      </c>
      <c r="Q9" s="48">
        <v>0.76</v>
      </c>
      <c r="R9" s="121">
        <v>0</v>
      </c>
      <c r="S9" s="121">
        <v>0</v>
      </c>
      <c r="T9" s="17">
        <v>0</v>
      </c>
      <c r="U9" s="1" t="str">
        <f t="shared" si="0"/>
        <v>Normal</v>
      </c>
      <c r="V9" s="1" t="str">
        <f t="shared" si="1"/>
        <v>Normal</v>
      </c>
      <c r="W9" s="19">
        <f t="shared" si="2"/>
        <v>-0.14446721311475411</v>
      </c>
      <c r="X9" s="19">
        <f t="shared" si="3"/>
        <v>-9.3023255813953487E-2</v>
      </c>
      <c r="Z9" s="1" t="s">
        <v>173</v>
      </c>
      <c r="AA9" s="67">
        <f>AVERAGEIF(G2:G367,"&lt;&gt;0")</f>
        <v>1.4244428795930124E-2</v>
      </c>
      <c r="AD9" s="1" t="s">
        <v>173</v>
      </c>
      <c r="AE9" s="67">
        <f>AVERAGEIF(H2:H367, "&lt;&gt;0")</f>
        <v>4.4288000120300104E-2</v>
      </c>
      <c r="AF9" s="247"/>
      <c r="AG9" s="247"/>
      <c r="AH9" s="247"/>
    </row>
    <row r="10" spans="1:41">
      <c r="A10" s="23">
        <v>44660</v>
      </c>
      <c r="B10" s="121">
        <f>IF(YEAR(Table9[[#This Row],[Date]]) = 2022, WEEKNUM(Table9[[#This Row],[Date]])-13, WEEKNUM(Table9[[#This Row],[Date]])+40)</f>
        <v>2</v>
      </c>
      <c r="C10" s="35" t="s">
        <v>53</v>
      </c>
      <c r="D10" s="35" t="s">
        <v>59</v>
      </c>
      <c r="E10" s="38">
        <v>537</v>
      </c>
      <c r="F10" s="38">
        <v>482</v>
      </c>
      <c r="G10" s="85">
        <v>0.14012738853503184</v>
      </c>
      <c r="H10" s="85">
        <v>9.297052154195011E-2</v>
      </c>
      <c r="I10" s="38">
        <v>6483</v>
      </c>
      <c r="J10" s="38">
        <v>5871</v>
      </c>
      <c r="K10" s="38">
        <v>6483</v>
      </c>
      <c r="L10" s="38">
        <v>5871</v>
      </c>
      <c r="M10" s="48">
        <v>0.8</v>
      </c>
      <c r="N10" s="48">
        <v>0.1</v>
      </c>
      <c r="O10" s="48">
        <v>0.9</v>
      </c>
      <c r="P10" s="48">
        <v>0.41</v>
      </c>
      <c r="Q10" s="48">
        <v>0.75</v>
      </c>
      <c r="R10" s="121">
        <v>0</v>
      </c>
      <c r="S10" s="121">
        <v>0</v>
      </c>
      <c r="T10" s="17">
        <v>0</v>
      </c>
      <c r="U10" s="1" t="str">
        <f t="shared" si="0"/>
        <v>Normal</v>
      </c>
      <c r="V10" s="1" t="str">
        <f t="shared" si="1"/>
        <v>Normal</v>
      </c>
      <c r="W10" s="19">
        <f t="shared" si="2"/>
        <v>0.14012738853503184</v>
      </c>
      <c r="X10" s="19">
        <f t="shared" si="3"/>
        <v>9.297052154195011E-2</v>
      </c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</row>
    <row r="11" spans="1:41">
      <c r="A11" s="21">
        <v>44661</v>
      </c>
      <c r="B11" s="17">
        <f>IF(YEAR(Table9[[#This Row],[Date]]) = 2022, WEEKNUM(Table9[[#This Row],[Date]])-13, WEEKNUM(Table9[[#This Row],[Date]])+40)</f>
        <v>3</v>
      </c>
      <c r="C11" s="35" t="s">
        <v>47</v>
      </c>
      <c r="D11" s="35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7">
        <v>0</v>
      </c>
      <c r="S11" s="17">
        <v>0</v>
      </c>
      <c r="T11" s="17">
        <v>0</v>
      </c>
      <c r="U11" s="1" t="str">
        <f t="shared" si="0"/>
        <v>Normal</v>
      </c>
      <c r="V11" s="1" t="str">
        <f t="shared" si="1"/>
        <v>Normal</v>
      </c>
      <c r="W11" s="19">
        <f t="shared" si="2"/>
        <v>0</v>
      </c>
      <c r="X11" s="19">
        <f t="shared" si="3"/>
        <v>0</v>
      </c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</row>
    <row r="12" spans="1:41">
      <c r="A12" s="23">
        <v>44662</v>
      </c>
      <c r="B12" s="121">
        <f>IF(YEAR(Table9[[#This Row],[Date]]) = 2022, WEEKNUM(Table9[[#This Row],[Date]])-13, WEEKNUM(Table9[[#This Row],[Date]])+40)</f>
        <v>3</v>
      </c>
      <c r="C12" s="35" t="s">
        <v>48</v>
      </c>
      <c r="D12" s="35" t="s">
        <v>59</v>
      </c>
      <c r="E12" s="1">
        <v>1071</v>
      </c>
      <c r="F12" s="1">
        <v>889</v>
      </c>
      <c r="G12" s="67">
        <v>-1.743119266055046E-2</v>
      </c>
      <c r="H12" s="67">
        <v>-7.6843198338525445E-2</v>
      </c>
      <c r="I12" s="1">
        <v>7554</v>
      </c>
      <c r="J12" s="1">
        <v>6760</v>
      </c>
      <c r="K12" s="38">
        <v>7554</v>
      </c>
      <c r="L12" s="38">
        <v>6760</v>
      </c>
      <c r="M12" s="18">
        <v>0.48</v>
      </c>
      <c r="N12" s="18">
        <v>0.17</v>
      </c>
      <c r="O12" s="18">
        <v>0.83</v>
      </c>
      <c r="P12" s="18">
        <v>0.61</v>
      </c>
      <c r="Q12" s="18">
        <v>0.74</v>
      </c>
      <c r="R12" s="17">
        <v>0</v>
      </c>
      <c r="S12" s="17">
        <v>0</v>
      </c>
      <c r="T12" s="17">
        <v>0</v>
      </c>
      <c r="U12" s="1" t="str">
        <f t="shared" si="0"/>
        <v>Normal</v>
      </c>
      <c r="V12" s="1" t="str">
        <f t="shared" si="1"/>
        <v>Normal</v>
      </c>
      <c r="W12" s="19">
        <f t="shared" si="2"/>
        <v>-1.743119266055046E-2</v>
      </c>
      <c r="X12" s="19">
        <f t="shared" si="3"/>
        <v>-7.6843198338525445E-2</v>
      </c>
    </row>
    <row r="13" spans="1:41">
      <c r="A13" s="23">
        <v>44663</v>
      </c>
      <c r="B13" s="121">
        <f>IF(YEAR(Table9[[#This Row],[Date]]) = 2022, WEEKNUM(Table9[[#This Row],[Date]])-13, WEEKNUM(Table9[[#This Row],[Date]])+40)</f>
        <v>3</v>
      </c>
      <c r="C13" s="35" t="s">
        <v>49</v>
      </c>
      <c r="D13" s="35" t="s">
        <v>59</v>
      </c>
      <c r="E13" s="1">
        <v>935</v>
      </c>
      <c r="F13" s="1">
        <v>818</v>
      </c>
      <c r="G13" s="67">
        <v>1.0706638115631692E-3</v>
      </c>
      <c r="H13" s="67">
        <v>-2.8503562945368172E-2</v>
      </c>
      <c r="I13" s="1">
        <v>8489</v>
      </c>
      <c r="J13" s="1">
        <v>7578</v>
      </c>
      <c r="K13" s="38">
        <v>8489</v>
      </c>
      <c r="L13" s="38">
        <v>7578</v>
      </c>
      <c r="M13" s="18">
        <v>0.57999999999999996</v>
      </c>
      <c r="N13" s="18">
        <v>0.13</v>
      </c>
      <c r="O13" s="18">
        <v>0.87</v>
      </c>
      <c r="P13" s="18">
        <v>0.61</v>
      </c>
      <c r="Q13" s="18">
        <v>0.74</v>
      </c>
      <c r="R13" s="17">
        <v>0</v>
      </c>
      <c r="S13" s="17">
        <v>0</v>
      </c>
      <c r="T13" s="17">
        <v>0</v>
      </c>
      <c r="U13" s="1" t="str">
        <f t="shared" si="0"/>
        <v>Normal</v>
      </c>
      <c r="V13" s="1" t="str">
        <f t="shared" si="1"/>
        <v>Normal</v>
      </c>
      <c r="W13" s="19">
        <f t="shared" si="2"/>
        <v>1.0706638115631692E-3</v>
      </c>
      <c r="X13" s="19">
        <f t="shared" si="3"/>
        <v>-2.8503562945368172E-2</v>
      </c>
      <c r="AK13" t="s">
        <v>64</v>
      </c>
      <c r="AL13" t="s">
        <v>65</v>
      </c>
      <c r="AM13" t="s">
        <v>66</v>
      </c>
    </row>
    <row r="14" spans="1:41">
      <c r="A14" s="23">
        <v>44664</v>
      </c>
      <c r="B14" s="121">
        <f>IF(YEAR(Table9[[#This Row],[Date]]) = 2022, WEEKNUM(Table9[[#This Row],[Date]])-13, WEEKNUM(Table9[[#This Row],[Date]])+40)</f>
        <v>3</v>
      </c>
      <c r="C14" s="35" t="s">
        <v>50</v>
      </c>
      <c r="D14" s="35" t="s">
        <v>59</v>
      </c>
      <c r="E14" s="1">
        <v>925</v>
      </c>
      <c r="F14" s="1">
        <v>785</v>
      </c>
      <c r="G14" s="67">
        <v>0.16352201257861634</v>
      </c>
      <c r="H14" s="67">
        <v>3.1537450722733243E-2</v>
      </c>
      <c r="I14" s="1">
        <v>9414</v>
      </c>
      <c r="J14" s="1">
        <v>8363</v>
      </c>
      <c r="K14" s="38">
        <v>9414</v>
      </c>
      <c r="L14" s="38">
        <v>8363</v>
      </c>
      <c r="M14" s="18">
        <v>0.56999999999999995</v>
      </c>
      <c r="N14" s="18">
        <v>0.15</v>
      </c>
      <c r="O14" s="18">
        <v>0.85</v>
      </c>
      <c r="P14" s="18">
        <v>0.64</v>
      </c>
      <c r="Q14" s="18">
        <v>0.71</v>
      </c>
      <c r="R14" s="17">
        <v>0</v>
      </c>
      <c r="S14" s="17">
        <v>0</v>
      </c>
      <c r="T14" s="17">
        <v>0</v>
      </c>
      <c r="U14" s="1" t="str">
        <f t="shared" si="0"/>
        <v>Normal</v>
      </c>
      <c r="V14" s="1" t="str">
        <f t="shared" si="1"/>
        <v>Normal</v>
      </c>
      <c r="W14" s="19">
        <f t="shared" si="2"/>
        <v>0.16352201257861634</v>
      </c>
      <c r="X14" s="19">
        <f t="shared" si="3"/>
        <v>3.1537450722733243E-2</v>
      </c>
      <c r="AK14" s="21">
        <v>44655</v>
      </c>
      <c r="AL14" s="1">
        <f>SUMIFS(Table7[Calls Off],Table7[Date],"&gt;="&amp;AK14,Table7[Date],"&lt;"&amp;AK15)</f>
        <v>5036</v>
      </c>
      <c r="AM14" s="1">
        <f>SUMIFS(Table7[Calls Ans],Table7[Date],"&gt;="&amp;AK14,Table7[Date],"&lt;"&amp;AK15)</f>
        <v>4570</v>
      </c>
    </row>
    <row r="15" spans="1:41">
      <c r="A15" s="23">
        <v>44665</v>
      </c>
      <c r="B15" s="121">
        <f>IF(YEAR(Table9[[#This Row],[Date]]) = 2022, WEEKNUM(Table9[[#This Row],[Date]])-13, WEEKNUM(Table9[[#This Row],[Date]])+40)</f>
        <v>3</v>
      </c>
      <c r="C15" s="35" t="s">
        <v>51</v>
      </c>
      <c r="D15" s="35" t="s">
        <v>59</v>
      </c>
      <c r="E15" s="1">
        <v>868</v>
      </c>
      <c r="F15" s="1">
        <v>653</v>
      </c>
      <c r="G15" s="67">
        <v>2.7218934911242602E-2</v>
      </c>
      <c r="H15" s="67">
        <v>-0.11994609164420485</v>
      </c>
      <c r="I15" s="1">
        <v>10282</v>
      </c>
      <c r="J15" s="1">
        <v>9016</v>
      </c>
      <c r="K15" s="38">
        <v>10282</v>
      </c>
      <c r="L15" s="38">
        <v>9016</v>
      </c>
      <c r="M15" s="18">
        <v>0.4</v>
      </c>
      <c r="N15" s="18">
        <v>0.25</v>
      </c>
      <c r="O15" s="18">
        <v>0.75</v>
      </c>
      <c r="P15" s="18">
        <v>0.55000000000000004</v>
      </c>
      <c r="Q15" s="18">
        <v>0.67</v>
      </c>
      <c r="R15" s="17">
        <v>0</v>
      </c>
      <c r="S15" s="17">
        <v>0</v>
      </c>
      <c r="T15" s="17">
        <v>0</v>
      </c>
      <c r="U15" s="1" t="str">
        <f t="shared" si="0"/>
        <v>Normal</v>
      </c>
      <c r="V15" s="1" t="str">
        <f t="shared" si="1"/>
        <v>Normal</v>
      </c>
      <c r="W15" s="19">
        <f t="shared" si="2"/>
        <v>2.7218934911242602E-2</v>
      </c>
      <c r="X15" s="19">
        <f t="shared" si="3"/>
        <v>-0.11994609164420485</v>
      </c>
      <c r="AK15" s="21">
        <f>AK14+7</f>
        <v>44662</v>
      </c>
      <c r="AL15" s="1">
        <f>SUMIFS(Table7[Calls Off],Table7[Date],"&gt;="&amp;AK15,Table7[Date],"&lt;"&amp;AK16)</f>
        <v>4269</v>
      </c>
      <c r="AM15" s="1">
        <f>SUMIFS(Table7[Calls Ans],Table7[Date],"&gt;="&amp;AK15,Table7[Date],"&lt;"&amp;AK16)</f>
        <v>3532</v>
      </c>
    </row>
    <row r="16" spans="1:41">
      <c r="A16" s="23">
        <v>44666</v>
      </c>
      <c r="B16" s="121">
        <f>IF(YEAR(Table9[[#This Row],[Date]]) = 2022, WEEKNUM(Table9[[#This Row],[Date]])-13, WEEKNUM(Table9[[#This Row],[Date]])+40)</f>
        <v>3</v>
      </c>
      <c r="C16" s="35" t="s">
        <v>63</v>
      </c>
      <c r="D16" s="35" t="s">
        <v>59</v>
      </c>
      <c r="E16" s="44">
        <v>0</v>
      </c>
      <c r="F16" s="44">
        <v>0</v>
      </c>
      <c r="G16" s="86">
        <v>0</v>
      </c>
      <c r="H16" s="86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223">
        <v>0</v>
      </c>
      <c r="S16" s="223">
        <v>0</v>
      </c>
      <c r="T16" s="17">
        <v>0</v>
      </c>
      <c r="U16" s="1" t="str">
        <f t="shared" si="0"/>
        <v>Normal</v>
      </c>
      <c r="V16" s="1" t="str">
        <f t="shared" si="1"/>
        <v>Normal</v>
      </c>
      <c r="W16" s="19">
        <f t="shared" si="2"/>
        <v>0</v>
      </c>
      <c r="X16" s="19">
        <f t="shared" si="3"/>
        <v>0</v>
      </c>
      <c r="AK16" s="21">
        <f t="shared" ref="AK16:AK65" si="4">AK15+7</f>
        <v>44669</v>
      </c>
      <c r="AL16" s="1">
        <f>SUMIFS(Table7[Calls Off],Table7[Date],"&gt;="&amp;AK16,Table7[Date],"&lt;"&amp;AK17)</f>
        <v>4292</v>
      </c>
      <c r="AM16" s="1">
        <f>SUMIFS(Table7[Calls Ans],Table7[Date],"&gt;="&amp;AK16,Table7[Date],"&lt;"&amp;AK17)</f>
        <v>3683</v>
      </c>
    </row>
    <row r="17" spans="1:39">
      <c r="A17" s="23">
        <v>44667</v>
      </c>
      <c r="B17" s="121">
        <f>IF(YEAR(Table9[[#This Row],[Date]]) = 2022, WEEKNUM(Table9[[#This Row],[Date]])-13, WEEKNUM(Table9[[#This Row],[Date]])+40)</f>
        <v>3</v>
      </c>
      <c r="C17" s="35" t="s">
        <v>53</v>
      </c>
      <c r="D17" s="35" t="s">
        <v>59</v>
      </c>
      <c r="E17" s="1">
        <v>470</v>
      </c>
      <c r="F17" s="1">
        <v>387</v>
      </c>
      <c r="G17" s="67">
        <v>-0.12476722532588454</v>
      </c>
      <c r="H17" s="67">
        <v>-0.1970954356846473</v>
      </c>
      <c r="I17" s="1">
        <v>10752</v>
      </c>
      <c r="J17" s="1">
        <v>9403</v>
      </c>
      <c r="K17" s="38">
        <v>10752</v>
      </c>
      <c r="L17" s="38">
        <v>9403</v>
      </c>
      <c r="M17" s="18">
        <v>0.6</v>
      </c>
      <c r="N17" s="18">
        <v>0.18</v>
      </c>
      <c r="O17" s="18">
        <v>0.82</v>
      </c>
      <c r="P17" s="18">
        <v>0.42</v>
      </c>
      <c r="Q17" s="18">
        <v>0.72</v>
      </c>
      <c r="R17" s="17">
        <v>0</v>
      </c>
      <c r="S17" s="17">
        <v>0</v>
      </c>
      <c r="T17" s="17">
        <v>0</v>
      </c>
      <c r="U17" s="1" t="str">
        <f t="shared" si="0"/>
        <v>Normal</v>
      </c>
      <c r="V17" s="1" t="str">
        <f t="shared" si="1"/>
        <v>Normal</v>
      </c>
      <c r="W17" s="19">
        <f t="shared" si="2"/>
        <v>-0.12476722532588454</v>
      </c>
      <c r="X17" s="19">
        <f t="shared" si="3"/>
        <v>-0.1970954356846473</v>
      </c>
      <c r="AK17" s="21">
        <f t="shared" si="4"/>
        <v>44676</v>
      </c>
      <c r="AL17" s="1">
        <f>SUMIFS(Table7[Calls Off],Table7[Date],"&gt;="&amp;AK17,Table7[Date],"&lt;"&amp;AK18)</f>
        <v>6024</v>
      </c>
      <c r="AM17" s="1">
        <f>SUMIFS(Table7[Calls Ans],Table7[Date],"&gt;="&amp;AK17,Table7[Date],"&lt;"&amp;AK18)</f>
        <v>3923</v>
      </c>
    </row>
    <row r="18" spans="1:39">
      <c r="A18" s="21">
        <v>44668</v>
      </c>
      <c r="B18" s="17">
        <f>IF(YEAR(Table9[[#This Row],[Date]]) = 2022, WEEKNUM(Table9[[#This Row],[Date]])-13, WEEKNUM(Table9[[#This Row],[Date]])+40)</f>
        <v>4</v>
      </c>
      <c r="C18" s="35" t="s">
        <v>47</v>
      </c>
      <c r="D18" s="35" t="s">
        <v>59</v>
      </c>
      <c r="E18" s="1">
        <v>0</v>
      </c>
      <c r="F18" s="1">
        <v>0</v>
      </c>
      <c r="G18" s="67">
        <v>0</v>
      </c>
      <c r="H18" s="67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7">
        <v>0</v>
      </c>
      <c r="S18" s="17">
        <v>0</v>
      </c>
      <c r="T18" s="17">
        <v>0</v>
      </c>
      <c r="U18" s="1" t="str">
        <f t="shared" si="0"/>
        <v>Normal</v>
      </c>
      <c r="V18" s="1" t="str">
        <f t="shared" si="1"/>
        <v>Normal</v>
      </c>
      <c r="W18" s="19">
        <f t="shared" si="2"/>
        <v>0</v>
      </c>
      <c r="X18" s="19">
        <f t="shared" si="3"/>
        <v>0</v>
      </c>
      <c r="AK18" s="21">
        <f t="shared" si="4"/>
        <v>44683</v>
      </c>
      <c r="AL18" s="1">
        <f>SUMIFS(Table7[Calls Off],Table7[Date],"&gt;="&amp;AK18,Table7[Date],"&lt;"&amp;AK19)</f>
        <v>5575</v>
      </c>
      <c r="AM18" s="1">
        <f>SUMIFS(Table7[Calls Ans],Table7[Date],"&gt;="&amp;AK18,Table7[Date],"&lt;"&amp;AK19)</f>
        <v>2218</v>
      </c>
    </row>
    <row r="19" spans="1:39">
      <c r="A19" s="23">
        <v>44669</v>
      </c>
      <c r="B19" s="121">
        <f>IF(YEAR(Table9[[#This Row],[Date]]) = 2022, WEEKNUM(Table9[[#This Row],[Date]])-13, WEEKNUM(Table9[[#This Row],[Date]])+40)</f>
        <v>4</v>
      </c>
      <c r="C19" s="35" t="s">
        <v>63</v>
      </c>
      <c r="D19" s="35" t="s">
        <v>59</v>
      </c>
      <c r="E19" s="44">
        <v>0</v>
      </c>
      <c r="F19" s="44">
        <v>0</v>
      </c>
      <c r="G19" s="86">
        <v>0</v>
      </c>
      <c r="H19" s="86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223">
        <v>0</v>
      </c>
      <c r="S19" s="223">
        <v>0</v>
      </c>
      <c r="T19" s="17">
        <v>0</v>
      </c>
      <c r="U19" s="1" t="str">
        <f t="shared" si="0"/>
        <v>Normal</v>
      </c>
      <c r="V19" s="1" t="str">
        <f t="shared" si="1"/>
        <v>Normal</v>
      </c>
      <c r="W19" s="19">
        <f t="shared" si="2"/>
        <v>0</v>
      </c>
      <c r="X19" s="19">
        <f t="shared" si="3"/>
        <v>0</v>
      </c>
      <c r="AK19" s="21">
        <f t="shared" si="4"/>
        <v>44690</v>
      </c>
      <c r="AL19" s="1">
        <f>SUMIFS(Table7[Calls Off],Table7[Date],"&gt;="&amp;AK19,Table7[Date],"&lt;"&amp;AK20)</f>
        <v>5827</v>
      </c>
      <c r="AM19" s="1">
        <f>SUMIFS(Table7[Calls Ans],Table7[Date],"&gt;="&amp;AK19,Table7[Date],"&lt;"&amp;AK20)</f>
        <v>3805</v>
      </c>
    </row>
    <row r="20" spans="1:39">
      <c r="A20" s="23">
        <v>44670</v>
      </c>
      <c r="B20" s="121">
        <f>IF(YEAR(Table9[[#This Row],[Date]]) = 2022, WEEKNUM(Table9[[#This Row],[Date]])-13, WEEKNUM(Table9[[#This Row],[Date]])+40)</f>
        <v>4</v>
      </c>
      <c r="C20" s="35" t="s">
        <v>49</v>
      </c>
      <c r="D20" s="35" t="s">
        <v>59</v>
      </c>
      <c r="E20" s="1">
        <v>1014</v>
      </c>
      <c r="F20" s="1">
        <v>867</v>
      </c>
      <c r="G20" s="67">
        <v>8.4491978609625665E-2</v>
      </c>
      <c r="H20" s="67">
        <v>5.9902200488997553E-2</v>
      </c>
      <c r="I20" s="1">
        <v>11766</v>
      </c>
      <c r="J20" s="1">
        <v>10270</v>
      </c>
      <c r="K20" s="38">
        <v>11766</v>
      </c>
      <c r="L20" s="38">
        <v>10270</v>
      </c>
      <c r="M20" s="18">
        <v>0.57999999999999996</v>
      </c>
      <c r="N20" s="18">
        <v>0.14000000000000001</v>
      </c>
      <c r="O20" s="18">
        <v>0.86</v>
      </c>
      <c r="P20" s="18">
        <v>0.65</v>
      </c>
      <c r="Q20" s="18">
        <v>0.75</v>
      </c>
      <c r="R20" s="17">
        <v>0</v>
      </c>
      <c r="S20" s="17">
        <v>0</v>
      </c>
      <c r="T20" s="17">
        <v>0</v>
      </c>
      <c r="U20" s="1" t="str">
        <f t="shared" si="0"/>
        <v>Normal</v>
      </c>
      <c r="V20" s="1" t="str">
        <f t="shared" si="1"/>
        <v>Normal</v>
      </c>
      <c r="W20" s="19">
        <f t="shared" si="2"/>
        <v>8.4491978609625665E-2</v>
      </c>
      <c r="X20" s="19">
        <f t="shared" si="3"/>
        <v>5.9902200488997553E-2</v>
      </c>
      <c r="AK20" s="21">
        <f t="shared" si="4"/>
        <v>44697</v>
      </c>
      <c r="AL20" s="1">
        <f>SUMIFS(Table7[Calls Off],Table7[Date],"&gt;="&amp;AK20,Table7[Date],"&lt;"&amp;AK21)</f>
        <v>5291</v>
      </c>
      <c r="AM20" s="1">
        <f>SUMIFS(Table7[Calls Ans],Table7[Date],"&gt;="&amp;AK20,Table7[Date],"&lt;"&amp;AK21)</f>
        <v>3613</v>
      </c>
    </row>
    <row r="21" spans="1:39">
      <c r="A21" s="23">
        <v>44671</v>
      </c>
      <c r="B21" s="121">
        <f>IF(YEAR(Table9[[#This Row],[Date]]) = 2022, WEEKNUM(Table9[[#This Row],[Date]])-13, WEEKNUM(Table9[[#This Row],[Date]])+40)</f>
        <v>4</v>
      </c>
      <c r="C21" s="35" t="s">
        <v>50</v>
      </c>
      <c r="D21" s="35" t="s">
        <v>59</v>
      </c>
      <c r="E21" s="1">
        <v>900</v>
      </c>
      <c r="F21" s="1">
        <v>831</v>
      </c>
      <c r="G21" s="67">
        <v>-2.7027027027027029E-2</v>
      </c>
      <c r="H21" s="67">
        <v>5.8598726114649682E-2</v>
      </c>
      <c r="I21" s="1">
        <v>12666</v>
      </c>
      <c r="J21" s="1">
        <v>11101</v>
      </c>
      <c r="K21" s="38">
        <v>12666</v>
      </c>
      <c r="L21" s="38">
        <v>11101</v>
      </c>
      <c r="M21" s="18">
        <v>0.72</v>
      </c>
      <c r="N21" s="18">
        <v>0.14000000000000001</v>
      </c>
      <c r="O21" s="18">
        <v>0.86</v>
      </c>
      <c r="P21" s="18">
        <v>0.49</v>
      </c>
      <c r="Q21" s="18">
        <v>0.73</v>
      </c>
      <c r="R21" s="17">
        <v>0</v>
      </c>
      <c r="S21" s="17">
        <v>0</v>
      </c>
      <c r="T21" s="17">
        <v>0</v>
      </c>
      <c r="U21" s="1" t="str">
        <f t="shared" si="0"/>
        <v>Normal</v>
      </c>
      <c r="V21" s="1" t="str">
        <f t="shared" si="1"/>
        <v>Normal</v>
      </c>
      <c r="W21" s="19">
        <f t="shared" si="2"/>
        <v>-2.7027027027027029E-2</v>
      </c>
      <c r="X21" s="19">
        <f t="shared" si="3"/>
        <v>5.8598726114649682E-2</v>
      </c>
      <c r="AK21" s="21">
        <f t="shared" si="4"/>
        <v>44704</v>
      </c>
      <c r="AL21" s="1">
        <f>SUMIFS(Table7[Calls Off],Table7[Date],"&gt;="&amp;AK21,Table7[Date],"&lt;"&amp;AK22)</f>
        <v>4602</v>
      </c>
      <c r="AM21" s="1">
        <f>SUMIFS(Table7[Calls Ans],Table7[Date],"&gt;="&amp;AK21,Table7[Date],"&lt;"&amp;AK22)</f>
        <v>4127</v>
      </c>
    </row>
    <row r="22" spans="1:39">
      <c r="A22" s="23">
        <v>44672</v>
      </c>
      <c r="B22" s="121">
        <f>IF(YEAR(Table9[[#This Row],[Date]]) = 2022, WEEKNUM(Table9[[#This Row],[Date]])-13, WEEKNUM(Table9[[#This Row],[Date]])+40)</f>
        <v>4</v>
      </c>
      <c r="C22" s="35" t="s">
        <v>51</v>
      </c>
      <c r="D22" s="35" t="s">
        <v>59</v>
      </c>
      <c r="E22" s="1">
        <v>1034</v>
      </c>
      <c r="F22" s="1">
        <v>795</v>
      </c>
      <c r="G22" s="67">
        <v>0.19124423963133641</v>
      </c>
      <c r="H22" s="67">
        <v>0.21745788667687596</v>
      </c>
      <c r="I22" s="1">
        <v>13700</v>
      </c>
      <c r="J22" s="1">
        <v>11896</v>
      </c>
      <c r="K22" s="38">
        <v>13700</v>
      </c>
      <c r="L22" s="38">
        <v>11896</v>
      </c>
      <c r="M22" s="18">
        <v>0.37</v>
      </c>
      <c r="N22" s="18">
        <v>0.23</v>
      </c>
      <c r="O22" s="18">
        <v>0.77</v>
      </c>
      <c r="P22" s="18">
        <v>0.63</v>
      </c>
      <c r="Q22" s="18">
        <v>0.7</v>
      </c>
      <c r="R22" s="17">
        <v>0</v>
      </c>
      <c r="S22" s="17">
        <v>0</v>
      </c>
      <c r="T22" s="17">
        <v>0</v>
      </c>
      <c r="U22" s="1" t="str">
        <f t="shared" si="0"/>
        <v>Normal</v>
      </c>
      <c r="V22" s="1" t="str">
        <f t="shared" si="1"/>
        <v>Normal</v>
      </c>
      <c r="W22" s="19">
        <f t="shared" si="2"/>
        <v>0.19124423963133641</v>
      </c>
      <c r="X22" s="19">
        <f t="shared" si="3"/>
        <v>0.21745788667687596</v>
      </c>
      <c r="AK22" s="21">
        <f t="shared" si="4"/>
        <v>44711</v>
      </c>
      <c r="AL22" s="1">
        <f>SUMIFS(Table7[Calls Off],Table7[Date],"&gt;="&amp;AK22,Table7[Date],"&lt;"&amp;AK23)</f>
        <v>3903</v>
      </c>
      <c r="AM22" s="1">
        <f>SUMIFS(Table7[Calls Ans],Table7[Date],"&gt;="&amp;AK22,Table7[Date],"&lt;"&amp;AK23)</f>
        <v>3511</v>
      </c>
    </row>
    <row r="23" spans="1:39">
      <c r="A23" s="23">
        <v>44673</v>
      </c>
      <c r="B23" s="121">
        <f>IF(YEAR(Table9[[#This Row],[Date]]) = 2022, WEEKNUM(Table9[[#This Row],[Date]])-13, WEEKNUM(Table9[[#This Row],[Date]])+40)</f>
        <v>4</v>
      </c>
      <c r="C23" s="35" t="s">
        <v>52</v>
      </c>
      <c r="D23" s="35" t="s">
        <v>59</v>
      </c>
      <c r="E23" s="1">
        <v>784</v>
      </c>
      <c r="F23" s="1">
        <v>710</v>
      </c>
      <c r="G23" s="67">
        <v>0</v>
      </c>
      <c r="H23" s="67">
        <v>0</v>
      </c>
      <c r="I23" s="1">
        <v>14484</v>
      </c>
      <c r="J23" s="1">
        <v>12606</v>
      </c>
      <c r="K23" s="38">
        <v>14484</v>
      </c>
      <c r="L23" s="38">
        <v>12606</v>
      </c>
      <c r="M23" s="18">
        <v>0.75</v>
      </c>
      <c r="N23" s="18">
        <v>0.09</v>
      </c>
      <c r="O23" s="18">
        <v>0.91</v>
      </c>
      <c r="P23" s="18">
        <v>0.53</v>
      </c>
      <c r="Q23" s="18">
        <v>0.69</v>
      </c>
      <c r="R23" s="17">
        <v>0</v>
      </c>
      <c r="S23" s="17">
        <v>0</v>
      </c>
      <c r="T23" s="17">
        <v>0</v>
      </c>
      <c r="U23" s="1" t="str">
        <f t="shared" si="0"/>
        <v>Normal</v>
      </c>
      <c r="V23" s="1" t="str">
        <f t="shared" si="1"/>
        <v>Normal</v>
      </c>
      <c r="W23" s="19">
        <f t="shared" si="2"/>
        <v>0</v>
      </c>
      <c r="X23" s="19">
        <f t="shared" si="3"/>
        <v>0</v>
      </c>
      <c r="AK23" s="21">
        <f t="shared" si="4"/>
        <v>44718</v>
      </c>
      <c r="AL23" s="1">
        <f>SUMIFS(Table7[Calls Off],Table7[Date],"&gt;="&amp;AK23,Table7[Date],"&lt;"&amp;AK24)</f>
        <v>4680</v>
      </c>
      <c r="AM23" s="1">
        <f>SUMIFS(Table7[Calls Ans],Table7[Date],"&gt;="&amp;AK23,Table7[Date],"&lt;"&amp;AK24)</f>
        <v>4092</v>
      </c>
    </row>
    <row r="24" spans="1:39">
      <c r="A24" s="23">
        <v>44674</v>
      </c>
      <c r="B24" s="121">
        <f>IF(YEAR(Table9[[#This Row],[Date]]) = 2022, WEEKNUM(Table9[[#This Row],[Date]])-13, WEEKNUM(Table9[[#This Row],[Date]])+40)</f>
        <v>4</v>
      </c>
      <c r="C24" s="35" t="s">
        <v>53</v>
      </c>
      <c r="D24" s="35" t="s">
        <v>59</v>
      </c>
      <c r="E24" s="1">
        <v>560</v>
      </c>
      <c r="F24" s="1">
        <v>480</v>
      </c>
      <c r="G24" s="67">
        <v>0.19148936170212766</v>
      </c>
      <c r="H24" s="67">
        <v>0.24031007751937986</v>
      </c>
      <c r="I24" s="1">
        <v>15044</v>
      </c>
      <c r="J24" s="1">
        <v>13086</v>
      </c>
      <c r="K24" s="38">
        <v>15044</v>
      </c>
      <c r="L24" s="38">
        <v>13086</v>
      </c>
      <c r="M24" s="18">
        <v>0.54</v>
      </c>
      <c r="N24" s="18">
        <v>0.14000000000000001</v>
      </c>
      <c r="O24" s="18">
        <v>0.86</v>
      </c>
      <c r="P24" s="18">
        <v>0.57999999999999996</v>
      </c>
      <c r="Q24" s="18">
        <v>0.57999999999999996</v>
      </c>
      <c r="R24" s="17">
        <v>0</v>
      </c>
      <c r="S24" s="17">
        <v>0</v>
      </c>
      <c r="T24" s="17">
        <v>0</v>
      </c>
      <c r="U24" s="1" t="str">
        <f t="shared" si="0"/>
        <v>Normal</v>
      </c>
      <c r="V24" s="1" t="str">
        <f t="shared" si="1"/>
        <v>Normal</v>
      </c>
      <c r="W24" s="19">
        <f t="shared" si="2"/>
        <v>0.19148936170212766</v>
      </c>
      <c r="X24" s="19">
        <f t="shared" si="3"/>
        <v>0.24031007751937986</v>
      </c>
      <c r="AK24" s="21">
        <f>AK23+7</f>
        <v>44725</v>
      </c>
      <c r="AL24" s="1">
        <f>SUMIFS(Table7[Calls Off],Table7[Date],"&gt;="&amp;AK24,Table7[Date],"&lt;"&amp;AK25)</f>
        <v>4193</v>
      </c>
      <c r="AM24" s="1">
        <f>SUMIFS(Table7[Calls Ans],Table7[Date],"&gt;="&amp;AK24,Table7[Date],"&lt;"&amp;AK25)</f>
        <v>3339</v>
      </c>
    </row>
    <row r="25" spans="1:39">
      <c r="A25" s="21">
        <v>44675</v>
      </c>
      <c r="B25" s="17">
        <f>IF(YEAR(Table9[[#This Row],[Date]]) = 2022, WEEKNUM(Table9[[#This Row],[Date]])-13, WEEKNUM(Table9[[#This Row],[Date]])+40)</f>
        <v>5</v>
      </c>
      <c r="C25" s="35" t="s">
        <v>47</v>
      </c>
      <c r="D25" s="35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>
        <v>0</v>
      </c>
      <c r="S25" s="17">
        <v>0</v>
      </c>
      <c r="T25" s="17">
        <v>0</v>
      </c>
      <c r="U25" s="1" t="str">
        <f t="shared" si="0"/>
        <v>Normal</v>
      </c>
      <c r="V25" s="1" t="str">
        <f t="shared" si="1"/>
        <v>Normal</v>
      </c>
      <c r="W25" s="19">
        <f t="shared" si="2"/>
        <v>0</v>
      </c>
      <c r="X25" s="19">
        <f t="shared" si="3"/>
        <v>0</v>
      </c>
      <c r="AK25" s="21">
        <f t="shared" si="4"/>
        <v>44732</v>
      </c>
      <c r="AL25" s="1">
        <f>SUMIFS(Table7[Calls Off],Table7[Date],"&gt;="&amp;AK25,Table7[Date],"&lt;"&amp;AK26)</f>
        <v>4591</v>
      </c>
      <c r="AM25" s="1">
        <f>SUMIFS(Table7[Calls Ans],Table7[Date],"&gt;="&amp;AK25,Table7[Date],"&lt;"&amp;AK26)</f>
        <v>3315</v>
      </c>
    </row>
    <row r="26" spans="1:39">
      <c r="A26" s="23">
        <v>44676</v>
      </c>
      <c r="B26" s="121">
        <f>IF(YEAR(Table9[[#This Row],[Date]]) = 2022, WEEKNUM(Table9[[#This Row],[Date]])-13, WEEKNUM(Table9[[#This Row],[Date]])+40)</f>
        <v>5</v>
      </c>
      <c r="C26" s="35" t="s">
        <v>48</v>
      </c>
      <c r="D26" s="35" t="s">
        <v>59</v>
      </c>
      <c r="E26" s="1">
        <v>1097</v>
      </c>
      <c r="F26" s="1">
        <v>722</v>
      </c>
      <c r="G26" s="67">
        <v>0</v>
      </c>
      <c r="H26" s="67">
        <v>0</v>
      </c>
      <c r="I26" s="1">
        <v>16141</v>
      </c>
      <c r="J26" s="1">
        <v>13808</v>
      </c>
      <c r="K26" s="1">
        <v>16141</v>
      </c>
      <c r="L26" s="1">
        <v>13808</v>
      </c>
      <c r="M26" s="18">
        <v>0.22</v>
      </c>
      <c r="N26" s="18">
        <v>0.34</v>
      </c>
      <c r="O26" s="18">
        <v>0.66</v>
      </c>
      <c r="P26" s="18">
        <v>0.42</v>
      </c>
      <c r="Q26" s="18">
        <v>0.47</v>
      </c>
      <c r="R26" s="17">
        <v>0</v>
      </c>
      <c r="S26" s="17">
        <v>0</v>
      </c>
      <c r="T26" s="17">
        <v>0</v>
      </c>
      <c r="U26" s="1" t="str">
        <f t="shared" si="0"/>
        <v>Normal</v>
      </c>
      <c r="V26" s="1" t="str">
        <f t="shared" si="1"/>
        <v>Normal</v>
      </c>
      <c r="W26" s="19">
        <f t="shared" si="2"/>
        <v>0</v>
      </c>
      <c r="X26" s="19">
        <f t="shared" si="3"/>
        <v>0</v>
      </c>
      <c r="AK26" s="21">
        <f t="shared" si="4"/>
        <v>44739</v>
      </c>
      <c r="AL26" s="1">
        <f>SUMIFS(Table7[Calls Off],Table7[Date],"&gt;="&amp;AK26,Table7[Date],"&lt;"&amp;AK27)</f>
        <v>5254</v>
      </c>
      <c r="AM26" s="1">
        <f>SUMIFS(Table7[Calls Ans],Table7[Date],"&gt;="&amp;AK26,Table7[Date],"&lt;"&amp;AK27)</f>
        <v>3321</v>
      </c>
    </row>
    <row r="27" spans="1:39">
      <c r="A27" s="23">
        <v>44677</v>
      </c>
      <c r="B27" s="121">
        <f>IF(YEAR(Table9[[#This Row],[Date]]) = 2022, WEEKNUM(Table9[[#This Row],[Date]])-13, WEEKNUM(Table9[[#This Row],[Date]])+40)</f>
        <v>5</v>
      </c>
      <c r="C27" s="35" t="s">
        <v>49</v>
      </c>
      <c r="D27" s="35" t="s">
        <v>59</v>
      </c>
      <c r="E27" s="1">
        <v>958</v>
      </c>
      <c r="F27" s="1">
        <v>808</v>
      </c>
      <c r="G27" s="67">
        <v>-5.5226824457593686E-2</v>
      </c>
      <c r="H27" s="67">
        <v>-6.8050749711649372E-2</v>
      </c>
      <c r="I27" s="1">
        <v>17099</v>
      </c>
      <c r="J27" s="1">
        <v>14616</v>
      </c>
      <c r="K27" s="1">
        <v>17099</v>
      </c>
      <c r="L27" s="1">
        <v>14616</v>
      </c>
      <c r="M27" s="18">
        <v>0.47</v>
      </c>
      <c r="N27" s="18">
        <v>0.16</v>
      </c>
      <c r="O27" s="18">
        <v>0.84</v>
      </c>
      <c r="P27" s="18">
        <v>0.37</v>
      </c>
      <c r="Q27" s="18">
        <v>0.44</v>
      </c>
      <c r="R27" s="17">
        <v>0</v>
      </c>
      <c r="S27" s="17">
        <v>0</v>
      </c>
      <c r="T27" s="17">
        <v>0</v>
      </c>
      <c r="U27" s="1" t="str">
        <f t="shared" si="0"/>
        <v>Normal</v>
      </c>
      <c r="V27" s="1" t="str">
        <f t="shared" si="1"/>
        <v>Normal</v>
      </c>
      <c r="W27" s="19">
        <f t="shared" si="2"/>
        <v>-5.5226824457593686E-2</v>
      </c>
      <c r="X27" s="19">
        <f t="shared" si="3"/>
        <v>-6.8050749711649372E-2</v>
      </c>
      <c r="AK27" s="21">
        <f>AK26+7</f>
        <v>44746</v>
      </c>
      <c r="AL27" s="1">
        <f>SUMIFS(Table7[Calls Off],Table7[Date],"&gt;="&amp;AK27,Table7[Date],"&lt;"&amp;AK28)</f>
        <v>5465</v>
      </c>
      <c r="AM27" s="1">
        <f>SUMIFS(Table7[Calls Ans],Table7[Date],"&gt;="&amp;AK27,Table7[Date],"&lt;"&amp;AK28)</f>
        <v>3427</v>
      </c>
    </row>
    <row r="28" spans="1:39">
      <c r="A28" s="23">
        <v>44678</v>
      </c>
      <c r="B28" s="121">
        <f>IF(YEAR(Table9[[#This Row],[Date]]) = 2022, WEEKNUM(Table9[[#This Row],[Date]])-13, WEEKNUM(Table9[[#This Row],[Date]])+40)</f>
        <v>5</v>
      </c>
      <c r="C28" s="35" t="s">
        <v>50</v>
      </c>
      <c r="D28" s="35" t="s">
        <v>59</v>
      </c>
      <c r="E28" s="1">
        <v>1049</v>
      </c>
      <c r="F28" s="1">
        <v>718</v>
      </c>
      <c r="G28" s="67">
        <v>0.16555555555555557</v>
      </c>
      <c r="H28" s="67">
        <v>-0.13598074608904934</v>
      </c>
      <c r="I28" s="1">
        <v>18148</v>
      </c>
      <c r="J28" s="1">
        <v>15334</v>
      </c>
      <c r="K28" s="1">
        <v>18148</v>
      </c>
      <c r="L28" s="1">
        <v>15334</v>
      </c>
      <c r="M28" s="18">
        <v>0.19</v>
      </c>
      <c r="N28" s="18">
        <v>0.32</v>
      </c>
      <c r="O28" s="18">
        <v>0.68</v>
      </c>
      <c r="P28" s="18">
        <v>0.39</v>
      </c>
      <c r="Q28" s="18">
        <v>0.43</v>
      </c>
      <c r="R28" s="17">
        <v>0</v>
      </c>
      <c r="S28" s="17">
        <v>0</v>
      </c>
      <c r="T28" s="17">
        <v>0</v>
      </c>
      <c r="U28" s="1" t="str">
        <f t="shared" si="0"/>
        <v>Normal</v>
      </c>
      <c r="V28" s="1" t="str">
        <f t="shared" si="1"/>
        <v>Normal</v>
      </c>
      <c r="W28" s="19">
        <f t="shared" si="2"/>
        <v>0.16555555555555557</v>
      </c>
      <c r="X28" s="19">
        <f t="shared" si="3"/>
        <v>-0.13598074608904934</v>
      </c>
      <c r="AK28" s="21">
        <f t="shared" si="4"/>
        <v>44753</v>
      </c>
      <c r="AL28" s="1">
        <f>SUMIFS(Table7[Calls Off],Table7[Date],"&gt;="&amp;AK28,Table7[Date],"&lt;"&amp;AK29)</f>
        <v>5693</v>
      </c>
      <c r="AM28" s="1">
        <f>SUMIFS(Table7[Calls Ans],Table7[Date],"&gt;="&amp;AK28,Table7[Date],"&lt;"&amp;AK29)</f>
        <v>3642</v>
      </c>
    </row>
    <row r="29" spans="1:39">
      <c r="A29" s="23">
        <v>44679</v>
      </c>
      <c r="B29" s="121">
        <f>IF(YEAR(Table9[[#This Row],[Date]]) = 2022, WEEKNUM(Table9[[#This Row],[Date]])-13, WEEKNUM(Table9[[#This Row],[Date]])+40)</f>
        <v>5</v>
      </c>
      <c r="C29" s="35" t="s">
        <v>51</v>
      </c>
      <c r="D29" s="35" t="s">
        <v>59</v>
      </c>
      <c r="E29" s="1">
        <v>1126</v>
      </c>
      <c r="F29" s="1">
        <v>736</v>
      </c>
      <c r="G29" s="67">
        <v>8.8974854932301742E-2</v>
      </c>
      <c r="H29" s="67">
        <v>-7.4213836477987419E-2</v>
      </c>
      <c r="I29" s="1">
        <v>19274</v>
      </c>
      <c r="J29" s="1">
        <v>16070</v>
      </c>
      <c r="K29" s="1">
        <v>19274</v>
      </c>
      <c r="L29" s="1">
        <v>16070</v>
      </c>
      <c r="M29" s="18">
        <v>0.22</v>
      </c>
      <c r="N29" s="18">
        <v>0.35</v>
      </c>
      <c r="O29" s="18">
        <v>0.65</v>
      </c>
      <c r="P29" s="18">
        <v>0.47</v>
      </c>
      <c r="Q29" s="18">
        <v>0.52</v>
      </c>
      <c r="R29" s="17">
        <v>0</v>
      </c>
      <c r="S29" s="17">
        <v>0</v>
      </c>
      <c r="T29" s="17">
        <v>0</v>
      </c>
      <c r="U29" s="1" t="str">
        <f t="shared" si="0"/>
        <v>Normal</v>
      </c>
      <c r="V29" s="1" t="str">
        <f t="shared" si="1"/>
        <v>Normal</v>
      </c>
      <c r="W29" s="19">
        <f t="shared" si="2"/>
        <v>8.8974854932301742E-2</v>
      </c>
      <c r="X29" s="19">
        <f t="shared" si="3"/>
        <v>-7.4213836477987419E-2</v>
      </c>
      <c r="AK29" s="21">
        <f t="shared" si="4"/>
        <v>44760</v>
      </c>
      <c r="AL29" s="1">
        <f>SUMIFS(Table7[Calls Off],Table7[Date],"&gt;="&amp;AK29,Table7[Date],"&lt;"&amp;AK30)</f>
        <v>5608</v>
      </c>
      <c r="AM29" s="1">
        <f>SUMIFS(Table7[Calls Ans],Table7[Date],"&gt;="&amp;AK29,Table7[Date],"&lt;"&amp;AK30)</f>
        <v>3857</v>
      </c>
    </row>
    <row r="30" spans="1:39">
      <c r="A30" s="23">
        <v>44680</v>
      </c>
      <c r="B30" s="121">
        <f>IF(YEAR(Table9[[#This Row],[Date]]) = 2022, WEEKNUM(Table9[[#This Row],[Date]])-13, WEEKNUM(Table9[[#This Row],[Date]])+40)</f>
        <v>5</v>
      </c>
      <c r="C30" s="35" t="s">
        <v>52</v>
      </c>
      <c r="D30" s="35" t="s">
        <v>59</v>
      </c>
      <c r="E30" s="1">
        <v>1164</v>
      </c>
      <c r="F30" s="1">
        <v>517</v>
      </c>
      <c r="G30" s="67">
        <v>0.48469387755102039</v>
      </c>
      <c r="H30" s="67">
        <v>-0.27183098591549298</v>
      </c>
      <c r="I30" s="1">
        <v>20438</v>
      </c>
      <c r="J30" s="1">
        <v>16587</v>
      </c>
      <c r="K30" s="1">
        <v>20438</v>
      </c>
      <c r="L30" s="1">
        <v>16587</v>
      </c>
      <c r="M30" s="18">
        <v>0.16</v>
      </c>
      <c r="N30" s="18">
        <v>0.56000000000000005</v>
      </c>
      <c r="O30" s="18">
        <v>0.44</v>
      </c>
      <c r="P30" s="18">
        <v>0.41</v>
      </c>
      <c r="Q30" s="18">
        <v>0.63</v>
      </c>
      <c r="R30" s="17">
        <v>0</v>
      </c>
      <c r="S30" s="17">
        <v>0</v>
      </c>
      <c r="T30" s="17">
        <v>0</v>
      </c>
      <c r="U30" s="1" t="str">
        <f t="shared" si="0"/>
        <v>Outlier</v>
      </c>
      <c r="V30" s="1" t="str">
        <f t="shared" si="1"/>
        <v>Normal</v>
      </c>
      <c r="W30" s="19">
        <f t="shared" si="2"/>
        <v>0.48469387755102039</v>
      </c>
      <c r="X30" s="19">
        <f t="shared" si="3"/>
        <v>-0.27183098591549298</v>
      </c>
      <c r="AK30" s="21">
        <f t="shared" si="4"/>
        <v>44767</v>
      </c>
      <c r="AL30" s="1">
        <f>SUMIFS(Table7[Calls Off],Table7[Date],"&gt;="&amp;AK30,Table7[Date],"&lt;"&amp;AK31)</f>
        <v>5460</v>
      </c>
      <c r="AM30" s="1">
        <f>SUMIFS(Table7[Calls Ans],Table7[Date],"&gt;="&amp;AK30,Table7[Date],"&lt;"&amp;AK31)</f>
        <v>3243</v>
      </c>
    </row>
    <row r="31" spans="1:39">
      <c r="A31" s="23">
        <v>44681</v>
      </c>
      <c r="B31" s="121">
        <f>IF(YEAR(Table9[[#This Row],[Date]]) = 2022, WEEKNUM(Table9[[#This Row],[Date]])-13, WEEKNUM(Table9[[#This Row],[Date]])+40)</f>
        <v>5</v>
      </c>
      <c r="C31" s="35" t="s">
        <v>53</v>
      </c>
      <c r="D31" s="35" t="s">
        <v>59</v>
      </c>
      <c r="E31" s="1">
        <v>630</v>
      </c>
      <c r="F31" s="1">
        <v>422</v>
      </c>
      <c r="G31" s="67">
        <v>0.125</v>
      </c>
      <c r="H31" s="67">
        <v>-0.12083333333333333</v>
      </c>
      <c r="I31" s="1">
        <v>21068</v>
      </c>
      <c r="J31" s="1">
        <v>17009</v>
      </c>
      <c r="K31" s="1">
        <v>21068</v>
      </c>
      <c r="L31" s="1">
        <v>17009</v>
      </c>
      <c r="M31" s="18">
        <v>0.28000000000000003</v>
      </c>
      <c r="N31" s="18">
        <v>0.33</v>
      </c>
      <c r="O31" s="18">
        <v>0.67</v>
      </c>
      <c r="P31" s="18">
        <v>0.48</v>
      </c>
      <c r="Q31" s="18">
        <v>0.56999999999999995</v>
      </c>
      <c r="R31" s="17">
        <v>0</v>
      </c>
      <c r="S31" s="17">
        <v>0</v>
      </c>
      <c r="T31" s="17">
        <v>0</v>
      </c>
      <c r="U31" s="1" t="str">
        <f t="shared" si="0"/>
        <v>Normal</v>
      </c>
      <c r="V31" s="1" t="str">
        <f t="shared" si="1"/>
        <v>Normal</v>
      </c>
      <c r="W31" s="19">
        <f t="shared" si="2"/>
        <v>0.125</v>
      </c>
      <c r="X31" s="19">
        <f t="shared" si="3"/>
        <v>-0.12083333333333333</v>
      </c>
      <c r="AK31" s="21">
        <f t="shared" si="4"/>
        <v>44774</v>
      </c>
      <c r="AL31" s="1">
        <f>SUMIFS(Table7[Calls Off],Table7[Date],"&gt;="&amp;AK31,Table7[Date],"&lt;"&amp;AK32)</f>
        <v>4913</v>
      </c>
      <c r="AM31" s="1">
        <f>SUMIFS(Table7[Calls Ans],Table7[Date],"&gt;="&amp;AK31,Table7[Date],"&lt;"&amp;AK32)</f>
        <v>2497</v>
      </c>
    </row>
    <row r="32" spans="1:39">
      <c r="A32" s="21">
        <v>44682</v>
      </c>
      <c r="B32" s="17">
        <f>IF(YEAR(Table9[[#This Row],[Date]]) = 2022, WEEKNUM(Table9[[#This Row],[Date]])-13, WEEKNUM(Table9[[#This Row],[Date]])+40)</f>
        <v>6</v>
      </c>
      <c r="C32" s="35" t="s">
        <v>47</v>
      </c>
      <c r="D32" s="35" t="s">
        <v>59</v>
      </c>
      <c r="E32" s="1">
        <v>0</v>
      </c>
      <c r="F32" s="1">
        <v>0</v>
      </c>
      <c r="G32" s="67">
        <v>0</v>
      </c>
      <c r="H32" s="67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7">
        <v>0</v>
      </c>
      <c r="S32" s="17">
        <v>0</v>
      </c>
      <c r="T32" s="17">
        <v>0</v>
      </c>
      <c r="U32" s="1" t="str">
        <f t="shared" si="0"/>
        <v>Normal</v>
      </c>
      <c r="V32" s="1" t="str">
        <f t="shared" si="1"/>
        <v>Normal</v>
      </c>
      <c r="W32" s="19">
        <f t="shared" si="2"/>
        <v>0</v>
      </c>
      <c r="X32" s="19">
        <f t="shared" si="3"/>
        <v>0</v>
      </c>
      <c r="AK32" s="21">
        <f t="shared" si="4"/>
        <v>44781</v>
      </c>
      <c r="AL32" s="1">
        <f>SUMIFS(Table7[Calls Off],Table7[Date],"&gt;="&amp;AK32,Table7[Date],"&lt;"&amp;AK33)</f>
        <v>5022</v>
      </c>
      <c r="AM32" s="1">
        <f>SUMIFS(Table7[Calls Ans],Table7[Date],"&gt;="&amp;AK32,Table7[Date],"&lt;"&amp;AK33)</f>
        <v>3168</v>
      </c>
    </row>
    <row r="33" spans="1:42">
      <c r="A33" s="23">
        <v>44683</v>
      </c>
      <c r="B33" s="121">
        <f>IF(YEAR(Table9[[#This Row],[Date]]) = 2022, WEEKNUM(Table9[[#This Row],[Date]])-13, WEEKNUM(Table9[[#This Row],[Date]])+40)</f>
        <v>6</v>
      </c>
      <c r="C33" s="35" t="s">
        <v>63</v>
      </c>
      <c r="D33" s="35" t="s">
        <v>59</v>
      </c>
      <c r="E33" s="44">
        <v>0</v>
      </c>
      <c r="F33" s="44">
        <v>0</v>
      </c>
      <c r="G33" s="86">
        <v>0</v>
      </c>
      <c r="H33" s="86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223">
        <v>0</v>
      </c>
      <c r="S33" s="223">
        <v>0</v>
      </c>
      <c r="T33" s="17">
        <v>0</v>
      </c>
      <c r="U33" s="1" t="str">
        <f t="shared" si="0"/>
        <v>Normal</v>
      </c>
      <c r="V33" s="1" t="str">
        <f t="shared" si="1"/>
        <v>Normal</v>
      </c>
      <c r="W33" s="19">
        <f t="shared" si="2"/>
        <v>0</v>
      </c>
      <c r="X33" s="19">
        <f t="shared" si="3"/>
        <v>0</v>
      </c>
      <c r="AK33" s="21">
        <f t="shared" si="4"/>
        <v>44788</v>
      </c>
      <c r="AL33" s="1">
        <f>SUMIFS(Table7[Calls Off],Table7[Date],"&gt;="&amp;AK33,Table7[Date],"&lt;"&amp;AK34)</f>
        <v>4587</v>
      </c>
      <c r="AM33" s="1">
        <f>SUMIFS(Table7[Calls Ans],Table7[Date],"&gt;="&amp;AK33,Table7[Date],"&lt;"&amp;AK34)</f>
        <v>3428</v>
      </c>
    </row>
    <row r="34" spans="1:42">
      <c r="A34" s="23">
        <v>44684</v>
      </c>
      <c r="B34" s="121">
        <f>IF(YEAR(Table9[[#This Row],[Date]]) = 2022, WEEKNUM(Table9[[#This Row],[Date]])-13, WEEKNUM(Table9[[#This Row],[Date]])+40)</f>
        <v>6</v>
      </c>
      <c r="C34" s="35" t="s">
        <v>49</v>
      </c>
      <c r="D34" s="35" t="s">
        <v>59</v>
      </c>
      <c r="E34" s="1">
        <v>1284</v>
      </c>
      <c r="F34" s="1">
        <v>523</v>
      </c>
      <c r="G34" s="67">
        <v>0.34029227557411273</v>
      </c>
      <c r="H34" s="67">
        <v>-0.3527227722772277</v>
      </c>
      <c r="I34" s="1">
        <v>1284</v>
      </c>
      <c r="J34" s="1">
        <v>523</v>
      </c>
      <c r="K34" s="1">
        <v>21439</v>
      </c>
      <c r="L34" s="1">
        <v>17364</v>
      </c>
      <c r="M34" s="18">
        <v>0.14000000000000001</v>
      </c>
      <c r="N34" s="18">
        <v>0.59</v>
      </c>
      <c r="O34" s="18">
        <v>0.41</v>
      </c>
      <c r="P34" s="18">
        <v>0.54</v>
      </c>
      <c r="Q34" s="18">
        <v>0.53</v>
      </c>
      <c r="R34" s="17">
        <v>0</v>
      </c>
      <c r="S34" s="17">
        <v>0</v>
      </c>
      <c r="T34" s="17">
        <v>0</v>
      </c>
      <c r="U34" s="1" t="str">
        <f t="shared" si="0"/>
        <v>Outlier</v>
      </c>
      <c r="V34" s="1" t="str">
        <f t="shared" si="1"/>
        <v>Outlier</v>
      </c>
      <c r="W34" s="19">
        <f t="shared" si="2"/>
        <v>0.34029227557411273</v>
      </c>
      <c r="X34" s="19">
        <f t="shared" si="3"/>
        <v>-0.3527227722772277</v>
      </c>
      <c r="AK34" s="21">
        <f t="shared" si="4"/>
        <v>44795</v>
      </c>
      <c r="AL34" s="1">
        <f>SUMIFS(Table7[Calls Off],Table7[Date],"&gt;="&amp;AK34,Table7[Date],"&lt;"&amp;AK35)</f>
        <v>4713</v>
      </c>
      <c r="AM34" s="1">
        <f>SUMIFS(Table7[Calls Ans],Table7[Date],"&gt;="&amp;AK34,Table7[Date],"&lt;"&amp;AK35)</f>
        <v>3871</v>
      </c>
    </row>
    <row r="35" spans="1:42">
      <c r="A35" s="23">
        <v>44685</v>
      </c>
      <c r="B35" s="121">
        <f>IF(YEAR(Table9[[#This Row],[Date]]) = 2022, WEEKNUM(Table9[[#This Row],[Date]])-13, WEEKNUM(Table9[[#This Row],[Date]])+40)</f>
        <v>6</v>
      </c>
      <c r="C35" s="35" t="s">
        <v>50</v>
      </c>
      <c r="D35" s="35" t="s">
        <v>59</v>
      </c>
      <c r="E35" s="1">
        <v>1240</v>
      </c>
      <c r="F35" s="1">
        <v>179</v>
      </c>
      <c r="G35" s="67">
        <v>0.18207816968541468</v>
      </c>
      <c r="H35" s="67">
        <v>-0.75069637883008355</v>
      </c>
      <c r="I35" s="1">
        <v>2524</v>
      </c>
      <c r="J35" s="1">
        <v>702</v>
      </c>
      <c r="K35" s="1">
        <v>22679</v>
      </c>
      <c r="L35" s="1">
        <v>17543</v>
      </c>
      <c r="M35" s="18">
        <v>0.19</v>
      </c>
      <c r="N35" s="18">
        <v>0.86</v>
      </c>
      <c r="O35" s="18">
        <v>0.14000000000000001</v>
      </c>
      <c r="P35" s="18">
        <v>0.56000000000000005</v>
      </c>
      <c r="Q35" s="18">
        <v>0.6</v>
      </c>
      <c r="R35" s="17">
        <v>0</v>
      </c>
      <c r="S35" s="17">
        <v>0</v>
      </c>
      <c r="T35" s="17">
        <v>0</v>
      </c>
      <c r="U35" s="1" t="str">
        <f t="shared" si="0"/>
        <v>Normal</v>
      </c>
      <c r="V35" s="1" t="str">
        <f t="shared" si="1"/>
        <v>Outlier</v>
      </c>
      <c r="W35" s="19">
        <f t="shared" si="2"/>
        <v>0.18207816968541468</v>
      </c>
      <c r="X35" s="19">
        <f t="shared" si="3"/>
        <v>-0.75069637883008355</v>
      </c>
      <c r="AK35" s="21">
        <f t="shared" si="4"/>
        <v>44802</v>
      </c>
      <c r="AL35" s="1">
        <f>SUMIFS(Table7[Calls Off],Table7[Date],"&gt;="&amp;AK35,Table7[Date],"&lt;"&amp;AK36)</f>
        <v>5271</v>
      </c>
      <c r="AM35" s="1">
        <f>SUMIFS(Table7[Calls Ans],Table7[Date],"&gt;="&amp;AK35,Table7[Date],"&lt;"&amp;AK36)</f>
        <v>2195</v>
      </c>
    </row>
    <row r="36" spans="1:42">
      <c r="A36" s="23">
        <v>44686</v>
      </c>
      <c r="B36" s="121">
        <f>IF(YEAR(Table9[[#This Row],[Date]]) = 2022, WEEKNUM(Table9[[#This Row],[Date]])-13, WEEKNUM(Table9[[#This Row],[Date]])+40)</f>
        <v>6</v>
      </c>
      <c r="C36" s="35" t="s">
        <v>51</v>
      </c>
      <c r="D36" s="35" t="s">
        <v>59</v>
      </c>
      <c r="E36" s="1">
        <v>1204</v>
      </c>
      <c r="F36" s="1">
        <v>432</v>
      </c>
      <c r="G36" s="67">
        <v>6.9271758436944941E-2</v>
      </c>
      <c r="H36" s="67">
        <v>-0.41304347826086957</v>
      </c>
      <c r="I36" s="1">
        <v>3728</v>
      </c>
      <c r="J36" s="1">
        <v>1134</v>
      </c>
      <c r="K36" s="1">
        <v>22679</v>
      </c>
      <c r="L36" s="1">
        <v>17543</v>
      </c>
      <c r="M36" s="18">
        <v>0.14000000000000001</v>
      </c>
      <c r="N36" s="18">
        <v>0.64</v>
      </c>
      <c r="O36" s="18">
        <v>0.36</v>
      </c>
      <c r="P36" s="18">
        <v>0.8</v>
      </c>
      <c r="Q36" s="18">
        <v>0.69</v>
      </c>
      <c r="R36" s="17">
        <v>0</v>
      </c>
      <c r="S36" s="17">
        <v>0</v>
      </c>
      <c r="T36" s="17">
        <v>0</v>
      </c>
      <c r="U36" s="1" t="str">
        <f t="shared" si="0"/>
        <v>Normal</v>
      </c>
      <c r="V36" s="1" t="str">
        <f t="shared" si="1"/>
        <v>Outlier</v>
      </c>
      <c r="W36" s="19">
        <f t="shared" si="2"/>
        <v>6.9271758436944941E-2</v>
      </c>
      <c r="X36" s="19">
        <f t="shared" si="3"/>
        <v>-0.41304347826086957</v>
      </c>
      <c r="AK36" s="21">
        <f t="shared" si="4"/>
        <v>44809</v>
      </c>
      <c r="AL36" s="1">
        <f>SUMIFS(Table7[Calls Off],Table7[Date],"&gt;="&amp;AK36,Table7[Date],"&lt;"&amp;AK37)</f>
        <v>5544</v>
      </c>
      <c r="AM36" s="1">
        <f>SUMIFS(Table7[Calls Ans],Table7[Date],"&gt;="&amp;AK36,Table7[Date],"&lt;"&amp;AK37)</f>
        <v>2993</v>
      </c>
    </row>
    <row r="37" spans="1:42">
      <c r="A37" s="23">
        <v>44687</v>
      </c>
      <c r="B37" s="121">
        <f>IF(YEAR(Table9[[#This Row],[Date]]) = 2022, WEEKNUM(Table9[[#This Row],[Date]])-13, WEEKNUM(Table9[[#This Row],[Date]])+40)</f>
        <v>6</v>
      </c>
      <c r="C37" s="35" t="s">
        <v>52</v>
      </c>
      <c r="D37" s="35" t="s">
        <v>59</v>
      </c>
      <c r="E37" s="1">
        <v>1199</v>
      </c>
      <c r="F37" s="1">
        <v>581</v>
      </c>
      <c r="G37" s="67">
        <v>3.006872852233677E-2</v>
      </c>
      <c r="H37" s="67">
        <v>0.12379110251450677</v>
      </c>
      <c r="I37" s="1">
        <v>4927</v>
      </c>
      <c r="J37" s="1">
        <v>1715</v>
      </c>
      <c r="K37" s="1">
        <v>23018</v>
      </c>
      <c r="L37" s="1">
        <v>17873</v>
      </c>
      <c r="M37" s="18">
        <v>0.14000000000000001</v>
      </c>
      <c r="N37" s="18">
        <v>0.52</v>
      </c>
      <c r="O37" s="18">
        <v>0.48</v>
      </c>
      <c r="P37" s="18">
        <v>0.54</v>
      </c>
      <c r="Q37" s="18">
        <v>0.56000000000000005</v>
      </c>
      <c r="R37" s="17">
        <v>0</v>
      </c>
      <c r="S37" s="17">
        <v>0</v>
      </c>
      <c r="T37" s="17">
        <v>0</v>
      </c>
      <c r="U37" s="1" t="str">
        <f t="shared" si="0"/>
        <v>Normal</v>
      </c>
      <c r="V37" s="1" t="str">
        <f t="shared" si="1"/>
        <v>Normal</v>
      </c>
      <c r="W37" s="19">
        <f t="shared" si="2"/>
        <v>3.006872852233677E-2</v>
      </c>
      <c r="X37" s="19">
        <f t="shared" si="3"/>
        <v>0.12379110251450677</v>
      </c>
      <c r="AK37" s="21">
        <f t="shared" si="4"/>
        <v>44816</v>
      </c>
      <c r="AL37" s="1">
        <f>SUMIFS(Table7[Calls Off],Table7[Date],"&gt;="&amp;AK37,Table7[Date],"&lt;"&amp;AK38)</f>
        <v>5111</v>
      </c>
      <c r="AM37" s="1">
        <f>SUMIFS(Table7[Calls Ans],Table7[Date],"&gt;="&amp;AK37,Table7[Date],"&lt;"&amp;AK38)</f>
        <v>3087</v>
      </c>
    </row>
    <row r="38" spans="1:42">
      <c r="A38" s="23">
        <v>44688</v>
      </c>
      <c r="B38" s="121">
        <f>IF(YEAR(Table9[[#This Row],[Date]]) = 2022, WEEKNUM(Table9[[#This Row],[Date]])-13, WEEKNUM(Table9[[#This Row],[Date]])+40)</f>
        <v>6</v>
      </c>
      <c r="C38" s="35" t="s">
        <v>53</v>
      </c>
      <c r="D38" s="35" t="s">
        <v>59</v>
      </c>
      <c r="E38" s="1">
        <v>648</v>
      </c>
      <c r="F38" s="1">
        <v>503</v>
      </c>
      <c r="G38" s="67">
        <v>2.8571428571428571E-2</v>
      </c>
      <c r="H38" s="67">
        <v>0.19194312796208532</v>
      </c>
      <c r="I38" s="1">
        <v>5575</v>
      </c>
      <c r="J38" s="1">
        <v>2218</v>
      </c>
      <c r="K38" s="1">
        <v>23666</v>
      </c>
      <c r="L38" s="1">
        <v>18376</v>
      </c>
      <c r="M38" s="18">
        <v>0.48</v>
      </c>
      <c r="N38" s="18">
        <v>0.22</v>
      </c>
      <c r="O38" s="18">
        <v>0.78</v>
      </c>
      <c r="P38" s="18">
        <v>0.55000000000000004</v>
      </c>
      <c r="Q38" s="18">
        <v>0.62</v>
      </c>
      <c r="R38" s="17">
        <v>0</v>
      </c>
      <c r="S38" s="17">
        <v>0</v>
      </c>
      <c r="T38" s="17">
        <v>0</v>
      </c>
      <c r="U38" s="1" t="str">
        <f t="shared" si="0"/>
        <v>Normal</v>
      </c>
      <c r="V38" s="1" t="str">
        <f t="shared" si="1"/>
        <v>Normal</v>
      </c>
      <c r="W38" s="19">
        <f t="shared" si="2"/>
        <v>2.8571428571428571E-2</v>
      </c>
      <c r="X38" s="19">
        <f t="shared" si="3"/>
        <v>0.19194312796208532</v>
      </c>
      <c r="AK38" s="21">
        <f t="shared" si="4"/>
        <v>44823</v>
      </c>
      <c r="AL38" s="1">
        <f>SUMIFS(Table7[Calls Off],Table7[Date],"&gt;="&amp;AK38,Table7[Date],"&lt;"&amp;AK39)</f>
        <v>4647</v>
      </c>
      <c r="AM38" s="1">
        <f>SUMIFS(Table7[Calls Ans],Table7[Date],"&gt;="&amp;AK38,Table7[Date],"&lt;"&amp;AK39)</f>
        <v>3146</v>
      </c>
    </row>
    <row r="39" spans="1:42">
      <c r="A39" s="21">
        <v>44689</v>
      </c>
      <c r="B39" s="17">
        <f>IF(YEAR(Table9[[#This Row],[Date]]) = 2022, WEEKNUM(Table9[[#This Row],[Date]])-13, WEEKNUM(Table9[[#This Row],[Date]])+40)</f>
        <v>7</v>
      </c>
      <c r="C39" s="34" t="s">
        <v>47</v>
      </c>
      <c r="D39" s="35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7">
        <v>0</v>
      </c>
      <c r="S39" s="17">
        <v>0</v>
      </c>
      <c r="T39" s="17">
        <v>0</v>
      </c>
      <c r="U39" s="1" t="str">
        <f t="shared" si="0"/>
        <v>Normal</v>
      </c>
      <c r="V39" s="1" t="str">
        <f t="shared" si="1"/>
        <v>Normal</v>
      </c>
      <c r="W39" s="19">
        <f t="shared" si="2"/>
        <v>0</v>
      </c>
      <c r="X39" s="19">
        <f t="shared" si="3"/>
        <v>0</v>
      </c>
      <c r="AK39" s="21">
        <f t="shared" si="4"/>
        <v>44830</v>
      </c>
      <c r="AL39" s="1">
        <f>SUMIFS(Table7[Calls Off],Table7[Date],"&gt;="&amp;AK39,Table7[Date],"&lt;"&amp;AK40)</f>
        <v>6325</v>
      </c>
      <c r="AM39" s="1">
        <f>SUMIFS(Table7[Calls Ans],Table7[Date],"&gt;="&amp;AK39,Table7[Date],"&lt;"&amp;AK40)</f>
        <v>3116</v>
      </c>
    </row>
    <row r="40" spans="1:42">
      <c r="A40" s="23">
        <v>44690</v>
      </c>
      <c r="B40" s="121">
        <f>IF(YEAR(Table9[[#This Row],[Date]]) = 2022, WEEKNUM(Table9[[#This Row],[Date]])-13, WEEKNUM(Table9[[#This Row],[Date]])+40)</f>
        <v>7</v>
      </c>
      <c r="C40" s="35" t="s">
        <v>48</v>
      </c>
      <c r="D40" s="35" t="s">
        <v>59</v>
      </c>
      <c r="E40" s="1">
        <v>1086</v>
      </c>
      <c r="F40" s="1">
        <v>583</v>
      </c>
      <c r="G40" s="67">
        <v>0</v>
      </c>
      <c r="H40" s="67">
        <v>0</v>
      </c>
      <c r="I40" s="1">
        <v>6661</v>
      </c>
      <c r="J40" s="1">
        <v>2801</v>
      </c>
      <c r="K40" s="1">
        <v>24752</v>
      </c>
      <c r="L40" s="1">
        <v>18959</v>
      </c>
      <c r="M40" s="18">
        <v>0.2</v>
      </c>
      <c r="N40" s="18">
        <v>0.46</v>
      </c>
      <c r="O40" s="18">
        <v>0.54</v>
      </c>
      <c r="P40" s="18">
        <v>0.66</v>
      </c>
      <c r="Q40" s="18">
        <v>0.72</v>
      </c>
      <c r="R40" s="17">
        <v>0</v>
      </c>
      <c r="S40" s="17">
        <v>0</v>
      </c>
      <c r="T40" s="17">
        <v>0</v>
      </c>
      <c r="U40" s="1" t="str">
        <f t="shared" si="0"/>
        <v>Normal</v>
      </c>
      <c r="V40" s="1" t="str">
        <f t="shared" si="1"/>
        <v>Normal</v>
      </c>
      <c r="W40" s="19">
        <f t="shared" si="2"/>
        <v>0</v>
      </c>
      <c r="X40" s="19">
        <f t="shared" si="3"/>
        <v>0</v>
      </c>
      <c r="AK40" s="21">
        <f>AK39+7</f>
        <v>44837</v>
      </c>
      <c r="AL40" s="1">
        <f>SUMIFS(Table7[Calls Off],Table7[Date],"&gt;="&amp;AK40,Table7[Date],"&lt;"&amp;AK41)</f>
        <v>5972</v>
      </c>
      <c r="AM40" s="1">
        <f>SUMIFS(Table7[Calls Ans],Table7[Date],"&gt;="&amp;AK40,Table7[Date],"&lt;"&amp;AK41)</f>
        <v>2372</v>
      </c>
    </row>
    <row r="41" spans="1:42">
      <c r="A41" s="23">
        <v>44691</v>
      </c>
      <c r="B41" s="121">
        <f>IF(YEAR(Table9[[#This Row],[Date]]) = 2022, WEEKNUM(Table9[[#This Row],[Date]])-13, WEEKNUM(Table9[[#This Row],[Date]])+40)</f>
        <v>7</v>
      </c>
      <c r="C41" s="35" t="s">
        <v>49</v>
      </c>
      <c r="D41" s="35" t="s">
        <v>59</v>
      </c>
      <c r="E41" s="1">
        <v>1080</v>
      </c>
      <c r="F41" s="1">
        <v>560</v>
      </c>
      <c r="G41" s="67">
        <v>-0.15887850467289719</v>
      </c>
      <c r="H41" s="67">
        <v>7.0745697896749518E-2</v>
      </c>
      <c r="I41" s="1">
        <v>7741</v>
      </c>
      <c r="J41" s="1">
        <v>3361</v>
      </c>
      <c r="K41" s="1">
        <v>25832</v>
      </c>
      <c r="L41" s="1">
        <v>19519</v>
      </c>
      <c r="M41" s="18">
        <v>0.11</v>
      </c>
      <c r="N41" s="18">
        <v>0.48</v>
      </c>
      <c r="O41" s="18">
        <v>0.52</v>
      </c>
      <c r="P41" s="18">
        <v>0.7</v>
      </c>
      <c r="Q41" s="18">
        <v>0.57999999999999996</v>
      </c>
      <c r="R41" s="17">
        <v>0</v>
      </c>
      <c r="S41" s="17">
        <v>0</v>
      </c>
      <c r="T41" s="17">
        <v>0</v>
      </c>
      <c r="U41" s="1" t="str">
        <f t="shared" si="0"/>
        <v>Normal</v>
      </c>
      <c r="V41" s="1" t="str">
        <f t="shared" si="1"/>
        <v>Normal</v>
      </c>
      <c r="W41" s="19">
        <f t="shared" si="2"/>
        <v>-0.15887850467289719</v>
      </c>
      <c r="X41" s="19">
        <f t="shared" si="3"/>
        <v>7.0745697896749518E-2</v>
      </c>
      <c r="AK41" s="21">
        <f t="shared" si="4"/>
        <v>44844</v>
      </c>
      <c r="AL41" s="1">
        <f>SUMIFS(Table7[Calls Off],Table7[Date],"&gt;="&amp;AK41,Table7[Date],"&lt;"&amp;AK42)</f>
        <v>5039</v>
      </c>
      <c r="AM41" s="1">
        <f>SUMIFS(Table7[Calls Ans],Table7[Date],"&gt;="&amp;AK41,Table7[Date],"&lt;"&amp;AK42)</f>
        <v>3973</v>
      </c>
    </row>
    <row r="42" spans="1:42">
      <c r="A42" s="23">
        <v>44692</v>
      </c>
      <c r="B42" s="121">
        <f>IF(YEAR(Table9[[#This Row],[Date]]) = 2022, WEEKNUM(Table9[[#This Row],[Date]])-13, WEEKNUM(Table9[[#This Row],[Date]])+40)</f>
        <v>7</v>
      </c>
      <c r="C42" s="35" t="s">
        <v>50</v>
      </c>
      <c r="D42" s="35" t="s">
        <v>59</v>
      </c>
      <c r="E42" s="1">
        <v>1032</v>
      </c>
      <c r="F42" s="1">
        <v>721</v>
      </c>
      <c r="G42" s="67">
        <v>-0.16774193548387098</v>
      </c>
      <c r="H42" s="67">
        <v>3.0279329608938546</v>
      </c>
      <c r="I42" s="1">
        <v>8773</v>
      </c>
      <c r="J42" s="1">
        <v>4082</v>
      </c>
      <c r="K42" s="1">
        <v>26864</v>
      </c>
      <c r="L42" s="1">
        <v>20240</v>
      </c>
      <c r="M42" s="18">
        <v>0.28000000000000003</v>
      </c>
      <c r="N42" s="18">
        <v>0.3</v>
      </c>
      <c r="O42" s="18">
        <v>0.7</v>
      </c>
      <c r="P42" s="18">
        <v>0.61</v>
      </c>
      <c r="Q42" s="18">
        <v>0.66</v>
      </c>
      <c r="R42" s="17">
        <v>0</v>
      </c>
      <c r="S42" s="17">
        <v>0</v>
      </c>
      <c r="T42" s="17">
        <v>0</v>
      </c>
      <c r="U42" s="1" t="str">
        <f t="shared" si="0"/>
        <v>Normal</v>
      </c>
      <c r="V42" s="1" t="str">
        <f t="shared" si="1"/>
        <v>Outlier</v>
      </c>
      <c r="W42" s="19">
        <f t="shared" si="2"/>
        <v>-0.16774193548387098</v>
      </c>
      <c r="X42" s="19">
        <f t="shared" si="3"/>
        <v>4.4288000120300104E-2</v>
      </c>
      <c r="AK42" s="21">
        <f t="shared" si="4"/>
        <v>44851</v>
      </c>
      <c r="AL42" s="1">
        <f>SUMIFS(Table7[Calls Off],Table7[Date],"&gt;="&amp;AK42,Table7[Date],"&lt;"&amp;AK43)</f>
        <v>5135</v>
      </c>
      <c r="AM42" s="1">
        <f>SUMIFS(Table7[Calls Ans],Table7[Date],"&gt;="&amp;AK42,Table7[Date],"&lt;"&amp;AK43)</f>
        <v>4042</v>
      </c>
    </row>
    <row r="43" spans="1:42">
      <c r="A43" s="23">
        <v>44693</v>
      </c>
      <c r="B43" s="121">
        <f>IF(YEAR(Table9[[#This Row],[Date]]) = 2022, WEEKNUM(Table9[[#This Row],[Date]])-13, WEEKNUM(Table9[[#This Row],[Date]])+40)</f>
        <v>7</v>
      </c>
      <c r="C43" s="35" t="s">
        <v>51</v>
      </c>
      <c r="D43" s="35" t="s">
        <v>59</v>
      </c>
      <c r="E43" s="1">
        <v>995</v>
      </c>
      <c r="F43" s="1">
        <v>771</v>
      </c>
      <c r="G43" s="67">
        <v>-0.17358803986710963</v>
      </c>
      <c r="H43" s="67">
        <v>0.78472222222222221</v>
      </c>
      <c r="I43" s="1">
        <v>9768</v>
      </c>
      <c r="J43" s="1">
        <v>4853</v>
      </c>
      <c r="K43" s="1">
        <v>27859</v>
      </c>
      <c r="L43" s="1">
        <v>21011</v>
      </c>
      <c r="M43" s="18">
        <v>0.42</v>
      </c>
      <c r="N43" s="18">
        <v>0.23</v>
      </c>
      <c r="O43" s="18">
        <v>0.77</v>
      </c>
      <c r="P43" s="18">
        <v>0.54</v>
      </c>
      <c r="Q43" s="18">
        <v>0.66</v>
      </c>
      <c r="R43" s="17">
        <v>0</v>
      </c>
      <c r="S43" s="17">
        <v>0</v>
      </c>
      <c r="T43" s="17">
        <v>0</v>
      </c>
      <c r="U43" s="1" t="str">
        <f t="shared" si="0"/>
        <v>Normal</v>
      </c>
      <c r="V43" s="1" t="str">
        <f t="shared" si="1"/>
        <v>Outlier</v>
      </c>
      <c r="W43" s="19">
        <f t="shared" si="2"/>
        <v>-0.17358803986710963</v>
      </c>
      <c r="X43" s="19">
        <f t="shared" si="3"/>
        <v>0.78472222222222221</v>
      </c>
      <c r="AK43" s="21">
        <f t="shared" si="4"/>
        <v>44858</v>
      </c>
      <c r="AL43" s="1">
        <f>SUMIFS(Table7[Calls Off],Table7[Date],"&gt;="&amp;AK43,Table7[Date],"&lt;"&amp;AK44)</f>
        <v>5713</v>
      </c>
      <c r="AM43" s="1">
        <f>SUMIFS(Table7[Calls Ans],Table7[Date],"&gt;="&amp;AK43,Table7[Date],"&lt;"&amp;AK44)</f>
        <v>1913</v>
      </c>
    </row>
    <row r="44" spans="1:42">
      <c r="A44" s="23">
        <v>44694</v>
      </c>
      <c r="B44" s="121">
        <f>IF(YEAR(Table9[[#This Row],[Date]]) = 2022, WEEKNUM(Table9[[#This Row],[Date]])-13, WEEKNUM(Table9[[#This Row],[Date]])+40)</f>
        <v>7</v>
      </c>
      <c r="C44" s="35" t="s">
        <v>52</v>
      </c>
      <c r="D44" s="35" t="s">
        <v>59</v>
      </c>
      <c r="E44" s="1">
        <v>1017</v>
      </c>
      <c r="F44" s="1">
        <v>772</v>
      </c>
      <c r="G44" s="67">
        <v>-0.15179316096747289</v>
      </c>
      <c r="H44" s="67">
        <v>0.32874354561101549</v>
      </c>
      <c r="I44" s="1">
        <v>10785</v>
      </c>
      <c r="J44" s="1">
        <v>5625</v>
      </c>
      <c r="K44" s="1">
        <v>28876</v>
      </c>
      <c r="L44" s="1">
        <v>21783</v>
      </c>
      <c r="M44" s="18">
        <v>0.37</v>
      </c>
      <c r="N44" s="18">
        <v>0.24</v>
      </c>
      <c r="O44" s="18">
        <v>0.76</v>
      </c>
      <c r="P44" s="18">
        <v>0.62</v>
      </c>
      <c r="Q44" s="18">
        <v>0.66</v>
      </c>
      <c r="R44" s="17">
        <v>0</v>
      </c>
      <c r="S44" s="17">
        <v>0</v>
      </c>
      <c r="T44" s="17">
        <v>0</v>
      </c>
      <c r="U44" s="1" t="str">
        <f t="shared" si="0"/>
        <v>Normal</v>
      </c>
      <c r="V44" s="1" t="str">
        <f t="shared" si="1"/>
        <v>Outlier</v>
      </c>
      <c r="W44" s="19">
        <f t="shared" si="2"/>
        <v>-0.15179316096747289</v>
      </c>
      <c r="X44" s="19">
        <f t="shared" si="3"/>
        <v>0.32874354561101549</v>
      </c>
      <c r="AK44" s="21">
        <f t="shared" si="4"/>
        <v>44865</v>
      </c>
      <c r="AL44" s="1">
        <f>SUMIFS(Table7[Calls Off],Table7[Date],"&gt;="&amp;AK44,Table7[Date],"&lt;"&amp;AK45)</f>
        <v>5727</v>
      </c>
      <c r="AM44" s="1">
        <f>SUMIFS(Table7[Calls Ans],Table7[Date],"&gt;="&amp;AK44,Table7[Date],"&lt;"&amp;AK45)</f>
        <v>3696</v>
      </c>
    </row>
    <row r="45" spans="1:42">
      <c r="A45" s="23">
        <v>44695</v>
      </c>
      <c r="B45" s="121">
        <f>IF(YEAR(Table9[[#This Row],[Date]]) = 2022, WEEKNUM(Table9[[#This Row],[Date]])-13, WEEKNUM(Table9[[#This Row],[Date]])+40)</f>
        <v>7</v>
      </c>
      <c r="C45" s="35" t="s">
        <v>53</v>
      </c>
      <c r="D45" s="35" t="s">
        <v>59</v>
      </c>
      <c r="E45" s="1">
        <v>617</v>
      </c>
      <c r="F45" s="1">
        <v>398</v>
      </c>
      <c r="G45" s="67">
        <v>-4.7839506172839504E-2</v>
      </c>
      <c r="H45" s="67">
        <v>-0.20874751491053678</v>
      </c>
      <c r="I45" s="1">
        <v>11402</v>
      </c>
      <c r="J45" s="1">
        <v>6023</v>
      </c>
      <c r="K45" s="1">
        <v>29493</v>
      </c>
      <c r="L45" s="1">
        <v>22181</v>
      </c>
      <c r="M45" s="18">
        <v>0.3</v>
      </c>
      <c r="N45" s="18">
        <v>0.35</v>
      </c>
      <c r="O45" s="18">
        <v>0.65</v>
      </c>
      <c r="P45" s="18">
        <v>0.67</v>
      </c>
      <c r="Q45" s="18">
        <v>0.81</v>
      </c>
      <c r="R45" s="17">
        <v>0</v>
      </c>
      <c r="S45" s="17">
        <v>0</v>
      </c>
      <c r="T45" s="17">
        <v>0</v>
      </c>
      <c r="U45" s="1" t="str">
        <f t="shared" si="0"/>
        <v>Normal</v>
      </c>
      <c r="V45" s="1" t="str">
        <f t="shared" si="1"/>
        <v>Normal</v>
      </c>
      <c r="W45" s="19">
        <f t="shared" si="2"/>
        <v>-4.7839506172839504E-2</v>
      </c>
      <c r="X45" s="19">
        <f t="shared" si="3"/>
        <v>-0.20874751491053678</v>
      </c>
      <c r="AK45" s="21">
        <f t="shared" si="4"/>
        <v>44872</v>
      </c>
      <c r="AL45" s="1">
        <f>SUMIFS(Table7[Calls Off],Table7[Date],"&gt;="&amp;AK45,Table7[Date],"&lt;"&amp;AK46)</f>
        <v>5593</v>
      </c>
      <c r="AM45" s="1">
        <f>SUMIFS(Table7[Calls Ans],Table7[Date],"&gt;="&amp;AK45,Table7[Date],"&lt;"&amp;AK46)</f>
        <v>3572</v>
      </c>
      <c r="AO45">
        <f>(Table4[[#This Row],[Sum of Calls - Offered]]-AL44)/AL44</f>
        <v>-2.3397939584424654E-2</v>
      </c>
      <c r="AP45">
        <f>(Table4[[#This Row],[Sum of Calls - Answered]]-AM44)/AM44</f>
        <v>-3.3549783549783552E-2</v>
      </c>
    </row>
    <row r="46" spans="1:42">
      <c r="A46" s="21">
        <v>44696</v>
      </c>
      <c r="B46" s="17">
        <f>IF(YEAR(Table9[[#This Row],[Date]]) = 2022, WEEKNUM(Table9[[#This Row],[Date]])-13, WEEKNUM(Table9[[#This Row],[Date]])+40)</f>
        <v>8</v>
      </c>
      <c r="C46" s="35" t="s">
        <v>47</v>
      </c>
      <c r="D46" s="35" t="s">
        <v>59</v>
      </c>
      <c r="E46" s="1">
        <v>0</v>
      </c>
      <c r="F46" s="1">
        <v>0</v>
      </c>
      <c r="G46" s="67">
        <v>0</v>
      </c>
      <c r="H46" s="67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7">
        <v>0</v>
      </c>
      <c r="S46" s="17">
        <v>0</v>
      </c>
      <c r="T46" s="17">
        <v>0</v>
      </c>
      <c r="U46" s="1" t="str">
        <f t="shared" si="0"/>
        <v>Normal</v>
      </c>
      <c r="V46" s="1" t="str">
        <f t="shared" si="1"/>
        <v>Normal</v>
      </c>
      <c r="W46" s="19">
        <f t="shared" si="2"/>
        <v>0</v>
      </c>
      <c r="X46" s="19">
        <f t="shared" si="3"/>
        <v>0</v>
      </c>
      <c r="AK46" s="21">
        <f t="shared" si="4"/>
        <v>44879</v>
      </c>
      <c r="AL46" s="1">
        <f>SUMIFS(Table7[Calls Off],Table7[Date],"&gt;="&amp;AK46,Table7[Date],"&lt;"&amp;AK47)</f>
        <v>5775</v>
      </c>
      <c r="AM46" s="1">
        <f>SUMIFS(Table7[Calls Ans],Table7[Date],"&gt;="&amp;AK46,Table7[Date],"&lt;"&amp;AK47)</f>
        <v>4203</v>
      </c>
    </row>
    <row r="47" spans="1:42">
      <c r="A47" s="23">
        <v>44697</v>
      </c>
      <c r="B47" s="121">
        <f>IF(YEAR(Table9[[#This Row],[Date]]) = 2022, WEEKNUM(Table9[[#This Row],[Date]])-13, WEEKNUM(Table9[[#This Row],[Date]])+40)</f>
        <v>8</v>
      </c>
      <c r="C47" s="35" t="s">
        <v>48</v>
      </c>
      <c r="D47" s="35" t="s">
        <v>59</v>
      </c>
      <c r="E47" s="1">
        <v>1027</v>
      </c>
      <c r="F47" s="1">
        <v>578</v>
      </c>
      <c r="G47" s="67">
        <v>-5.432780847145488E-2</v>
      </c>
      <c r="H47" s="67">
        <v>-8.5763293310463125E-3</v>
      </c>
      <c r="I47" s="1">
        <v>12429</v>
      </c>
      <c r="J47" s="1">
        <v>6601</v>
      </c>
      <c r="K47" s="1">
        <v>30520</v>
      </c>
      <c r="L47" s="1">
        <v>22759</v>
      </c>
      <c r="M47" s="18">
        <v>0.27</v>
      </c>
      <c r="N47" s="18">
        <v>0.44</v>
      </c>
      <c r="O47" s="18">
        <v>0.56000000000000005</v>
      </c>
      <c r="P47" s="18">
        <v>0.68</v>
      </c>
      <c r="Q47" s="18">
        <v>0.69</v>
      </c>
      <c r="R47" s="17">
        <v>0</v>
      </c>
      <c r="S47" s="17">
        <v>0</v>
      </c>
      <c r="T47" s="17">
        <v>0</v>
      </c>
      <c r="U47" s="1" t="str">
        <f t="shared" si="0"/>
        <v>Normal</v>
      </c>
      <c r="V47" s="1" t="str">
        <f t="shared" si="1"/>
        <v>Normal</v>
      </c>
      <c r="W47" s="19">
        <f t="shared" si="2"/>
        <v>-5.432780847145488E-2</v>
      </c>
      <c r="X47" s="19">
        <f t="shared" si="3"/>
        <v>-8.5763293310463125E-3</v>
      </c>
      <c r="AK47" s="21">
        <f t="shared" si="4"/>
        <v>44886</v>
      </c>
      <c r="AL47" s="1">
        <f>SUMIFS(Table7[Calls Off],Table7[Date],"&gt;="&amp;AK47,Table7[Date],"&lt;"&amp;AK48)</f>
        <v>7355</v>
      </c>
      <c r="AM47" s="1">
        <f>SUMIFS(Table7[Calls Ans],Table7[Date],"&gt;="&amp;AK47,Table7[Date],"&lt;"&amp;AK48)</f>
        <v>4620</v>
      </c>
    </row>
    <row r="48" spans="1:42">
      <c r="A48" s="23">
        <v>44698</v>
      </c>
      <c r="B48" s="121">
        <f>IF(YEAR(Table9[[#This Row],[Date]]) = 2022, WEEKNUM(Table9[[#This Row],[Date]])-13, WEEKNUM(Table9[[#This Row],[Date]])+40)</f>
        <v>8</v>
      </c>
      <c r="C48" s="35" t="s">
        <v>49</v>
      </c>
      <c r="D48" s="35" t="s">
        <v>59</v>
      </c>
      <c r="E48" s="1">
        <v>1048</v>
      </c>
      <c r="F48" s="1">
        <v>696</v>
      </c>
      <c r="G48" s="67">
        <v>-2.9629629629629631E-2</v>
      </c>
      <c r="H48" s="67">
        <v>0.24285714285714285</v>
      </c>
      <c r="I48" s="1">
        <v>13477</v>
      </c>
      <c r="J48" s="1">
        <v>7297</v>
      </c>
      <c r="K48" s="1">
        <v>31568</v>
      </c>
      <c r="L48" s="1">
        <v>23455</v>
      </c>
      <c r="M48" s="18">
        <v>0.23</v>
      </c>
      <c r="N48" s="18">
        <v>0.34</v>
      </c>
      <c r="O48" s="18">
        <v>0.66</v>
      </c>
      <c r="P48" s="18">
        <v>0.72</v>
      </c>
      <c r="Q48" s="18">
        <v>0.69</v>
      </c>
      <c r="R48" s="17">
        <v>0</v>
      </c>
      <c r="S48" s="17">
        <v>0</v>
      </c>
      <c r="T48" s="17">
        <v>0</v>
      </c>
      <c r="U48" s="1" t="str">
        <f t="shared" si="0"/>
        <v>Normal</v>
      </c>
      <c r="V48" s="1" t="str">
        <f t="shared" si="1"/>
        <v>Normal</v>
      </c>
      <c r="W48" s="19">
        <f t="shared" si="2"/>
        <v>-2.9629629629629631E-2</v>
      </c>
      <c r="X48" s="19">
        <f t="shared" si="3"/>
        <v>0.24285714285714285</v>
      </c>
      <c r="AK48" s="21">
        <f t="shared" si="4"/>
        <v>44893</v>
      </c>
      <c r="AL48" s="1">
        <f>SUMIFS(Table7[Calls Off],Table7[Date],"&gt;="&amp;AK48,Table7[Date],"&lt;"&amp;AK49)</f>
        <v>8516</v>
      </c>
      <c r="AM48" s="1">
        <f>SUMIFS(Table7[Calls Ans],Table7[Date],"&gt;="&amp;AK48,Table7[Date],"&lt;"&amp;AK49)</f>
        <v>4607</v>
      </c>
    </row>
    <row r="49" spans="1:39">
      <c r="A49" s="23">
        <v>44699</v>
      </c>
      <c r="B49" s="121">
        <f>IF(YEAR(Table9[[#This Row],[Date]]) = 2022, WEEKNUM(Table9[[#This Row],[Date]])-13, WEEKNUM(Table9[[#This Row],[Date]])+40)</f>
        <v>8</v>
      </c>
      <c r="C49" s="35" t="s">
        <v>50</v>
      </c>
      <c r="D49" s="35" t="s">
        <v>59</v>
      </c>
      <c r="E49" s="1">
        <v>860</v>
      </c>
      <c r="F49" s="1">
        <v>603</v>
      </c>
      <c r="G49" s="67">
        <v>-0.16666666666666666</v>
      </c>
      <c r="H49" s="67">
        <v>-0.1636615811373093</v>
      </c>
      <c r="I49" s="1">
        <v>14337</v>
      </c>
      <c r="J49" s="1">
        <v>7900</v>
      </c>
      <c r="K49" s="1">
        <v>32428</v>
      </c>
      <c r="L49" s="1">
        <v>24058</v>
      </c>
      <c r="M49" s="18">
        <v>0.28000000000000003</v>
      </c>
      <c r="N49" s="18">
        <v>0.3</v>
      </c>
      <c r="O49" s="18">
        <v>0.7</v>
      </c>
      <c r="P49" s="18">
        <v>0.62</v>
      </c>
      <c r="Q49" s="18">
        <v>0.72</v>
      </c>
      <c r="R49" s="17">
        <v>0</v>
      </c>
      <c r="S49" s="17">
        <v>0</v>
      </c>
      <c r="T49" s="17">
        <v>0</v>
      </c>
      <c r="U49" s="1" t="str">
        <f t="shared" si="0"/>
        <v>Normal</v>
      </c>
      <c r="V49" s="1" t="str">
        <f t="shared" si="1"/>
        <v>Normal</v>
      </c>
      <c r="W49" s="19">
        <f t="shared" si="2"/>
        <v>-0.16666666666666666</v>
      </c>
      <c r="X49" s="19">
        <f t="shared" si="3"/>
        <v>-0.1636615811373093</v>
      </c>
      <c r="AK49" s="21">
        <f t="shared" si="4"/>
        <v>44900</v>
      </c>
      <c r="AL49" s="1">
        <f>SUMIFS(Table7[Calls Off],Table7[Date],"&gt;="&amp;AK49,Table7[Date],"&lt;"&amp;AK50)</f>
        <v>7466</v>
      </c>
      <c r="AM49" s="1">
        <f>SUMIFS(Table7[Calls Ans],Table7[Date],"&gt;="&amp;AK49,Table7[Date],"&lt;"&amp;AK50)</f>
        <v>5023</v>
      </c>
    </row>
    <row r="50" spans="1:39">
      <c r="A50" s="23">
        <v>44700</v>
      </c>
      <c r="B50" s="121">
        <f>IF(YEAR(Table9[[#This Row],[Date]]) = 2022, WEEKNUM(Table9[[#This Row],[Date]])-13, WEEKNUM(Table9[[#This Row],[Date]])+40)</f>
        <v>8</v>
      </c>
      <c r="C50" s="35" t="s">
        <v>51</v>
      </c>
      <c r="D50" s="35" t="s">
        <v>59</v>
      </c>
      <c r="E50" s="1">
        <v>953</v>
      </c>
      <c r="F50" s="1">
        <v>662</v>
      </c>
      <c r="G50" s="67">
        <v>-4.2211055276381908E-2</v>
      </c>
      <c r="H50" s="67">
        <v>-0.14137483787289234</v>
      </c>
      <c r="I50" s="1">
        <v>15290</v>
      </c>
      <c r="J50" s="1">
        <v>8562</v>
      </c>
      <c r="K50" s="1">
        <v>33381</v>
      </c>
      <c r="L50" s="1">
        <v>24720</v>
      </c>
      <c r="M50" s="18">
        <v>0.37</v>
      </c>
      <c r="N50" s="18">
        <v>0.3</v>
      </c>
      <c r="O50" s="18">
        <v>0.7</v>
      </c>
      <c r="P50" s="18">
        <v>0.53</v>
      </c>
      <c r="Q50" s="18">
        <v>0.75</v>
      </c>
      <c r="R50" s="17">
        <v>0</v>
      </c>
      <c r="S50" s="17">
        <v>0</v>
      </c>
      <c r="T50" s="17">
        <v>0</v>
      </c>
      <c r="U50" s="1" t="str">
        <f t="shared" si="0"/>
        <v>Normal</v>
      </c>
      <c r="V50" s="1" t="str">
        <f t="shared" si="1"/>
        <v>Normal</v>
      </c>
      <c r="W50" s="19">
        <f t="shared" si="2"/>
        <v>-4.2211055276381908E-2</v>
      </c>
      <c r="X50" s="19">
        <f t="shared" si="3"/>
        <v>-0.14137483787289234</v>
      </c>
      <c r="AK50" s="21">
        <f t="shared" si="4"/>
        <v>44907</v>
      </c>
      <c r="AL50" s="1">
        <f>SUMIFS(Table7[Calls Off],Table7[Date],"&gt;="&amp;AK50,Table7[Date],"&lt;"&amp;AK51)</f>
        <v>7492</v>
      </c>
      <c r="AM50" s="1">
        <f>SUMIFS(Table7[Calls Ans],Table7[Date],"&gt;="&amp;AK50,Table7[Date],"&lt;"&amp;AK51)</f>
        <v>5333</v>
      </c>
    </row>
    <row r="51" spans="1:39">
      <c r="A51" s="23">
        <v>44701</v>
      </c>
      <c r="B51" s="121">
        <f>IF(YEAR(Table9[[#This Row],[Date]]) = 2022, WEEKNUM(Table9[[#This Row],[Date]])-13, WEEKNUM(Table9[[#This Row],[Date]])+40)</f>
        <v>8</v>
      </c>
      <c r="C51" s="35" t="s">
        <v>52</v>
      </c>
      <c r="D51" s="35" t="s">
        <v>59</v>
      </c>
      <c r="E51" s="1">
        <v>959</v>
      </c>
      <c r="F51" s="1">
        <v>681</v>
      </c>
      <c r="G51" s="67">
        <v>-5.7030481809242868E-2</v>
      </c>
      <c r="H51" s="67">
        <v>-0.11787564766839378</v>
      </c>
      <c r="I51" s="1">
        <v>16249</v>
      </c>
      <c r="J51" s="1">
        <v>9243</v>
      </c>
      <c r="K51" s="1">
        <v>34340</v>
      </c>
      <c r="L51" s="1">
        <v>25401</v>
      </c>
      <c r="M51" s="18">
        <v>0.38</v>
      </c>
      <c r="N51" s="18">
        <v>0.28999999999999998</v>
      </c>
      <c r="O51" s="18">
        <v>0.71</v>
      </c>
      <c r="P51" s="18">
        <v>0.52</v>
      </c>
      <c r="Q51" s="18">
        <v>0.74</v>
      </c>
      <c r="R51" s="17">
        <v>0</v>
      </c>
      <c r="S51" s="17">
        <v>0</v>
      </c>
      <c r="T51" s="17">
        <v>0</v>
      </c>
      <c r="U51" s="1" t="str">
        <f t="shared" si="0"/>
        <v>Normal</v>
      </c>
      <c r="V51" s="1" t="str">
        <f t="shared" si="1"/>
        <v>Normal</v>
      </c>
      <c r="W51" s="19">
        <f t="shared" si="2"/>
        <v>-5.7030481809242868E-2</v>
      </c>
      <c r="X51" s="19">
        <f t="shared" si="3"/>
        <v>-0.11787564766839378</v>
      </c>
      <c r="AK51" s="21">
        <f t="shared" si="4"/>
        <v>44914</v>
      </c>
      <c r="AL51" s="1">
        <f>SUMIFS(Table7[Calls Off],Table7[Date],"&gt;="&amp;AK51,Table7[Date],"&lt;"&amp;AK52)</f>
        <v>7764</v>
      </c>
      <c r="AM51" s="1">
        <f>SUMIFS(Table7[Calls Ans],Table7[Date],"&gt;="&amp;AK51,Table7[Date],"&lt;"&amp;AK52)</f>
        <v>4576</v>
      </c>
    </row>
    <row r="52" spans="1:39">
      <c r="A52" s="23">
        <v>44702</v>
      </c>
      <c r="B52" s="121">
        <f>IF(YEAR(Table9[[#This Row],[Date]]) = 2022, WEEKNUM(Table9[[#This Row],[Date]])-13, WEEKNUM(Table9[[#This Row],[Date]])+40)</f>
        <v>8</v>
      </c>
      <c r="C52" s="35" t="s">
        <v>53</v>
      </c>
      <c r="D52" s="35" t="s">
        <v>59</v>
      </c>
      <c r="E52" s="1">
        <v>444</v>
      </c>
      <c r="F52" s="1">
        <v>393</v>
      </c>
      <c r="G52" s="67">
        <v>-0.28038897893030795</v>
      </c>
      <c r="H52" s="67">
        <v>-1.2562814070351759E-2</v>
      </c>
      <c r="I52" s="1">
        <v>16693</v>
      </c>
      <c r="J52" s="1">
        <v>9636</v>
      </c>
      <c r="K52" s="1">
        <v>34784</v>
      </c>
      <c r="L52" s="1">
        <v>25794</v>
      </c>
      <c r="M52" s="18">
        <v>0.74</v>
      </c>
      <c r="N52" s="18">
        <v>0.11</v>
      </c>
      <c r="O52" s="18">
        <v>0.89</v>
      </c>
      <c r="P52" s="18">
        <v>0.37</v>
      </c>
      <c r="Q52" s="18">
        <v>0.79</v>
      </c>
      <c r="R52" s="17">
        <v>0</v>
      </c>
      <c r="S52" s="17">
        <v>0</v>
      </c>
      <c r="T52" s="17">
        <v>0</v>
      </c>
      <c r="U52" s="1" t="str">
        <f t="shared" si="0"/>
        <v>Outlier</v>
      </c>
      <c r="V52" s="1" t="str">
        <f t="shared" si="1"/>
        <v>Normal</v>
      </c>
      <c r="W52" s="19">
        <f t="shared" si="2"/>
        <v>-0.28038897893030795</v>
      </c>
      <c r="X52" s="19">
        <f t="shared" si="3"/>
        <v>-1.2562814070351759E-2</v>
      </c>
      <c r="AK52" s="21">
        <f t="shared" si="4"/>
        <v>44921</v>
      </c>
      <c r="AL52" s="1">
        <f>SUMIFS(Table7[Calls Off],Table7[Date],"&gt;="&amp;AK52,Table7[Date],"&lt;"&amp;AK53)</f>
        <v>3538</v>
      </c>
      <c r="AM52" s="1">
        <f>SUMIFS(Table7[Calls Ans],Table7[Date],"&gt;="&amp;AK52,Table7[Date],"&lt;"&amp;AK53)</f>
        <v>2719</v>
      </c>
    </row>
    <row r="53" spans="1:39">
      <c r="A53" s="21">
        <v>44703</v>
      </c>
      <c r="B53" s="17">
        <f>IF(YEAR(Table9[[#This Row],[Date]]) = 2022, WEEKNUM(Table9[[#This Row],[Date]])-13, WEEKNUM(Table9[[#This Row],[Date]])+40)</f>
        <v>9</v>
      </c>
      <c r="C53" s="34" t="s">
        <v>47</v>
      </c>
      <c r="D53" s="35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7">
        <v>0</v>
      </c>
      <c r="S53" s="17">
        <v>0</v>
      </c>
      <c r="T53" s="17">
        <v>0</v>
      </c>
      <c r="U53" s="1" t="str">
        <f t="shared" si="0"/>
        <v>Normal</v>
      </c>
      <c r="V53" s="1" t="str">
        <f t="shared" si="1"/>
        <v>Normal</v>
      </c>
      <c r="W53" s="19">
        <f t="shared" si="2"/>
        <v>0</v>
      </c>
      <c r="X53" s="19">
        <f t="shared" si="3"/>
        <v>0</v>
      </c>
      <c r="AK53" s="21">
        <f t="shared" si="4"/>
        <v>44928</v>
      </c>
      <c r="AL53" s="1">
        <f>SUMIFS(Table7[Calls Off],Table7[Date],"&gt;="&amp;AK53,Table7[Date],"&lt;"&amp;AK54)</f>
        <v>3868</v>
      </c>
      <c r="AM53" s="1">
        <f>SUMIFS(Table7[Calls Ans],Table7[Date],"&gt;="&amp;AK53,Table7[Date],"&lt;"&amp;AK54)</f>
        <v>3273</v>
      </c>
    </row>
    <row r="54" spans="1:39">
      <c r="A54" s="23">
        <v>44704</v>
      </c>
      <c r="B54" s="121">
        <f>IF(YEAR(Table9[[#This Row],[Date]]) = 2022, WEEKNUM(Table9[[#This Row],[Date]])-13, WEEKNUM(Table9[[#This Row],[Date]])+40)</f>
        <v>9</v>
      </c>
      <c r="C54" s="35" t="s">
        <v>48</v>
      </c>
      <c r="D54" s="35" t="s">
        <v>59</v>
      </c>
      <c r="E54" s="1">
        <v>927</v>
      </c>
      <c r="F54" s="1">
        <v>809</v>
      </c>
      <c r="G54" s="67">
        <v>-9.7370983446932818E-2</v>
      </c>
      <c r="H54" s="67">
        <v>0.39965397923875434</v>
      </c>
      <c r="I54" s="1">
        <v>17620</v>
      </c>
      <c r="J54" s="1">
        <v>10445</v>
      </c>
      <c r="K54" s="1">
        <v>35711</v>
      </c>
      <c r="L54" s="1">
        <v>26603</v>
      </c>
      <c r="M54" s="18">
        <v>0.65</v>
      </c>
      <c r="N54" s="18">
        <v>0.13</v>
      </c>
      <c r="O54" s="18">
        <v>0.87</v>
      </c>
      <c r="P54" s="18">
        <v>0.44</v>
      </c>
      <c r="Q54" s="18">
        <v>0.71</v>
      </c>
      <c r="R54" s="17">
        <v>0</v>
      </c>
      <c r="S54" s="17">
        <v>0</v>
      </c>
      <c r="T54" s="17">
        <v>0</v>
      </c>
      <c r="U54" s="1" t="str">
        <f t="shared" si="0"/>
        <v>Normal</v>
      </c>
      <c r="V54" s="1" t="str">
        <f t="shared" si="1"/>
        <v>Outlier</v>
      </c>
      <c r="W54" s="19">
        <f t="shared" si="2"/>
        <v>-9.7370983446932818E-2</v>
      </c>
      <c r="X54" s="19">
        <f t="shared" si="3"/>
        <v>0.39965397923875434</v>
      </c>
      <c r="AK54" s="21">
        <f t="shared" si="4"/>
        <v>44935</v>
      </c>
      <c r="AL54" s="1">
        <f>SUMIFS(Table7[Calls Off],Table7[Date],"&gt;="&amp;AK54,Table7[Date],"&lt;"&amp;AK55)</f>
        <v>4375</v>
      </c>
      <c r="AM54" s="1">
        <f>SUMIFS(Table7[Calls Ans],Table7[Date],"&gt;="&amp;AK54,Table7[Date],"&lt;"&amp;AK55)</f>
        <v>3856</v>
      </c>
    </row>
    <row r="55" spans="1:39">
      <c r="A55" s="23">
        <v>44705</v>
      </c>
      <c r="B55" s="121">
        <f>IF(YEAR(Table9[[#This Row],[Date]]) = 2022, WEEKNUM(Table9[[#This Row],[Date]])-13, WEEKNUM(Table9[[#This Row],[Date]])+40)</f>
        <v>9</v>
      </c>
      <c r="C55" s="35" t="s">
        <v>49</v>
      </c>
      <c r="D55" s="35" t="s">
        <v>59</v>
      </c>
      <c r="E55" s="1">
        <v>842</v>
      </c>
      <c r="F55" s="1">
        <v>760</v>
      </c>
      <c r="G55" s="67">
        <v>-0.1965648854961832</v>
      </c>
      <c r="H55" s="67">
        <v>9.1954022988505746E-2</v>
      </c>
      <c r="I55" s="1">
        <v>18462</v>
      </c>
      <c r="J55" s="1">
        <v>11205</v>
      </c>
      <c r="K55" s="1">
        <v>36553</v>
      </c>
      <c r="L55" s="1">
        <v>27363</v>
      </c>
      <c r="M55" s="18">
        <v>0.7</v>
      </c>
      <c r="N55" s="18">
        <v>0.1</v>
      </c>
      <c r="O55" s="18">
        <v>0.9</v>
      </c>
      <c r="P55" s="18">
        <v>0.43</v>
      </c>
      <c r="Q55" s="18">
        <v>0.71</v>
      </c>
      <c r="R55" s="17">
        <v>0</v>
      </c>
      <c r="S55" s="17">
        <v>0</v>
      </c>
      <c r="T55" s="17">
        <v>0</v>
      </c>
      <c r="U55" s="1" t="str">
        <f t="shared" si="0"/>
        <v>Normal</v>
      </c>
      <c r="V55" s="1" t="str">
        <f t="shared" si="1"/>
        <v>Normal</v>
      </c>
      <c r="W55" s="19">
        <f t="shared" si="2"/>
        <v>-0.1965648854961832</v>
      </c>
      <c r="X55" s="19">
        <f t="shared" si="3"/>
        <v>9.1954022988505746E-2</v>
      </c>
      <c r="AK55" s="21">
        <f t="shared" si="4"/>
        <v>44942</v>
      </c>
      <c r="AL55" s="1">
        <f>SUMIFS(Table7[Calls Off],Table7[Date],"&gt;="&amp;AK55,Table7[Date],"&lt;"&amp;AK56)</f>
        <v>4157</v>
      </c>
      <c r="AM55" s="1">
        <f>SUMIFS(Table7[Calls Ans],Table7[Date],"&gt;="&amp;AK55,Table7[Date],"&lt;"&amp;AK56)</f>
        <v>3932</v>
      </c>
    </row>
    <row r="56" spans="1:39">
      <c r="A56" s="23">
        <v>44706</v>
      </c>
      <c r="B56" s="121">
        <f>IF(YEAR(Table9[[#This Row],[Date]]) = 2022, WEEKNUM(Table9[[#This Row],[Date]])-13, WEEKNUM(Table9[[#This Row],[Date]])+40)</f>
        <v>9</v>
      </c>
      <c r="C56" s="35" t="s">
        <v>50</v>
      </c>
      <c r="D56" s="35" t="s">
        <v>59</v>
      </c>
      <c r="E56" s="1">
        <v>866</v>
      </c>
      <c r="F56" s="1">
        <v>803</v>
      </c>
      <c r="G56" s="67">
        <v>6.9767441860465115E-3</v>
      </c>
      <c r="H56" s="67">
        <v>0.33167495854063017</v>
      </c>
      <c r="I56" s="1">
        <v>19328</v>
      </c>
      <c r="J56" s="1">
        <v>12008</v>
      </c>
      <c r="K56" s="1">
        <v>37419</v>
      </c>
      <c r="L56" s="1">
        <v>28166</v>
      </c>
      <c r="M56" s="18">
        <v>0.83</v>
      </c>
      <c r="N56" s="18">
        <v>7.0000000000000007E-2</v>
      </c>
      <c r="O56" s="18">
        <v>0.93</v>
      </c>
      <c r="P56" s="18">
        <v>0.4</v>
      </c>
      <c r="Q56" s="18">
        <v>0.74</v>
      </c>
      <c r="R56" s="17">
        <v>0</v>
      </c>
      <c r="S56" s="17">
        <v>0</v>
      </c>
      <c r="T56" s="17">
        <v>0</v>
      </c>
      <c r="U56" s="1" t="str">
        <f t="shared" si="0"/>
        <v>Normal</v>
      </c>
      <c r="V56" s="1" t="str">
        <f t="shared" si="1"/>
        <v>Outlier</v>
      </c>
      <c r="W56" s="19">
        <f t="shared" si="2"/>
        <v>6.9767441860465115E-3</v>
      </c>
      <c r="X56" s="19">
        <f t="shared" si="3"/>
        <v>0.33167495854063017</v>
      </c>
      <c r="AK56" s="21">
        <f t="shared" si="4"/>
        <v>44949</v>
      </c>
      <c r="AL56" s="1">
        <f>SUMIFS(Table7[Calls Off],Table7[Date],"&gt;="&amp;AK56,Table7[Date],"&lt;"&amp;AK57)</f>
        <v>4157</v>
      </c>
      <c r="AM56" s="1">
        <f>SUMIFS(Table7[Calls Ans],Table7[Date],"&gt;="&amp;AK56,Table7[Date],"&lt;"&amp;AK57)</f>
        <v>3914</v>
      </c>
    </row>
    <row r="57" spans="1:39">
      <c r="A57" s="23">
        <v>44707</v>
      </c>
      <c r="B57" s="121">
        <f>IF(YEAR(Table9[[#This Row],[Date]]) = 2022, WEEKNUM(Table9[[#This Row],[Date]])-13, WEEKNUM(Table9[[#This Row],[Date]])+40)</f>
        <v>9</v>
      </c>
      <c r="C57" s="34" t="s">
        <v>51</v>
      </c>
      <c r="D57" s="35" t="s">
        <v>59</v>
      </c>
      <c r="E57" s="1">
        <v>729</v>
      </c>
      <c r="F57" s="1">
        <v>691</v>
      </c>
      <c r="G57" s="67">
        <v>-0.23504721930745015</v>
      </c>
      <c r="H57" s="67">
        <v>4.3806646525679761E-2</v>
      </c>
      <c r="I57" s="1">
        <v>20057</v>
      </c>
      <c r="J57" s="1">
        <v>12699</v>
      </c>
      <c r="K57" s="1">
        <v>38148</v>
      </c>
      <c r="L57" s="1">
        <v>28857</v>
      </c>
      <c r="M57" s="18">
        <v>0.84</v>
      </c>
      <c r="N57" s="18">
        <v>0.05</v>
      </c>
      <c r="O57" s="18">
        <v>0.95</v>
      </c>
      <c r="P57" s="18">
        <v>0.47</v>
      </c>
      <c r="Q57" s="18">
        <v>0.72</v>
      </c>
      <c r="R57" s="17">
        <v>0</v>
      </c>
      <c r="S57" s="17">
        <v>0</v>
      </c>
      <c r="T57" s="17">
        <v>0</v>
      </c>
      <c r="U57" s="1" t="str">
        <f t="shared" si="0"/>
        <v>Normal</v>
      </c>
      <c r="V57" s="1" t="str">
        <f t="shared" si="1"/>
        <v>Normal</v>
      </c>
      <c r="W57" s="19">
        <f t="shared" si="2"/>
        <v>-0.23504721930745015</v>
      </c>
      <c r="X57" s="19">
        <f t="shared" si="3"/>
        <v>4.3806646525679761E-2</v>
      </c>
      <c r="AK57" s="21">
        <f t="shared" si="4"/>
        <v>44956</v>
      </c>
      <c r="AL57" s="1">
        <f>SUMIFS(Table7[Calls Off],Table7[Date],"&gt;="&amp;AK57,Table7[Date],"&lt;"&amp;AK58)</f>
        <v>4126</v>
      </c>
      <c r="AM57" s="1">
        <f>SUMIFS(Table7[Calls Ans],Table7[Date],"&gt;="&amp;AK57,Table7[Date],"&lt;"&amp;AK58)</f>
        <v>4022</v>
      </c>
    </row>
    <row r="58" spans="1:39">
      <c r="A58" s="23">
        <v>44708</v>
      </c>
      <c r="B58" s="121">
        <f>IF(YEAR(Table9[[#This Row],[Date]]) = 2022, WEEKNUM(Table9[[#This Row],[Date]])-13, WEEKNUM(Table9[[#This Row],[Date]])+40)</f>
        <v>9</v>
      </c>
      <c r="C58" s="35" t="s">
        <v>52</v>
      </c>
      <c r="D58" s="35" t="s">
        <v>59</v>
      </c>
      <c r="E58" s="1">
        <v>747</v>
      </c>
      <c r="F58" s="1">
        <v>634</v>
      </c>
      <c r="G58" s="67">
        <v>-0.2210636079249218</v>
      </c>
      <c r="H58" s="67">
        <v>-6.901615271659324E-2</v>
      </c>
      <c r="I58" s="1">
        <v>20804</v>
      </c>
      <c r="J58" s="1">
        <v>13333</v>
      </c>
      <c r="K58" s="1">
        <v>38895</v>
      </c>
      <c r="L58" s="1">
        <v>29491</v>
      </c>
      <c r="M58" s="18">
        <v>0.59</v>
      </c>
      <c r="N58" s="18">
        <v>0.15</v>
      </c>
      <c r="O58" s="18">
        <v>0.85</v>
      </c>
      <c r="P58" s="18">
        <v>0.48</v>
      </c>
      <c r="Q58" s="18">
        <v>0.68</v>
      </c>
      <c r="R58" s="17">
        <v>0</v>
      </c>
      <c r="S58" s="17">
        <v>0</v>
      </c>
      <c r="T58" s="17">
        <v>0</v>
      </c>
      <c r="U58" s="1" t="str">
        <f t="shared" si="0"/>
        <v>Normal</v>
      </c>
      <c r="V58" s="1" t="str">
        <f t="shared" si="1"/>
        <v>Normal</v>
      </c>
      <c r="W58" s="19">
        <f t="shared" si="2"/>
        <v>-0.2210636079249218</v>
      </c>
      <c r="X58" s="19">
        <f t="shared" si="3"/>
        <v>-6.901615271659324E-2</v>
      </c>
      <c r="AK58" s="21">
        <f t="shared" si="4"/>
        <v>44963</v>
      </c>
      <c r="AL58" s="1">
        <f>SUMIFS(Table7[Calls Off],Table7[Date],"&gt;="&amp;AK58,Table7[Date],"&lt;"&amp;AK59)</f>
        <v>4133</v>
      </c>
      <c r="AM58" s="1">
        <f>SUMIFS(Table7[Calls Ans],Table7[Date],"&gt;="&amp;AK58,Table7[Date],"&lt;"&amp;AK59)</f>
        <v>4015</v>
      </c>
    </row>
    <row r="59" spans="1:39">
      <c r="A59" s="23">
        <v>44709</v>
      </c>
      <c r="B59" s="121">
        <f>IF(YEAR(Table9[[#This Row],[Date]]) = 2022, WEEKNUM(Table9[[#This Row],[Date]])-13, WEEKNUM(Table9[[#This Row],[Date]])+40)</f>
        <v>9</v>
      </c>
      <c r="C59" s="34" t="s">
        <v>53</v>
      </c>
      <c r="D59" s="35" t="s">
        <v>59</v>
      </c>
      <c r="E59" s="1">
        <v>491</v>
      </c>
      <c r="F59" s="1">
        <v>430</v>
      </c>
      <c r="G59" s="67">
        <v>0.10585585585585586</v>
      </c>
      <c r="H59" s="67">
        <v>9.4147582697201013E-2</v>
      </c>
      <c r="I59" s="1">
        <v>21295</v>
      </c>
      <c r="J59" s="1">
        <v>13763</v>
      </c>
      <c r="K59" s="1">
        <v>39386</v>
      </c>
      <c r="L59" s="1">
        <v>29921</v>
      </c>
      <c r="M59" s="18">
        <v>0.74</v>
      </c>
      <c r="N59" s="18">
        <v>0.12</v>
      </c>
      <c r="O59" s="18">
        <v>0.88</v>
      </c>
      <c r="P59" s="18">
        <v>0.28000000000000003</v>
      </c>
      <c r="Q59" s="18">
        <v>0.7</v>
      </c>
      <c r="R59" s="17">
        <v>0</v>
      </c>
      <c r="S59" s="17">
        <v>0</v>
      </c>
      <c r="T59" s="17">
        <v>0</v>
      </c>
      <c r="U59" s="1" t="str">
        <f t="shared" si="0"/>
        <v>Normal</v>
      </c>
      <c r="V59" s="1" t="str">
        <f t="shared" si="1"/>
        <v>Normal</v>
      </c>
      <c r="W59" s="19">
        <f t="shared" si="2"/>
        <v>0.10585585585585586</v>
      </c>
      <c r="X59" s="19">
        <f t="shared" si="3"/>
        <v>9.4147582697201013E-2</v>
      </c>
      <c r="AK59" s="21">
        <f t="shared" si="4"/>
        <v>44970</v>
      </c>
      <c r="AL59" s="1">
        <f>SUMIFS(Table7[Calls Off],Table7[Date],"&gt;="&amp;AK59,Table7[Date],"&lt;"&amp;AK60)</f>
        <v>3568</v>
      </c>
      <c r="AM59" s="1">
        <f>SUMIFS(Table7[Calls Ans],Table7[Date],"&gt;="&amp;AK59,Table7[Date],"&lt;"&amp;AK60)</f>
        <v>3350</v>
      </c>
    </row>
    <row r="60" spans="1:39">
      <c r="A60" s="21">
        <v>44710</v>
      </c>
      <c r="B60" s="17">
        <f>IF(YEAR(Table9[[#This Row],[Date]]) = 2022, WEEKNUM(Table9[[#This Row],[Date]])-13, WEEKNUM(Table9[[#This Row],[Date]])+40)</f>
        <v>10</v>
      </c>
      <c r="C60" s="35" t="s">
        <v>47</v>
      </c>
      <c r="D60" s="35" t="s">
        <v>59</v>
      </c>
      <c r="E60" s="1">
        <v>0</v>
      </c>
      <c r="F60" s="1">
        <v>0</v>
      </c>
      <c r="G60" s="67">
        <v>0</v>
      </c>
      <c r="H60" s="67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7">
        <v>0</v>
      </c>
      <c r="S60" s="17">
        <v>0</v>
      </c>
      <c r="T60" s="17">
        <v>0</v>
      </c>
      <c r="U60" s="1" t="str">
        <f t="shared" si="0"/>
        <v>Normal</v>
      </c>
      <c r="V60" s="1" t="str">
        <f t="shared" si="1"/>
        <v>Normal</v>
      </c>
      <c r="W60" s="19">
        <f t="shared" si="2"/>
        <v>0</v>
      </c>
      <c r="X60" s="19">
        <f t="shared" si="3"/>
        <v>0</v>
      </c>
      <c r="AK60" s="21">
        <f t="shared" si="4"/>
        <v>44977</v>
      </c>
      <c r="AL60" s="1">
        <f>SUMIFS(Table7[Calls Off],Table7[Date],"&gt;="&amp;AK60,Table7[Date],"&lt;"&amp;AK61)</f>
        <v>2783</v>
      </c>
      <c r="AM60" s="1">
        <f>SUMIFS(Table7[Calls Ans],Table7[Date],"&gt;="&amp;AK60,Table7[Date],"&lt;"&amp;AK61)</f>
        <v>2571</v>
      </c>
    </row>
    <row r="61" spans="1:39">
      <c r="A61" s="23">
        <v>44711</v>
      </c>
      <c r="B61" s="121">
        <f>IF(YEAR(Table9[[#This Row],[Date]]) = 2022, WEEKNUM(Table9[[#This Row],[Date]])-13, WEEKNUM(Table9[[#This Row],[Date]])+40)</f>
        <v>10</v>
      </c>
      <c r="C61" s="34" t="s">
        <v>63</v>
      </c>
      <c r="D61" s="35" t="s">
        <v>59</v>
      </c>
      <c r="E61" s="44">
        <v>0</v>
      </c>
      <c r="F61" s="44">
        <v>0</v>
      </c>
      <c r="G61" s="86">
        <v>0</v>
      </c>
      <c r="H61" s="86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320">
        <v>0</v>
      </c>
      <c r="Q61" s="44">
        <v>0</v>
      </c>
      <c r="R61" s="223">
        <v>0</v>
      </c>
      <c r="S61" s="223">
        <v>0</v>
      </c>
      <c r="T61" s="17">
        <v>0</v>
      </c>
      <c r="U61" s="1" t="str">
        <f t="shared" si="0"/>
        <v>Normal</v>
      </c>
      <c r="V61" s="1" t="str">
        <f t="shared" si="1"/>
        <v>Normal</v>
      </c>
      <c r="W61" s="19">
        <f t="shared" si="2"/>
        <v>0</v>
      </c>
      <c r="X61" s="19">
        <f t="shared" si="3"/>
        <v>0</v>
      </c>
      <c r="AK61" s="21">
        <f t="shared" si="4"/>
        <v>44984</v>
      </c>
      <c r="AL61" s="1">
        <f>SUMIFS(Table7[Calls Off],Table7[Date],"&gt;="&amp;AK61,Table7[Date],"&lt;"&amp;AK62)</f>
        <v>4531</v>
      </c>
      <c r="AM61" s="1">
        <f>SUMIFS(Table7[Calls Ans],Table7[Date],"&gt;="&amp;AK61,Table7[Date],"&lt;"&amp;AK62)</f>
        <v>4151</v>
      </c>
    </row>
    <row r="62" spans="1:39">
      <c r="A62" s="77">
        <v>44712</v>
      </c>
      <c r="B62" s="303">
        <f>IF(YEAR(Table9[[#This Row],[Date]]) = 2022, WEEKNUM(Table9[[#This Row],[Date]])-13, WEEKNUM(Table9[[#This Row],[Date]])+40)</f>
        <v>10</v>
      </c>
      <c r="C62" s="88" t="s">
        <v>49</v>
      </c>
      <c r="D62" s="78" t="s">
        <v>59</v>
      </c>
      <c r="E62" s="68">
        <v>909</v>
      </c>
      <c r="F62" s="68">
        <v>806</v>
      </c>
      <c r="G62" s="84">
        <v>7.9572446555819479E-2</v>
      </c>
      <c r="H62" s="84">
        <v>6.0526315789473685E-2</v>
      </c>
      <c r="I62" s="68">
        <v>22204</v>
      </c>
      <c r="J62" s="68">
        <v>14569</v>
      </c>
      <c r="K62" s="68">
        <v>40295</v>
      </c>
      <c r="L62" s="68">
        <v>30727</v>
      </c>
      <c r="M62" s="2">
        <v>0.62</v>
      </c>
      <c r="N62" s="2">
        <v>0.11</v>
      </c>
      <c r="O62" s="2">
        <v>0.89</v>
      </c>
      <c r="P62" s="2">
        <v>0.5</v>
      </c>
      <c r="Q62" s="2">
        <v>0.64</v>
      </c>
      <c r="R62" s="216">
        <v>0</v>
      </c>
      <c r="S62" s="216">
        <v>0</v>
      </c>
      <c r="T62" s="216">
        <v>0</v>
      </c>
      <c r="U62" s="68" t="str">
        <f t="shared" si="0"/>
        <v>Normal</v>
      </c>
      <c r="V62" s="68" t="str">
        <f t="shared" si="1"/>
        <v>Normal</v>
      </c>
      <c r="W62" s="148">
        <f t="shared" si="2"/>
        <v>7.9572446555819479E-2</v>
      </c>
      <c r="X62" s="148">
        <f t="shared" si="3"/>
        <v>6.0526315789473685E-2</v>
      </c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21">
        <f t="shared" si="4"/>
        <v>44991</v>
      </c>
      <c r="AL62" s="1">
        <f>SUMIFS(Table7[Calls Off],Table7[Date],"&gt;="&amp;AK62,Table7[Date],"&lt;"&amp;AK63)</f>
        <v>3698</v>
      </c>
      <c r="AM62" s="1">
        <f>SUMIFS(Table7[Calls Ans],Table7[Date],"&gt;="&amp;AK62,Table7[Date],"&lt;"&amp;AK63)</f>
        <v>3528</v>
      </c>
    </row>
    <row r="63" spans="1:39">
      <c r="A63" s="23">
        <v>44713</v>
      </c>
      <c r="B63" s="121">
        <f>IF(YEAR(Table9[[#This Row],[Date]]) = 2022, WEEKNUM(Table9[[#This Row],[Date]])-13, WEEKNUM(Table9[[#This Row],[Date]])+40)</f>
        <v>10</v>
      </c>
      <c r="C63" s="34" t="s">
        <v>50</v>
      </c>
      <c r="D63" s="35" t="s">
        <v>59</v>
      </c>
      <c r="E63" s="1">
        <v>836</v>
      </c>
      <c r="F63" s="1">
        <v>802</v>
      </c>
      <c r="G63" s="67">
        <v>-3.4642032332563508E-2</v>
      </c>
      <c r="H63" s="67">
        <v>-1.2453300124533001E-3</v>
      </c>
      <c r="I63" s="1">
        <v>836</v>
      </c>
      <c r="J63" s="1">
        <v>802</v>
      </c>
      <c r="K63" s="1">
        <v>41131</v>
      </c>
      <c r="L63" s="1">
        <v>31529</v>
      </c>
      <c r="M63" s="18">
        <v>0.86</v>
      </c>
      <c r="N63" s="18">
        <v>0.04</v>
      </c>
      <c r="O63" s="18">
        <v>0.96</v>
      </c>
      <c r="P63" s="18">
        <v>0.46</v>
      </c>
      <c r="Q63" s="18">
        <v>0.7</v>
      </c>
      <c r="R63" s="17">
        <v>0</v>
      </c>
      <c r="S63" s="17">
        <v>0</v>
      </c>
      <c r="T63" s="17">
        <v>0</v>
      </c>
      <c r="U63" s="1" t="str">
        <f t="shared" si="0"/>
        <v>Normal</v>
      </c>
      <c r="V63" s="1" t="str">
        <f t="shared" si="1"/>
        <v>Normal</v>
      </c>
      <c r="W63" s="19">
        <f t="shared" si="2"/>
        <v>-3.4642032332563508E-2</v>
      </c>
      <c r="X63" s="19">
        <f t="shared" si="3"/>
        <v>-1.2453300124533001E-3</v>
      </c>
      <c r="AK63" s="21">
        <f t="shared" si="4"/>
        <v>44998</v>
      </c>
      <c r="AL63" s="1">
        <f>SUMIFS(Table7[Calls Off],Table7[Date],"&gt;="&amp;AK63,Table7[Date],"&lt;"&amp;AK64)</f>
        <v>3491</v>
      </c>
      <c r="AM63" s="1">
        <f>SUMIFS(Table7[Calls Ans],Table7[Date],"&gt;="&amp;AK63,Table7[Date],"&lt;"&amp;AK64)</f>
        <v>3382</v>
      </c>
    </row>
    <row r="64" spans="1:39">
      <c r="A64" s="23">
        <v>44714</v>
      </c>
      <c r="B64" s="121">
        <f>IF(YEAR(Table9[[#This Row],[Date]]) = 2022, WEEKNUM(Table9[[#This Row],[Date]])-13, WEEKNUM(Table9[[#This Row],[Date]])+40)</f>
        <v>10</v>
      </c>
      <c r="C64" s="35" t="s">
        <v>51</v>
      </c>
      <c r="D64" s="35" t="s">
        <v>59</v>
      </c>
      <c r="E64" s="1">
        <v>787</v>
      </c>
      <c r="F64" s="1">
        <v>732</v>
      </c>
      <c r="G64" s="67">
        <v>7.956104252400549E-2</v>
      </c>
      <c r="H64" s="67">
        <v>5.9334298118668596E-2</v>
      </c>
      <c r="I64" s="1">
        <v>1623</v>
      </c>
      <c r="J64" s="1">
        <v>1534</v>
      </c>
      <c r="K64" s="1">
        <v>41918</v>
      </c>
      <c r="L64" s="1">
        <v>32261</v>
      </c>
      <c r="M64" s="18">
        <v>0.81</v>
      </c>
      <c r="N64" s="18">
        <v>7.0000000000000007E-2</v>
      </c>
      <c r="O64" s="18">
        <v>0.93</v>
      </c>
      <c r="P64" s="18">
        <v>0.4</v>
      </c>
      <c r="Q64" s="18">
        <v>0.64</v>
      </c>
      <c r="R64" s="17">
        <v>0</v>
      </c>
      <c r="S64" s="17">
        <v>0</v>
      </c>
      <c r="T64" s="17">
        <v>0</v>
      </c>
      <c r="U64" s="1" t="str">
        <f t="shared" si="0"/>
        <v>Normal</v>
      </c>
      <c r="V64" s="1" t="str">
        <f t="shared" si="1"/>
        <v>Normal</v>
      </c>
      <c r="W64" s="19">
        <f t="shared" si="2"/>
        <v>7.956104252400549E-2</v>
      </c>
      <c r="X64" s="19">
        <f t="shared" si="3"/>
        <v>5.9334298118668596E-2</v>
      </c>
      <c r="AK64" s="21">
        <f t="shared" si="4"/>
        <v>45005</v>
      </c>
      <c r="AL64" s="1">
        <f>SUMIFS(Table7[Calls Off],Table7[Date],"&gt;="&amp;AK64,Table7[Date],"&lt;"&amp;AK65)</f>
        <v>3554</v>
      </c>
      <c r="AM64" s="1">
        <f>SUMIFS(Table7[Calls Ans],Table7[Date],"&gt;="&amp;AK64,Table7[Date],"&lt;"&amp;AK65)</f>
        <v>3282</v>
      </c>
    </row>
    <row r="65" spans="1:39">
      <c r="A65" s="23">
        <v>44715</v>
      </c>
      <c r="B65" s="121">
        <f>IF(YEAR(Table9[[#This Row],[Date]]) = 2022, WEEKNUM(Table9[[#This Row],[Date]])-13, WEEKNUM(Table9[[#This Row],[Date]])+40)</f>
        <v>10</v>
      </c>
      <c r="C65" s="34" t="s">
        <v>52</v>
      </c>
      <c r="D65" s="35" t="s">
        <v>59</v>
      </c>
      <c r="E65" s="1">
        <v>878</v>
      </c>
      <c r="F65" s="1">
        <v>743</v>
      </c>
      <c r="G65" s="67">
        <v>0.1753681392235609</v>
      </c>
      <c r="H65" s="67">
        <v>0.1719242902208202</v>
      </c>
      <c r="I65" s="1">
        <v>2501</v>
      </c>
      <c r="J65" s="1">
        <v>2277</v>
      </c>
      <c r="K65" s="1">
        <v>42796</v>
      </c>
      <c r="L65" s="1">
        <v>33004</v>
      </c>
      <c r="M65" s="18">
        <v>0.54</v>
      </c>
      <c r="N65" s="18">
        <v>0.15</v>
      </c>
      <c r="O65" s="18">
        <v>0.85</v>
      </c>
      <c r="P65" s="18">
        <v>0.43</v>
      </c>
      <c r="Q65" s="18">
        <v>0.62</v>
      </c>
      <c r="R65" s="17">
        <v>0</v>
      </c>
      <c r="S65" s="17">
        <v>0</v>
      </c>
      <c r="T65" s="17">
        <v>0</v>
      </c>
      <c r="U65" s="1" t="str">
        <f t="shared" si="0"/>
        <v>Normal</v>
      </c>
      <c r="V65" s="1" t="str">
        <f t="shared" si="1"/>
        <v>Normal</v>
      </c>
      <c r="W65" s="19">
        <f t="shared" si="2"/>
        <v>0.1753681392235609</v>
      </c>
      <c r="X65" s="19">
        <f t="shared" si="3"/>
        <v>0.1719242902208202</v>
      </c>
      <c r="AK65" s="21">
        <f t="shared" si="4"/>
        <v>45012</v>
      </c>
      <c r="AL65" s="1">
        <f>SUMIFS(Table7[Calls Off],Table7[Date],"&gt;="&amp;AK65,Table7[Date],"&lt;"&amp;AK66)</f>
        <v>2868</v>
      </c>
      <c r="AM65" s="1">
        <f>SUMIFS(Table7[Calls Ans],Table7[Date],"&gt;="&amp;AK65,Table7[Date],"&lt;"&amp;AK66)</f>
        <v>2647</v>
      </c>
    </row>
    <row r="66" spans="1:39">
      <c r="A66" s="23">
        <v>44716</v>
      </c>
      <c r="B66" s="121">
        <f>IF(YEAR(Table9[[#This Row],[Date]]) = 2022, WEEKNUM(Table9[[#This Row],[Date]])-13, WEEKNUM(Table9[[#This Row],[Date]])+40)</f>
        <v>10</v>
      </c>
      <c r="C66" s="35" t="s">
        <v>53</v>
      </c>
      <c r="D66" s="35" t="s">
        <v>59</v>
      </c>
      <c r="E66" s="1">
        <v>493</v>
      </c>
      <c r="F66" s="1">
        <v>428</v>
      </c>
      <c r="G66" s="67">
        <v>4.0733197556008143E-3</v>
      </c>
      <c r="H66" s="67">
        <v>-4.6511627906976744E-3</v>
      </c>
      <c r="I66" s="1">
        <v>2994</v>
      </c>
      <c r="J66" s="1">
        <v>2705</v>
      </c>
      <c r="K66" s="1">
        <v>43289</v>
      </c>
      <c r="L66" s="1">
        <v>33432</v>
      </c>
      <c r="M66" s="18">
        <v>0.69</v>
      </c>
      <c r="N66" s="18">
        <v>0.13</v>
      </c>
      <c r="O66" s="18">
        <v>0.87</v>
      </c>
      <c r="P66" s="18">
        <v>0.31</v>
      </c>
      <c r="Q66" s="18">
        <v>0.6</v>
      </c>
      <c r="R66" s="17">
        <v>0</v>
      </c>
      <c r="S66" s="17">
        <v>0</v>
      </c>
      <c r="T66" s="17">
        <v>0</v>
      </c>
      <c r="U66" s="1" t="str">
        <f t="shared" si="0"/>
        <v>Normal</v>
      </c>
      <c r="V66" s="1" t="str">
        <f t="shared" si="1"/>
        <v>Normal</v>
      </c>
      <c r="W66" s="19">
        <f t="shared" si="2"/>
        <v>4.0733197556008143E-3</v>
      </c>
      <c r="X66" s="19">
        <f t="shared" si="3"/>
        <v>-4.6511627906976744E-3</v>
      </c>
      <c r="AK66" s="23">
        <v>45017</v>
      </c>
      <c r="AL66" s="38">
        <f>SUMIFS(Table7[Calls Off],Table7[Date],"&gt;="&amp;AK66,Table7[Date],"&lt;"&amp;AK67)</f>
        <v>0</v>
      </c>
      <c r="AM66" s="38">
        <f>SUMIFS(Table7[Calls Ans],Table7[Date],"&gt;="&amp;AK66,Table7[Date],"&lt;"&amp;AK67)</f>
        <v>0</v>
      </c>
    </row>
    <row r="67" spans="1:39">
      <c r="A67" s="21">
        <v>44717</v>
      </c>
      <c r="B67" s="17">
        <f>IF(YEAR(Table9[[#This Row],[Date]]) = 2022, WEEKNUM(Table9[[#This Row],[Date]])-13, WEEKNUM(Table9[[#This Row],[Date]])+40)</f>
        <v>11</v>
      </c>
      <c r="C67" s="34" t="s">
        <v>47</v>
      </c>
      <c r="D67" s="35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7">
        <v>0</v>
      </c>
      <c r="S67" s="17">
        <v>0</v>
      </c>
      <c r="T67" s="17">
        <v>0</v>
      </c>
      <c r="U67" s="1" t="str">
        <f t="shared" ref="U67:U130" si="5">IF(OR(G67&lt;$AA$5,G67&gt;$AB$5), "Outlier", "Normal")</f>
        <v>Normal</v>
      </c>
      <c r="V67" s="1" t="str">
        <f t="shared" ref="V67:V130" si="6">IF(OR(H67&lt;$AA$6,H67&gt;$AB$6), "Outlier", "Normal")</f>
        <v>Normal</v>
      </c>
      <c r="W67" s="19">
        <f t="shared" ref="W67:W130" si="7">IF(U67="Normal",$G67,IF($G67&lt;150%, $G67, $AA$9))</f>
        <v>0</v>
      </c>
      <c r="X67" s="19">
        <f t="shared" ref="X67:X130" si="8">IF(V67="Normal",$H67,IF($H67&lt;150%, $H67, $AE$9))</f>
        <v>0</v>
      </c>
    </row>
    <row r="68" spans="1:39">
      <c r="A68" s="23">
        <v>44718</v>
      </c>
      <c r="B68" s="121">
        <f>IF(YEAR(Table9[[#This Row],[Date]]) = 2022, WEEKNUM(Table9[[#This Row],[Date]])-13, WEEKNUM(Table9[[#This Row],[Date]])+40)</f>
        <v>11</v>
      </c>
      <c r="C68" s="35" t="s">
        <v>48</v>
      </c>
      <c r="D68" s="35" t="s">
        <v>59</v>
      </c>
      <c r="E68" s="1">
        <v>881</v>
      </c>
      <c r="F68" s="1">
        <v>786</v>
      </c>
      <c r="G68" s="67">
        <v>0</v>
      </c>
      <c r="H68" s="67">
        <v>0</v>
      </c>
      <c r="I68" s="1">
        <v>3875</v>
      </c>
      <c r="J68" s="1">
        <v>3491</v>
      </c>
      <c r="K68" s="1">
        <v>44170</v>
      </c>
      <c r="L68" s="1">
        <v>34218</v>
      </c>
      <c r="M68" s="18">
        <v>0.68</v>
      </c>
      <c r="N68" s="18">
        <v>0.11</v>
      </c>
      <c r="O68" s="18">
        <v>0.89</v>
      </c>
      <c r="P68" s="18">
        <v>0.47</v>
      </c>
      <c r="Q68" s="18">
        <v>0.72</v>
      </c>
      <c r="R68" s="17">
        <v>0</v>
      </c>
      <c r="S68" s="17">
        <v>0</v>
      </c>
      <c r="T68" s="17">
        <v>0</v>
      </c>
      <c r="U68" s="1" t="str">
        <f t="shared" si="5"/>
        <v>Normal</v>
      </c>
      <c r="V68" s="1" t="str">
        <f t="shared" si="6"/>
        <v>Normal</v>
      </c>
      <c r="W68" s="19">
        <f t="shared" si="7"/>
        <v>0</v>
      </c>
      <c r="X68" s="19">
        <f t="shared" si="8"/>
        <v>0</v>
      </c>
    </row>
    <row r="69" spans="1:39">
      <c r="A69" s="23">
        <v>44719</v>
      </c>
      <c r="B69" s="121">
        <f>IF(YEAR(Table9[[#This Row],[Date]]) = 2022, WEEKNUM(Table9[[#This Row],[Date]])-13, WEEKNUM(Table9[[#This Row],[Date]])+40)</f>
        <v>11</v>
      </c>
      <c r="C69" s="34" t="s">
        <v>49</v>
      </c>
      <c r="D69" s="35" t="s">
        <v>59</v>
      </c>
      <c r="E69" s="1">
        <v>890</v>
      </c>
      <c r="F69" s="1">
        <v>792</v>
      </c>
      <c r="G69" s="67">
        <v>-2.0902090209020903E-2</v>
      </c>
      <c r="H69" s="67">
        <v>-1.7369727047146403E-2</v>
      </c>
      <c r="I69" s="1">
        <v>4765</v>
      </c>
      <c r="J69" s="1">
        <v>4283</v>
      </c>
      <c r="K69" s="1">
        <v>45060</v>
      </c>
      <c r="L69" s="1">
        <v>35010</v>
      </c>
      <c r="M69" s="18">
        <v>0.65</v>
      </c>
      <c r="N69" s="18">
        <v>0.11</v>
      </c>
      <c r="O69" s="18">
        <v>0.89</v>
      </c>
      <c r="P69" s="18">
        <v>0.54</v>
      </c>
      <c r="Q69" s="18">
        <v>0.72</v>
      </c>
      <c r="R69" s="17">
        <v>0</v>
      </c>
      <c r="S69" s="17">
        <v>0</v>
      </c>
      <c r="T69" s="17">
        <v>0</v>
      </c>
      <c r="U69" s="1" t="str">
        <f t="shared" si="5"/>
        <v>Normal</v>
      </c>
      <c r="V69" s="1" t="str">
        <f t="shared" si="6"/>
        <v>Normal</v>
      </c>
      <c r="W69" s="19">
        <f t="shared" si="7"/>
        <v>-2.0902090209020903E-2</v>
      </c>
      <c r="X69" s="19">
        <f t="shared" si="8"/>
        <v>-1.7369727047146403E-2</v>
      </c>
    </row>
    <row r="70" spans="1:39">
      <c r="A70" s="23">
        <v>44720</v>
      </c>
      <c r="B70" s="121">
        <f>IF(YEAR(Table9[[#This Row],[Date]]) = 2022, WEEKNUM(Table9[[#This Row],[Date]])-13, WEEKNUM(Table9[[#This Row],[Date]])+40)</f>
        <v>11</v>
      </c>
      <c r="C70" s="35" t="s">
        <v>50</v>
      </c>
      <c r="D70" s="35" t="s">
        <v>59</v>
      </c>
      <c r="E70" s="1">
        <v>777</v>
      </c>
      <c r="F70" s="1">
        <v>644</v>
      </c>
      <c r="G70" s="67">
        <v>-7.0574162679425831E-2</v>
      </c>
      <c r="H70" s="67">
        <v>-0.1970074812967581</v>
      </c>
      <c r="I70" s="1">
        <v>5542</v>
      </c>
      <c r="J70" s="1">
        <v>4927</v>
      </c>
      <c r="K70" s="1">
        <v>45837</v>
      </c>
      <c r="L70" s="1">
        <v>35654</v>
      </c>
      <c r="M70" s="18">
        <v>0.59</v>
      </c>
      <c r="N70" s="18">
        <v>0.17</v>
      </c>
      <c r="O70" s="18">
        <v>0.83</v>
      </c>
      <c r="P70" s="18">
        <v>0.55000000000000004</v>
      </c>
      <c r="Q70" s="18">
        <v>0.71</v>
      </c>
      <c r="R70" s="17">
        <v>0</v>
      </c>
      <c r="S70" s="17">
        <v>0</v>
      </c>
      <c r="T70" s="17">
        <v>0</v>
      </c>
      <c r="U70" s="1" t="str">
        <f t="shared" si="5"/>
        <v>Normal</v>
      </c>
      <c r="V70" s="1" t="str">
        <f t="shared" si="6"/>
        <v>Normal</v>
      </c>
      <c r="W70" s="19">
        <f t="shared" si="7"/>
        <v>-7.0574162679425831E-2</v>
      </c>
      <c r="X70" s="19">
        <f t="shared" si="8"/>
        <v>-0.1970074812967581</v>
      </c>
    </row>
    <row r="71" spans="1:39">
      <c r="A71" s="23">
        <v>44721</v>
      </c>
      <c r="B71" s="121">
        <f>IF(YEAR(Table9[[#This Row],[Date]]) = 2022, WEEKNUM(Table9[[#This Row],[Date]])-13, WEEKNUM(Table9[[#This Row],[Date]])+40)</f>
        <v>11</v>
      </c>
      <c r="C71" s="34" t="s">
        <v>51</v>
      </c>
      <c r="D71" s="35" t="s">
        <v>59</v>
      </c>
      <c r="E71" s="1">
        <v>842</v>
      </c>
      <c r="F71" s="1">
        <v>673</v>
      </c>
      <c r="G71" s="67">
        <v>6.9885641677255403E-2</v>
      </c>
      <c r="H71" s="67">
        <v>-8.060109289617487E-2</v>
      </c>
      <c r="I71" s="1">
        <v>6384</v>
      </c>
      <c r="J71" s="1">
        <v>5600</v>
      </c>
      <c r="K71" s="1">
        <v>46679</v>
      </c>
      <c r="L71" s="1">
        <v>36327</v>
      </c>
      <c r="M71" s="18">
        <v>0.42</v>
      </c>
      <c r="N71" s="18">
        <v>0.2</v>
      </c>
      <c r="O71" s="18">
        <v>0.8</v>
      </c>
      <c r="P71" s="18">
        <v>0.61</v>
      </c>
      <c r="Q71" s="18">
        <v>0.69</v>
      </c>
      <c r="R71" s="17">
        <v>0</v>
      </c>
      <c r="S71" s="17">
        <v>0</v>
      </c>
      <c r="T71" s="17">
        <v>0</v>
      </c>
      <c r="U71" s="1" t="str">
        <f t="shared" si="5"/>
        <v>Normal</v>
      </c>
      <c r="V71" s="1" t="str">
        <f t="shared" si="6"/>
        <v>Normal</v>
      </c>
      <c r="W71" s="19">
        <f t="shared" si="7"/>
        <v>6.9885641677255403E-2</v>
      </c>
      <c r="X71" s="19">
        <f t="shared" si="8"/>
        <v>-8.060109289617487E-2</v>
      </c>
    </row>
    <row r="72" spans="1:39">
      <c r="A72" s="23">
        <v>44722</v>
      </c>
      <c r="B72" s="121">
        <f>IF(YEAR(Table9[[#This Row],[Date]]) = 2022, WEEKNUM(Table9[[#This Row],[Date]])-13, WEEKNUM(Table9[[#This Row],[Date]])+40)</f>
        <v>11</v>
      </c>
      <c r="C72" s="35" t="s">
        <v>52</v>
      </c>
      <c r="D72" s="35" t="s">
        <v>59</v>
      </c>
      <c r="E72" s="1">
        <v>835</v>
      </c>
      <c r="F72" s="1">
        <v>792</v>
      </c>
      <c r="G72" s="67">
        <v>-4.8974943052391799E-2</v>
      </c>
      <c r="H72" s="67">
        <v>6.5948855989232835E-2</v>
      </c>
      <c r="I72" s="1">
        <v>7219</v>
      </c>
      <c r="J72" s="1">
        <v>6392</v>
      </c>
      <c r="K72" s="1">
        <v>47514</v>
      </c>
      <c r="L72" s="1">
        <v>37119</v>
      </c>
      <c r="M72" s="18">
        <v>0.8</v>
      </c>
      <c r="N72" s="18">
        <v>0.05</v>
      </c>
      <c r="O72" s="18">
        <v>0.95</v>
      </c>
      <c r="P72" s="18">
        <v>0.45</v>
      </c>
      <c r="Q72" s="18">
        <v>0.74</v>
      </c>
      <c r="R72" s="17">
        <v>0</v>
      </c>
      <c r="S72" s="17">
        <v>0</v>
      </c>
      <c r="T72" s="17">
        <v>0</v>
      </c>
      <c r="U72" s="1" t="str">
        <f t="shared" si="5"/>
        <v>Normal</v>
      </c>
      <c r="V72" s="1" t="str">
        <f t="shared" si="6"/>
        <v>Normal</v>
      </c>
      <c r="W72" s="19">
        <f t="shared" si="7"/>
        <v>-4.8974943052391799E-2</v>
      </c>
      <c r="X72" s="19">
        <f t="shared" si="8"/>
        <v>6.5948855989232835E-2</v>
      </c>
    </row>
    <row r="73" spans="1:39">
      <c r="A73" s="21">
        <v>44723</v>
      </c>
      <c r="B73" s="17">
        <f>IF(YEAR(Table9[[#This Row],[Date]]) = 2022, WEEKNUM(Table9[[#This Row],[Date]])-13, WEEKNUM(Table9[[#This Row],[Date]])+40)</f>
        <v>11</v>
      </c>
      <c r="C73" s="34" t="s">
        <v>53</v>
      </c>
      <c r="D73" s="35" t="s">
        <v>59</v>
      </c>
      <c r="E73" s="1">
        <v>455</v>
      </c>
      <c r="F73" s="1">
        <v>405</v>
      </c>
      <c r="G73" s="67">
        <v>-7.7079107505070993E-2</v>
      </c>
      <c r="H73" s="67">
        <v>-5.3738317757009345E-2</v>
      </c>
      <c r="I73" s="1">
        <v>7674</v>
      </c>
      <c r="J73" s="1">
        <v>6797</v>
      </c>
      <c r="K73" s="1">
        <v>47969</v>
      </c>
      <c r="L73" s="1">
        <v>37524</v>
      </c>
      <c r="M73" s="18">
        <v>0.75</v>
      </c>
      <c r="N73" s="18">
        <v>0.11</v>
      </c>
      <c r="O73" s="18">
        <v>0.89</v>
      </c>
      <c r="P73" s="18">
        <v>0.37</v>
      </c>
      <c r="Q73" s="18">
        <v>0.67</v>
      </c>
      <c r="R73" s="17">
        <v>0</v>
      </c>
      <c r="S73" s="17">
        <v>0</v>
      </c>
      <c r="T73" s="17">
        <v>0</v>
      </c>
      <c r="U73" s="1" t="str">
        <f t="shared" si="5"/>
        <v>Normal</v>
      </c>
      <c r="V73" s="1" t="str">
        <f t="shared" si="6"/>
        <v>Normal</v>
      </c>
      <c r="W73" s="19">
        <f t="shared" si="7"/>
        <v>-7.7079107505070993E-2</v>
      </c>
      <c r="X73" s="19">
        <f t="shared" si="8"/>
        <v>-5.3738317757009345E-2</v>
      </c>
    </row>
    <row r="74" spans="1:39">
      <c r="A74" s="21">
        <v>44724</v>
      </c>
      <c r="B74" s="17">
        <f>IF(YEAR(Table9[[#This Row],[Date]]) = 2022, WEEKNUM(Table9[[#This Row],[Date]])-13, WEEKNUM(Table9[[#This Row],[Date]])+40)</f>
        <v>12</v>
      </c>
      <c r="C74" s="35" t="s">
        <v>47</v>
      </c>
      <c r="D74" s="35" t="s">
        <v>59</v>
      </c>
      <c r="E74" s="1">
        <v>0</v>
      </c>
      <c r="F74" s="1">
        <v>0</v>
      </c>
      <c r="G74" s="67">
        <v>0</v>
      </c>
      <c r="H74" s="67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7">
        <v>0</v>
      </c>
      <c r="S74" s="17">
        <v>0</v>
      </c>
      <c r="T74" s="17">
        <v>0</v>
      </c>
      <c r="U74" s="1" t="str">
        <f t="shared" si="5"/>
        <v>Normal</v>
      </c>
      <c r="V74" s="1" t="str">
        <f t="shared" si="6"/>
        <v>Normal</v>
      </c>
      <c r="W74" s="19">
        <f t="shared" si="7"/>
        <v>0</v>
      </c>
      <c r="X74" s="19">
        <f t="shared" si="8"/>
        <v>0</v>
      </c>
    </row>
    <row r="75" spans="1:39">
      <c r="A75" s="21">
        <v>44725</v>
      </c>
      <c r="B75" s="17">
        <f>IF(YEAR(Table9[[#This Row],[Date]]) = 2022, WEEKNUM(Table9[[#This Row],[Date]])-13, WEEKNUM(Table9[[#This Row],[Date]])+40)</f>
        <v>12</v>
      </c>
      <c r="C75" s="34" t="s">
        <v>48</v>
      </c>
      <c r="D75" s="35" t="s">
        <v>59</v>
      </c>
      <c r="E75" s="1">
        <v>880</v>
      </c>
      <c r="F75" s="1">
        <v>675</v>
      </c>
      <c r="G75" s="67">
        <v>-1.1350737797956867E-3</v>
      </c>
      <c r="H75" s="67">
        <v>-0.14122137404580154</v>
      </c>
      <c r="I75" s="1">
        <v>8554</v>
      </c>
      <c r="J75" s="1">
        <v>7472</v>
      </c>
      <c r="K75" s="1">
        <v>48849</v>
      </c>
      <c r="L75" s="1">
        <v>38199</v>
      </c>
      <c r="M75" s="18">
        <v>0.35</v>
      </c>
      <c r="N75" s="18">
        <v>0.23</v>
      </c>
      <c r="O75" s="18">
        <v>0.77</v>
      </c>
      <c r="P75" s="18">
        <v>0.66</v>
      </c>
      <c r="Q75" s="18">
        <v>0.68</v>
      </c>
      <c r="R75" s="17">
        <v>0</v>
      </c>
      <c r="S75" s="17">
        <v>0</v>
      </c>
      <c r="T75" s="17">
        <v>0</v>
      </c>
      <c r="U75" s="1" t="str">
        <f t="shared" si="5"/>
        <v>Normal</v>
      </c>
      <c r="V75" s="1" t="str">
        <f t="shared" si="6"/>
        <v>Normal</v>
      </c>
      <c r="W75" s="19">
        <f t="shared" si="7"/>
        <v>-1.1350737797956867E-3</v>
      </c>
      <c r="X75" s="19">
        <f t="shared" si="8"/>
        <v>-0.14122137404580154</v>
      </c>
    </row>
    <row r="76" spans="1:39">
      <c r="A76" s="21">
        <v>44726</v>
      </c>
      <c r="B76" s="17">
        <f>IF(YEAR(Table9[[#This Row],[Date]]) = 2022, WEEKNUM(Table9[[#This Row],[Date]])-13, WEEKNUM(Table9[[#This Row],[Date]])+40)</f>
        <v>12</v>
      </c>
      <c r="C76" s="35" t="s">
        <v>49</v>
      </c>
      <c r="D76" s="35" t="s">
        <v>59</v>
      </c>
      <c r="E76" s="1">
        <v>880</v>
      </c>
      <c r="F76" s="1">
        <v>683</v>
      </c>
      <c r="G76" s="67">
        <v>-1.1235955056179775E-2</v>
      </c>
      <c r="H76" s="67">
        <v>-0.13762626262626262</v>
      </c>
      <c r="I76" s="1">
        <v>9434</v>
      </c>
      <c r="J76" s="1">
        <v>8155</v>
      </c>
      <c r="K76" s="1">
        <v>49729</v>
      </c>
      <c r="L76" s="1">
        <v>38882</v>
      </c>
      <c r="M76" s="18">
        <v>0.46</v>
      </c>
      <c r="N76" s="18">
        <v>0.22</v>
      </c>
      <c r="O76" s="18">
        <v>0.78</v>
      </c>
      <c r="P76" s="18">
        <v>0.64</v>
      </c>
      <c r="Q76" s="18">
        <v>0.67</v>
      </c>
      <c r="R76" s="17">
        <v>0</v>
      </c>
      <c r="S76" s="17">
        <v>0</v>
      </c>
      <c r="T76" s="17">
        <v>0</v>
      </c>
      <c r="U76" s="1" t="str">
        <f t="shared" si="5"/>
        <v>Normal</v>
      </c>
      <c r="V76" s="1" t="str">
        <f t="shared" si="6"/>
        <v>Normal</v>
      </c>
      <c r="W76" s="19">
        <f t="shared" si="7"/>
        <v>-1.1235955056179775E-2</v>
      </c>
      <c r="X76" s="19">
        <f t="shared" si="8"/>
        <v>-0.13762626262626262</v>
      </c>
    </row>
    <row r="77" spans="1:39">
      <c r="A77" s="21">
        <v>44727</v>
      </c>
      <c r="B77" s="17">
        <f>IF(YEAR(Table9[[#This Row],[Date]]) = 2022, WEEKNUM(Table9[[#This Row],[Date]])-13, WEEKNUM(Table9[[#This Row],[Date]])+40)</f>
        <v>12</v>
      </c>
      <c r="C77" s="34" t="s">
        <v>50</v>
      </c>
      <c r="D77" s="35" t="s">
        <v>59</v>
      </c>
      <c r="E77" s="1">
        <v>882</v>
      </c>
      <c r="F77" s="1">
        <v>789</v>
      </c>
      <c r="G77" s="67">
        <v>0.13513513513513514</v>
      </c>
      <c r="H77" s="67">
        <v>0.2251552795031056</v>
      </c>
      <c r="I77" s="1">
        <v>10316</v>
      </c>
      <c r="J77" s="1">
        <v>8944</v>
      </c>
      <c r="K77" s="1">
        <v>50611</v>
      </c>
      <c r="L77" s="1">
        <v>39671</v>
      </c>
      <c r="M77" s="18">
        <v>0.69</v>
      </c>
      <c r="N77" s="18">
        <v>0.11</v>
      </c>
      <c r="O77" s="18">
        <v>0.89</v>
      </c>
      <c r="P77" s="18">
        <v>0.49</v>
      </c>
      <c r="Q77" s="18">
        <v>0.68</v>
      </c>
      <c r="R77" s="17">
        <v>0</v>
      </c>
      <c r="S77" s="17">
        <v>0</v>
      </c>
      <c r="T77" s="17">
        <v>0</v>
      </c>
      <c r="U77" s="1" t="str">
        <f t="shared" si="5"/>
        <v>Normal</v>
      </c>
      <c r="V77" s="1" t="str">
        <f t="shared" si="6"/>
        <v>Normal</v>
      </c>
      <c r="W77" s="19">
        <f t="shared" si="7"/>
        <v>0.13513513513513514</v>
      </c>
      <c r="X77" s="19">
        <f t="shared" si="8"/>
        <v>0.2251552795031056</v>
      </c>
    </row>
    <row r="78" spans="1:39">
      <c r="A78" s="21">
        <v>44728</v>
      </c>
      <c r="B78" s="17">
        <f>IF(YEAR(Table9[[#This Row],[Date]]) = 2022, WEEKNUM(Table9[[#This Row],[Date]])-13, WEEKNUM(Table9[[#This Row],[Date]])+40)</f>
        <v>12</v>
      </c>
      <c r="C78" s="35" t="s">
        <v>63</v>
      </c>
      <c r="D78" s="35" t="s">
        <v>59</v>
      </c>
      <c r="E78" s="44">
        <v>0</v>
      </c>
      <c r="F78" s="44">
        <v>0</v>
      </c>
      <c r="G78" s="86">
        <v>0</v>
      </c>
      <c r="H78" s="86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320">
        <v>0</v>
      </c>
      <c r="Q78" s="44">
        <v>0</v>
      </c>
      <c r="R78" s="223">
        <v>0</v>
      </c>
      <c r="S78" s="223">
        <v>0</v>
      </c>
      <c r="T78" s="17">
        <v>0</v>
      </c>
      <c r="U78" s="1" t="str">
        <f t="shared" si="5"/>
        <v>Normal</v>
      </c>
      <c r="V78" s="1" t="str">
        <f t="shared" si="6"/>
        <v>Normal</v>
      </c>
      <c r="W78" s="19">
        <f t="shared" si="7"/>
        <v>0</v>
      </c>
      <c r="X78" s="19">
        <f t="shared" si="8"/>
        <v>0</v>
      </c>
    </row>
    <row r="79" spans="1:39">
      <c r="A79" s="21">
        <v>44729</v>
      </c>
      <c r="B79" s="17">
        <f>IF(YEAR(Table9[[#This Row],[Date]]) = 2022, WEEKNUM(Table9[[#This Row],[Date]])-13, WEEKNUM(Table9[[#This Row],[Date]])+40)</f>
        <v>12</v>
      </c>
      <c r="C79" s="34" t="s">
        <v>52</v>
      </c>
      <c r="D79" s="35" t="s">
        <v>59</v>
      </c>
      <c r="E79" s="1">
        <v>987</v>
      </c>
      <c r="F79" s="1">
        <v>741</v>
      </c>
      <c r="G79" s="67">
        <v>0.18203592814371258</v>
      </c>
      <c r="H79" s="67">
        <v>-6.4393939393939392E-2</v>
      </c>
      <c r="I79" s="1">
        <v>11303</v>
      </c>
      <c r="J79" s="1">
        <v>9685</v>
      </c>
      <c r="K79" s="1">
        <v>51598</v>
      </c>
      <c r="L79" s="1">
        <v>40412</v>
      </c>
      <c r="M79" s="18">
        <v>0.4</v>
      </c>
      <c r="N79" s="18">
        <v>0.25</v>
      </c>
      <c r="O79" s="18">
        <v>0.75</v>
      </c>
      <c r="P79" s="18">
        <v>0.61</v>
      </c>
      <c r="Q79" s="18">
        <v>0.66</v>
      </c>
      <c r="R79" s="17">
        <v>0</v>
      </c>
      <c r="S79" s="17">
        <v>0</v>
      </c>
      <c r="T79" s="17">
        <v>0</v>
      </c>
      <c r="U79" s="1" t="str">
        <f t="shared" si="5"/>
        <v>Normal</v>
      </c>
      <c r="V79" s="1" t="str">
        <f t="shared" si="6"/>
        <v>Normal</v>
      </c>
      <c r="W79" s="19">
        <f t="shared" si="7"/>
        <v>0.18203592814371258</v>
      </c>
      <c r="X79" s="19">
        <f t="shared" si="8"/>
        <v>-6.4393939393939392E-2</v>
      </c>
    </row>
    <row r="80" spans="1:39">
      <c r="A80" s="21">
        <v>44730</v>
      </c>
      <c r="B80" s="17">
        <f>IF(YEAR(Table9[[#This Row],[Date]]) = 2022, WEEKNUM(Table9[[#This Row],[Date]])-13, WEEKNUM(Table9[[#This Row],[Date]])+40)</f>
        <v>12</v>
      </c>
      <c r="C80" s="35" t="s">
        <v>53</v>
      </c>
      <c r="D80" s="35" t="s">
        <v>59</v>
      </c>
      <c r="E80" s="1">
        <v>564</v>
      </c>
      <c r="F80" s="1">
        <v>451</v>
      </c>
      <c r="G80" s="67">
        <v>0.23956043956043957</v>
      </c>
      <c r="H80" s="67">
        <v>0.11358024691358025</v>
      </c>
      <c r="I80" s="1">
        <v>11867</v>
      </c>
      <c r="J80" s="1">
        <v>10136</v>
      </c>
      <c r="K80" s="1">
        <v>52162</v>
      </c>
      <c r="L80" s="1">
        <v>40863</v>
      </c>
      <c r="M80" s="18">
        <v>0.51</v>
      </c>
      <c r="N80" s="18">
        <v>0.2</v>
      </c>
      <c r="O80" s="18">
        <v>0.8</v>
      </c>
      <c r="P80" s="18">
        <v>0.48</v>
      </c>
      <c r="Q80" s="18">
        <v>0.65</v>
      </c>
      <c r="R80" s="17">
        <v>0</v>
      </c>
      <c r="S80" s="17">
        <v>0</v>
      </c>
      <c r="T80" s="17">
        <v>0</v>
      </c>
      <c r="U80" s="1" t="str">
        <f t="shared" si="5"/>
        <v>Outlier</v>
      </c>
      <c r="V80" s="1" t="str">
        <f t="shared" si="6"/>
        <v>Normal</v>
      </c>
      <c r="W80" s="19">
        <f t="shared" si="7"/>
        <v>0.23956043956043957</v>
      </c>
      <c r="X80" s="19">
        <f t="shared" si="8"/>
        <v>0.11358024691358025</v>
      </c>
    </row>
    <row r="81" spans="1:39">
      <c r="A81" s="21">
        <v>44731</v>
      </c>
      <c r="B81" s="17">
        <f>IF(YEAR(Table9[[#This Row],[Date]]) = 2022, WEEKNUM(Table9[[#This Row],[Date]])-13, WEEKNUM(Table9[[#This Row],[Date]])+40)</f>
        <v>13</v>
      </c>
      <c r="C81" s="34" t="s">
        <v>47</v>
      </c>
      <c r="D81" s="35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7">
        <v>0</v>
      </c>
      <c r="S81" s="17">
        <v>0</v>
      </c>
      <c r="T81" s="17">
        <v>0</v>
      </c>
      <c r="U81" s="1" t="str">
        <f t="shared" si="5"/>
        <v>Normal</v>
      </c>
      <c r="V81" s="1" t="str">
        <f t="shared" si="6"/>
        <v>Normal</v>
      </c>
      <c r="W81" s="19">
        <f t="shared" si="7"/>
        <v>0</v>
      </c>
      <c r="X81" s="19">
        <f t="shared" si="8"/>
        <v>0</v>
      </c>
    </row>
    <row r="82" spans="1:39">
      <c r="A82" s="21">
        <v>44732</v>
      </c>
      <c r="B82" s="17">
        <f>IF(YEAR(Table9[[#This Row],[Date]]) = 2022, WEEKNUM(Table9[[#This Row],[Date]])-13, WEEKNUM(Table9[[#This Row],[Date]])+40)</f>
        <v>13</v>
      </c>
      <c r="C82" s="35" t="s">
        <v>63</v>
      </c>
      <c r="D82" s="35" t="s">
        <v>59</v>
      </c>
      <c r="E82" s="44">
        <v>0</v>
      </c>
      <c r="F82" s="44">
        <v>0</v>
      </c>
      <c r="G82" s="86">
        <v>0</v>
      </c>
      <c r="H82" s="86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320">
        <v>0</v>
      </c>
      <c r="Q82" s="44">
        <v>0</v>
      </c>
      <c r="R82" s="223">
        <v>0</v>
      </c>
      <c r="S82" s="223">
        <v>0</v>
      </c>
      <c r="T82" s="17">
        <v>0</v>
      </c>
      <c r="U82" s="1" t="str">
        <f t="shared" si="5"/>
        <v>Normal</v>
      </c>
      <c r="V82" s="1" t="str">
        <f t="shared" si="6"/>
        <v>Normal</v>
      </c>
      <c r="W82" s="19">
        <f t="shared" si="7"/>
        <v>0</v>
      </c>
      <c r="X82" s="19">
        <f t="shared" si="8"/>
        <v>0</v>
      </c>
    </row>
    <row r="83" spans="1:39">
      <c r="A83" s="21">
        <v>44733</v>
      </c>
      <c r="B83" s="17">
        <f>IF(YEAR(Table9[[#This Row],[Date]]) = 2022, WEEKNUM(Table9[[#This Row],[Date]])-13, WEEKNUM(Table9[[#This Row],[Date]])+40)</f>
        <v>13</v>
      </c>
      <c r="C83" s="34" t="s">
        <v>49</v>
      </c>
      <c r="D83" s="35" t="s">
        <v>59</v>
      </c>
      <c r="E83" s="1">
        <v>1238</v>
      </c>
      <c r="F83" s="1">
        <v>540</v>
      </c>
      <c r="G83" s="67">
        <v>0.4068181818181818</v>
      </c>
      <c r="H83" s="67">
        <v>-0.20937042459736457</v>
      </c>
      <c r="I83" s="1">
        <v>13105</v>
      </c>
      <c r="J83" s="1">
        <v>10676</v>
      </c>
      <c r="K83" s="1">
        <v>53400</v>
      </c>
      <c r="L83" s="1">
        <v>41403</v>
      </c>
      <c r="M83" s="18">
        <v>0.14000000000000001</v>
      </c>
      <c r="N83" s="18">
        <v>0.56000000000000005</v>
      </c>
      <c r="O83" s="18">
        <v>0.44</v>
      </c>
      <c r="P83" s="18">
        <v>0.51</v>
      </c>
      <c r="Q83" s="18">
        <v>0.66</v>
      </c>
      <c r="R83" s="17">
        <v>0</v>
      </c>
      <c r="S83" s="17">
        <v>0</v>
      </c>
      <c r="T83" s="17">
        <v>0</v>
      </c>
      <c r="U83" s="1" t="str">
        <f t="shared" si="5"/>
        <v>Outlier</v>
      </c>
      <c r="V83" s="1" t="str">
        <f t="shared" si="6"/>
        <v>Normal</v>
      </c>
      <c r="W83" s="19">
        <f t="shared" si="7"/>
        <v>0.4068181818181818</v>
      </c>
      <c r="X83" s="19">
        <f t="shared" si="8"/>
        <v>-0.20937042459736457</v>
      </c>
    </row>
    <row r="84" spans="1:39">
      <c r="A84" s="21">
        <v>44734</v>
      </c>
      <c r="B84" s="17">
        <f>IF(YEAR(Table9[[#This Row],[Date]]) = 2022, WEEKNUM(Table9[[#This Row],[Date]])-13, WEEKNUM(Table9[[#This Row],[Date]])+40)</f>
        <v>13</v>
      </c>
      <c r="C84" s="35" t="s">
        <v>50</v>
      </c>
      <c r="D84" s="35" t="s">
        <v>59</v>
      </c>
      <c r="E84" s="1">
        <v>1091</v>
      </c>
      <c r="F84" s="1">
        <v>864</v>
      </c>
      <c r="G84" s="67">
        <v>0.23696145124716553</v>
      </c>
      <c r="H84" s="67">
        <v>9.5057034220532313E-2</v>
      </c>
      <c r="I84" s="1">
        <v>14196</v>
      </c>
      <c r="J84" s="1">
        <v>11540</v>
      </c>
      <c r="K84" s="1">
        <v>54491</v>
      </c>
      <c r="L84" s="1">
        <v>42267</v>
      </c>
      <c r="M84" s="18">
        <v>0.42</v>
      </c>
      <c r="N84" s="18">
        <v>0.21</v>
      </c>
      <c r="O84" s="18">
        <v>0.79</v>
      </c>
      <c r="P84" s="18">
        <v>0.64</v>
      </c>
      <c r="Q84" s="18">
        <v>0.64</v>
      </c>
      <c r="R84" s="17">
        <v>0</v>
      </c>
      <c r="S84" s="17">
        <v>0</v>
      </c>
      <c r="T84" s="17">
        <v>0</v>
      </c>
      <c r="U84" s="1" t="str">
        <f t="shared" si="5"/>
        <v>Outlier</v>
      </c>
      <c r="V84" s="1" t="str">
        <f t="shared" si="6"/>
        <v>Normal</v>
      </c>
      <c r="W84" s="19">
        <f t="shared" si="7"/>
        <v>0.23696145124716553</v>
      </c>
      <c r="X84" s="19">
        <f t="shared" si="8"/>
        <v>9.5057034220532313E-2</v>
      </c>
    </row>
    <row r="85" spans="1:39">
      <c r="A85" s="21">
        <v>44735</v>
      </c>
      <c r="B85" s="17">
        <f>IF(YEAR(Table9[[#This Row],[Date]]) = 2022, WEEKNUM(Table9[[#This Row],[Date]])-13, WEEKNUM(Table9[[#This Row],[Date]])+40)</f>
        <v>13</v>
      </c>
      <c r="C85" s="34" t="s">
        <v>51</v>
      </c>
      <c r="D85" s="35" t="s">
        <v>59</v>
      </c>
      <c r="E85" s="1">
        <v>840</v>
      </c>
      <c r="F85" s="1">
        <v>777</v>
      </c>
      <c r="G85" s="67">
        <v>0</v>
      </c>
      <c r="H85" s="67">
        <v>0</v>
      </c>
      <c r="I85" s="1">
        <v>15036</v>
      </c>
      <c r="J85" s="1">
        <v>12317</v>
      </c>
      <c r="K85" s="1">
        <v>55331</v>
      </c>
      <c r="L85" s="1">
        <v>43044</v>
      </c>
      <c r="M85" s="18">
        <v>0.76</v>
      </c>
      <c r="N85" s="18">
        <v>7.0000000000000007E-2</v>
      </c>
      <c r="O85" s="18">
        <v>0.93</v>
      </c>
      <c r="P85" s="18">
        <v>0.54</v>
      </c>
      <c r="Q85" s="18">
        <v>0.68</v>
      </c>
      <c r="R85" s="17">
        <v>0</v>
      </c>
      <c r="S85" s="17">
        <v>0</v>
      </c>
      <c r="T85" s="17">
        <v>0</v>
      </c>
      <c r="U85" s="1" t="str">
        <f t="shared" si="5"/>
        <v>Normal</v>
      </c>
      <c r="V85" s="1" t="str">
        <f t="shared" si="6"/>
        <v>Normal</v>
      </c>
      <c r="W85" s="19">
        <f t="shared" si="7"/>
        <v>0</v>
      </c>
      <c r="X85" s="19">
        <f t="shared" si="8"/>
        <v>0</v>
      </c>
    </row>
    <row r="86" spans="1:39">
      <c r="A86" s="21">
        <v>44736</v>
      </c>
      <c r="B86" s="17">
        <f>IF(YEAR(Table9[[#This Row],[Date]]) = 2022, WEEKNUM(Table9[[#This Row],[Date]])-13, WEEKNUM(Table9[[#This Row],[Date]])+40)</f>
        <v>13</v>
      </c>
      <c r="C86" s="35" t="s">
        <v>52</v>
      </c>
      <c r="D86" s="35" t="s">
        <v>59</v>
      </c>
      <c r="E86" s="1">
        <v>892</v>
      </c>
      <c r="F86" s="1">
        <v>725</v>
      </c>
      <c r="G86" s="67">
        <v>-9.6251266464032426E-2</v>
      </c>
      <c r="H86" s="67">
        <v>-2.1592442645074223E-2</v>
      </c>
      <c r="I86" s="1">
        <v>15928</v>
      </c>
      <c r="J86" s="1">
        <v>13042</v>
      </c>
      <c r="K86" s="1">
        <v>56223</v>
      </c>
      <c r="L86" s="1">
        <v>43769</v>
      </c>
      <c r="M86" s="18">
        <v>0.53</v>
      </c>
      <c r="N86" s="18">
        <v>0.19</v>
      </c>
      <c r="O86" s="18">
        <v>0.81</v>
      </c>
      <c r="P86" s="18">
        <v>0.56999999999999995</v>
      </c>
      <c r="Q86" s="18">
        <v>0.62</v>
      </c>
      <c r="R86" s="17">
        <v>0</v>
      </c>
      <c r="S86" s="17">
        <v>0</v>
      </c>
      <c r="T86" s="17">
        <v>0</v>
      </c>
      <c r="U86" s="1" t="str">
        <f t="shared" si="5"/>
        <v>Normal</v>
      </c>
      <c r="V86" s="1" t="str">
        <f t="shared" si="6"/>
        <v>Normal</v>
      </c>
      <c r="W86" s="19">
        <f t="shared" si="7"/>
        <v>-9.6251266464032426E-2</v>
      </c>
      <c r="X86" s="19">
        <f t="shared" si="8"/>
        <v>-2.1592442645074223E-2</v>
      </c>
    </row>
    <row r="87" spans="1:39">
      <c r="A87" s="21">
        <v>44737</v>
      </c>
      <c r="B87" s="17">
        <f>IF(YEAR(Table9[[#This Row],[Date]]) = 2022, WEEKNUM(Table9[[#This Row],[Date]])-13, WEEKNUM(Table9[[#This Row],[Date]])+40)</f>
        <v>13</v>
      </c>
      <c r="C87" s="34" t="s">
        <v>53</v>
      </c>
      <c r="D87" s="35" t="s">
        <v>59</v>
      </c>
      <c r="E87" s="1">
        <v>530</v>
      </c>
      <c r="F87" s="1">
        <v>409</v>
      </c>
      <c r="G87" s="67">
        <v>-6.0283687943262408E-2</v>
      </c>
      <c r="H87" s="67">
        <v>-9.3126385809312637E-2</v>
      </c>
      <c r="I87" s="1">
        <v>16458</v>
      </c>
      <c r="J87" s="1">
        <v>13451</v>
      </c>
      <c r="K87" s="1">
        <v>56753</v>
      </c>
      <c r="L87" s="1">
        <v>44178</v>
      </c>
      <c r="M87" s="18">
        <v>0.56999999999999995</v>
      </c>
      <c r="N87" s="18">
        <v>0.23</v>
      </c>
      <c r="O87" s="18">
        <v>0.77</v>
      </c>
      <c r="P87" s="18">
        <v>0.47</v>
      </c>
      <c r="Q87" s="18">
        <v>0.72</v>
      </c>
      <c r="R87" s="17">
        <v>0</v>
      </c>
      <c r="S87" s="17">
        <v>0</v>
      </c>
      <c r="T87" s="17">
        <v>0</v>
      </c>
      <c r="U87" s="1" t="str">
        <f t="shared" si="5"/>
        <v>Normal</v>
      </c>
      <c r="V87" s="1" t="str">
        <f t="shared" si="6"/>
        <v>Normal</v>
      </c>
      <c r="W87" s="19">
        <f t="shared" si="7"/>
        <v>-6.0283687943262408E-2</v>
      </c>
      <c r="X87" s="19">
        <f t="shared" si="8"/>
        <v>-9.3126385809312637E-2</v>
      </c>
    </row>
    <row r="88" spans="1:39">
      <c r="A88" s="21">
        <v>44738</v>
      </c>
      <c r="B88" s="17">
        <f>IF(YEAR(Table9[[#This Row],[Date]]) = 2022, WEEKNUM(Table9[[#This Row],[Date]])-13, WEEKNUM(Table9[[#This Row],[Date]])+40)</f>
        <v>14</v>
      </c>
      <c r="C88" s="35" t="s">
        <v>47</v>
      </c>
      <c r="D88" s="35" t="s">
        <v>59</v>
      </c>
      <c r="E88" s="1">
        <v>0</v>
      </c>
      <c r="F88" s="1">
        <v>0</v>
      </c>
      <c r="G88" s="67">
        <v>0</v>
      </c>
      <c r="H88" s="67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7">
        <v>0</v>
      </c>
      <c r="S88" s="17">
        <v>0</v>
      </c>
      <c r="T88" s="17">
        <v>0</v>
      </c>
      <c r="U88" s="1" t="str">
        <f t="shared" si="5"/>
        <v>Normal</v>
      </c>
      <c r="V88" s="1" t="str">
        <f t="shared" si="6"/>
        <v>Normal</v>
      </c>
      <c r="W88" s="19">
        <f t="shared" si="7"/>
        <v>0</v>
      </c>
      <c r="X88" s="19">
        <f t="shared" si="8"/>
        <v>0</v>
      </c>
    </row>
    <row r="89" spans="1:39">
      <c r="A89" s="21">
        <v>44739</v>
      </c>
      <c r="B89" s="17">
        <f>IF(YEAR(Table9[[#This Row],[Date]]) = 2022, WEEKNUM(Table9[[#This Row],[Date]])-13, WEEKNUM(Table9[[#This Row],[Date]])+40)</f>
        <v>14</v>
      </c>
      <c r="C89" s="34" t="s">
        <v>48</v>
      </c>
      <c r="D89" s="35" t="s">
        <v>59</v>
      </c>
      <c r="E89" s="1">
        <v>1125</v>
      </c>
      <c r="F89" s="1">
        <v>396</v>
      </c>
      <c r="G89" s="86">
        <v>0</v>
      </c>
      <c r="H89" s="86">
        <v>0</v>
      </c>
      <c r="I89" s="1">
        <v>17583</v>
      </c>
      <c r="J89" s="1">
        <v>13847</v>
      </c>
      <c r="K89" s="1">
        <v>57878</v>
      </c>
      <c r="L89" s="1">
        <v>44574</v>
      </c>
      <c r="M89" s="18">
        <v>0.15</v>
      </c>
      <c r="N89" s="18">
        <v>0.65</v>
      </c>
      <c r="O89" s="18">
        <v>0.35</v>
      </c>
      <c r="P89" s="18">
        <v>0.59</v>
      </c>
      <c r="Q89" s="18">
        <v>0.66</v>
      </c>
      <c r="R89" s="17">
        <v>0</v>
      </c>
      <c r="S89" s="17">
        <v>0</v>
      </c>
      <c r="T89" s="17">
        <v>0</v>
      </c>
      <c r="U89" s="1" t="str">
        <f t="shared" si="5"/>
        <v>Normal</v>
      </c>
      <c r="V89" s="1" t="str">
        <f t="shared" si="6"/>
        <v>Normal</v>
      </c>
      <c r="W89" s="19">
        <f t="shared" si="7"/>
        <v>0</v>
      </c>
      <c r="X89" s="19">
        <f t="shared" si="8"/>
        <v>0</v>
      </c>
    </row>
    <row r="90" spans="1:39">
      <c r="A90" s="21">
        <v>44740</v>
      </c>
      <c r="B90" s="17">
        <f>IF(YEAR(Table9[[#This Row],[Date]]) = 2022, WEEKNUM(Table9[[#This Row],[Date]])-13, WEEKNUM(Table9[[#This Row],[Date]])+40)</f>
        <v>14</v>
      </c>
      <c r="C90" s="35" t="s">
        <v>49</v>
      </c>
      <c r="D90" s="35" t="s">
        <v>59</v>
      </c>
      <c r="E90" s="1">
        <v>656</v>
      </c>
      <c r="F90" s="1">
        <v>505</v>
      </c>
      <c r="G90" s="67">
        <v>-0.47011308562197091</v>
      </c>
      <c r="H90" s="67">
        <v>-6.4814814814814811E-2</v>
      </c>
      <c r="I90" s="1">
        <v>18239</v>
      </c>
      <c r="J90" s="1">
        <v>14352</v>
      </c>
      <c r="K90" s="1">
        <v>58534</v>
      </c>
      <c r="L90" s="1">
        <v>45079</v>
      </c>
      <c r="M90" s="18">
        <v>0.4</v>
      </c>
      <c r="N90" s="18">
        <v>0.23</v>
      </c>
      <c r="O90" s="18">
        <v>0.77</v>
      </c>
      <c r="P90" s="18">
        <v>0.48</v>
      </c>
      <c r="Q90" s="18">
        <v>0.62</v>
      </c>
      <c r="R90" s="17">
        <v>0</v>
      </c>
      <c r="S90" s="17">
        <v>0</v>
      </c>
      <c r="T90" s="17">
        <v>0</v>
      </c>
      <c r="U90" s="1" t="str">
        <f t="shared" si="5"/>
        <v>Outlier</v>
      </c>
      <c r="V90" s="1" t="str">
        <f t="shared" si="6"/>
        <v>Normal</v>
      </c>
      <c r="W90" s="19">
        <f t="shared" si="7"/>
        <v>-0.47011308562197091</v>
      </c>
      <c r="X90" s="19">
        <f t="shared" si="8"/>
        <v>-6.4814814814814811E-2</v>
      </c>
    </row>
    <row r="91" spans="1:39">
      <c r="A91" s="21">
        <v>44741</v>
      </c>
      <c r="B91" s="17">
        <f>IF(YEAR(Table9[[#This Row],[Date]]) = 2022, WEEKNUM(Table9[[#This Row],[Date]])-13, WEEKNUM(Table9[[#This Row],[Date]])+40)</f>
        <v>14</v>
      </c>
      <c r="C91" s="34" t="s">
        <v>50</v>
      </c>
      <c r="D91" s="35" t="s">
        <v>59</v>
      </c>
      <c r="E91" s="1">
        <v>1047</v>
      </c>
      <c r="F91" s="1">
        <v>677</v>
      </c>
      <c r="G91" s="67">
        <v>-4.0329972502291478E-2</v>
      </c>
      <c r="H91" s="67">
        <v>-0.21643518518518517</v>
      </c>
      <c r="I91" s="1">
        <v>19286</v>
      </c>
      <c r="J91" s="1">
        <v>15029</v>
      </c>
      <c r="K91" s="1">
        <v>59581</v>
      </c>
      <c r="L91" s="1">
        <v>45756</v>
      </c>
      <c r="M91" s="18">
        <v>0.27</v>
      </c>
      <c r="N91" s="18">
        <v>0.35</v>
      </c>
      <c r="O91" s="18">
        <v>0.65</v>
      </c>
      <c r="P91" s="18">
        <v>0.62</v>
      </c>
      <c r="Q91" s="18">
        <v>0.67</v>
      </c>
      <c r="R91" s="17">
        <v>0</v>
      </c>
      <c r="S91" s="17">
        <v>0</v>
      </c>
      <c r="T91" s="17">
        <v>0</v>
      </c>
      <c r="U91" s="1" t="str">
        <f t="shared" si="5"/>
        <v>Normal</v>
      </c>
      <c r="V91" s="1" t="str">
        <f t="shared" si="6"/>
        <v>Normal</v>
      </c>
      <c r="W91" s="19">
        <f t="shared" si="7"/>
        <v>-4.0329972502291478E-2</v>
      </c>
      <c r="X91" s="19">
        <f t="shared" si="8"/>
        <v>-0.21643518518518517</v>
      </c>
    </row>
    <row r="92" spans="1:39" s="50" customFormat="1">
      <c r="A92" s="54">
        <v>44742</v>
      </c>
      <c r="B92" s="131">
        <f>IF(YEAR(Table9[[#This Row],[Date]]) = 2022, WEEKNUM(Table9[[#This Row],[Date]])-13, WEEKNUM(Table9[[#This Row],[Date]])+40)</f>
        <v>14</v>
      </c>
      <c r="C92" s="51" t="s">
        <v>51</v>
      </c>
      <c r="D92" s="51" t="s">
        <v>59</v>
      </c>
      <c r="E92" s="52">
        <v>907</v>
      </c>
      <c r="F92" s="52">
        <v>759</v>
      </c>
      <c r="G92" s="81">
        <v>7.9761904761904756E-2</v>
      </c>
      <c r="H92" s="81">
        <v>-2.3166023166023165E-2</v>
      </c>
      <c r="I92" s="52">
        <v>20193</v>
      </c>
      <c r="J92" s="52">
        <v>15788</v>
      </c>
      <c r="K92" s="52">
        <v>60488</v>
      </c>
      <c r="L92" s="52">
        <v>46515</v>
      </c>
      <c r="M92" s="53">
        <v>0.54</v>
      </c>
      <c r="N92" s="53">
        <v>0.16</v>
      </c>
      <c r="O92" s="53">
        <v>0.84</v>
      </c>
      <c r="P92" s="53">
        <v>0.57999999999999996</v>
      </c>
      <c r="Q92" s="53">
        <v>0.69</v>
      </c>
      <c r="R92" s="131">
        <v>0</v>
      </c>
      <c r="S92" s="131">
        <v>0</v>
      </c>
      <c r="T92" s="131">
        <v>0</v>
      </c>
      <c r="U92" s="52" t="str">
        <f t="shared" si="5"/>
        <v>Normal</v>
      </c>
      <c r="V92" s="52" t="str">
        <f t="shared" si="6"/>
        <v>Normal</v>
      </c>
      <c r="W92" s="143">
        <f t="shared" si="7"/>
        <v>7.9761904761904756E-2</v>
      </c>
      <c r="X92" s="143">
        <f t="shared" si="8"/>
        <v>-2.3166023166023165E-2</v>
      </c>
      <c r="AK92"/>
      <c r="AL92"/>
      <c r="AM92"/>
    </row>
    <row r="93" spans="1:39">
      <c r="A93" s="21">
        <v>44743</v>
      </c>
      <c r="B93" s="17">
        <f>IF(YEAR(Table9[[#This Row],[Date]]) = 2022, WEEKNUM(Table9[[#This Row],[Date]])-13, WEEKNUM(Table9[[#This Row],[Date]])+40)</f>
        <v>14</v>
      </c>
      <c r="C93" s="34" t="s">
        <v>52</v>
      </c>
      <c r="D93" s="35" t="s">
        <v>59</v>
      </c>
      <c r="E93" s="1">
        <v>931</v>
      </c>
      <c r="F93" s="1">
        <v>630</v>
      </c>
      <c r="G93" s="67">
        <v>4.3721973094170405E-2</v>
      </c>
      <c r="H93" s="67">
        <v>-0.1310344827586207</v>
      </c>
      <c r="I93" s="1">
        <v>931</v>
      </c>
      <c r="J93" s="1">
        <v>630</v>
      </c>
      <c r="K93" s="1">
        <v>61419</v>
      </c>
      <c r="L93" s="1">
        <v>47145</v>
      </c>
      <c r="M93" s="18">
        <v>0.28000000000000003</v>
      </c>
      <c r="N93" s="18">
        <v>0.32</v>
      </c>
      <c r="O93" s="18">
        <v>0.68</v>
      </c>
      <c r="P93" s="18">
        <v>0.55000000000000004</v>
      </c>
      <c r="Q93" s="18">
        <v>0.63</v>
      </c>
      <c r="R93" s="17">
        <v>0</v>
      </c>
      <c r="S93" s="17">
        <v>0</v>
      </c>
      <c r="T93" s="17">
        <v>0</v>
      </c>
      <c r="U93" s="1" t="str">
        <f t="shared" si="5"/>
        <v>Normal</v>
      </c>
      <c r="V93" s="1" t="str">
        <f t="shared" si="6"/>
        <v>Normal</v>
      </c>
      <c r="W93" s="19">
        <f t="shared" si="7"/>
        <v>4.3721973094170405E-2</v>
      </c>
      <c r="X93" s="19">
        <f t="shared" si="8"/>
        <v>-0.1310344827586207</v>
      </c>
    </row>
    <row r="94" spans="1:39">
      <c r="A94" s="21">
        <v>44744</v>
      </c>
      <c r="B94" s="17">
        <f>IF(YEAR(Table9[[#This Row],[Date]]) = 2022, WEEKNUM(Table9[[#This Row],[Date]])-13, WEEKNUM(Table9[[#This Row],[Date]])+40)</f>
        <v>14</v>
      </c>
      <c r="C94" s="35" t="s">
        <v>53</v>
      </c>
      <c r="D94" s="35" t="s">
        <v>59</v>
      </c>
      <c r="E94" s="1">
        <v>588</v>
      </c>
      <c r="F94" s="1">
        <v>354</v>
      </c>
      <c r="G94" s="67">
        <v>0.10943396226415095</v>
      </c>
      <c r="H94" s="67">
        <v>-0.13447432762836187</v>
      </c>
      <c r="I94" s="1">
        <v>1519</v>
      </c>
      <c r="J94" s="1">
        <v>984</v>
      </c>
      <c r="K94" s="1">
        <v>62007</v>
      </c>
      <c r="L94" s="1">
        <v>47499</v>
      </c>
      <c r="M94" s="18">
        <v>0.28000000000000003</v>
      </c>
      <c r="N94" s="18">
        <v>0.4</v>
      </c>
      <c r="O94" s="18">
        <v>0.6</v>
      </c>
      <c r="P94" s="18">
        <v>0.56999999999999995</v>
      </c>
      <c r="Q94" s="18">
        <v>0.67</v>
      </c>
      <c r="R94" s="17">
        <v>0</v>
      </c>
      <c r="S94" s="17">
        <v>0</v>
      </c>
      <c r="T94" s="17">
        <v>0</v>
      </c>
      <c r="U94" s="1" t="str">
        <f t="shared" si="5"/>
        <v>Normal</v>
      </c>
      <c r="V94" s="1" t="str">
        <f t="shared" si="6"/>
        <v>Normal</v>
      </c>
      <c r="W94" s="19">
        <f t="shared" si="7"/>
        <v>0.10943396226415095</v>
      </c>
      <c r="X94" s="19">
        <f t="shared" si="8"/>
        <v>-0.13447432762836187</v>
      </c>
    </row>
    <row r="95" spans="1:39">
      <c r="A95" s="21">
        <v>44745</v>
      </c>
      <c r="B95" s="17">
        <f>IF(YEAR(Table9[[#This Row],[Date]]) = 2022, WEEKNUM(Table9[[#This Row],[Date]])-13, WEEKNUM(Table9[[#This Row],[Date]])+40)</f>
        <v>15</v>
      </c>
      <c r="C95" s="34" t="s">
        <v>47</v>
      </c>
      <c r="D95" s="35" t="s">
        <v>59</v>
      </c>
      <c r="E95" s="1">
        <v>0</v>
      </c>
      <c r="F95" s="1">
        <v>0</v>
      </c>
      <c r="G95" s="67">
        <v>0</v>
      </c>
      <c r="H95" s="67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7">
        <v>0</v>
      </c>
      <c r="S95" s="17">
        <v>0</v>
      </c>
      <c r="T95" s="17">
        <v>0</v>
      </c>
      <c r="U95" s="1" t="str">
        <f t="shared" si="5"/>
        <v>Normal</v>
      </c>
      <c r="V95" s="1" t="str">
        <f t="shared" si="6"/>
        <v>Normal</v>
      </c>
      <c r="W95" s="19">
        <f t="shared" si="7"/>
        <v>0</v>
      </c>
      <c r="X95" s="19">
        <f t="shared" si="8"/>
        <v>0</v>
      </c>
    </row>
    <row r="96" spans="1:39">
      <c r="A96" s="21">
        <v>44746</v>
      </c>
      <c r="B96" s="17">
        <f>IF(YEAR(Table9[[#This Row],[Date]]) = 2022, WEEKNUM(Table9[[#This Row],[Date]])-13, WEEKNUM(Table9[[#This Row],[Date]])+40)</f>
        <v>15</v>
      </c>
      <c r="C96" s="35" t="s">
        <v>48</v>
      </c>
      <c r="D96" s="35" t="s">
        <v>59</v>
      </c>
      <c r="E96" s="1">
        <v>1130</v>
      </c>
      <c r="F96" s="1">
        <v>645</v>
      </c>
      <c r="G96" s="67">
        <v>4.4444444444444444E-3</v>
      </c>
      <c r="H96" s="67">
        <v>0.62878787878787878</v>
      </c>
      <c r="I96" s="1">
        <v>2649</v>
      </c>
      <c r="J96" s="1">
        <v>1629</v>
      </c>
      <c r="K96" s="1">
        <v>63137</v>
      </c>
      <c r="L96" s="1">
        <v>48144</v>
      </c>
      <c r="M96" s="18">
        <v>0.16</v>
      </c>
      <c r="N96" s="18">
        <v>0.43</v>
      </c>
      <c r="O96" s="18">
        <v>0.56999999999999995</v>
      </c>
      <c r="P96" s="18">
        <v>0.57999999999999996</v>
      </c>
      <c r="Q96" s="18">
        <v>0.6</v>
      </c>
      <c r="R96" s="17">
        <v>0</v>
      </c>
      <c r="S96" s="17">
        <v>0</v>
      </c>
      <c r="T96" s="17">
        <v>0</v>
      </c>
      <c r="U96" s="1" t="str">
        <f t="shared" si="5"/>
        <v>Normal</v>
      </c>
      <c r="V96" s="1" t="str">
        <f t="shared" si="6"/>
        <v>Outlier</v>
      </c>
      <c r="W96" s="19">
        <f t="shared" si="7"/>
        <v>4.4444444444444444E-3</v>
      </c>
      <c r="X96" s="19">
        <f t="shared" si="8"/>
        <v>0.62878787878787878</v>
      </c>
    </row>
    <row r="97" spans="1:24">
      <c r="A97" s="21">
        <v>44747</v>
      </c>
      <c r="B97" s="17">
        <f>IF(YEAR(Table9[[#This Row],[Date]]) = 2022, WEEKNUM(Table9[[#This Row],[Date]])-13, WEEKNUM(Table9[[#This Row],[Date]])+40)</f>
        <v>15</v>
      </c>
      <c r="C97" s="35" t="s">
        <v>49</v>
      </c>
      <c r="D97" s="35" t="s">
        <v>59</v>
      </c>
      <c r="E97" s="1">
        <v>1064</v>
      </c>
      <c r="F97" s="1">
        <v>509</v>
      </c>
      <c r="G97" s="67">
        <v>0.62195121951219512</v>
      </c>
      <c r="H97" s="67">
        <v>7.9207920792079209E-3</v>
      </c>
      <c r="I97" s="1">
        <v>3713</v>
      </c>
      <c r="J97" s="1">
        <v>2138</v>
      </c>
      <c r="K97" s="1">
        <v>64201</v>
      </c>
      <c r="L97" s="1">
        <v>48653</v>
      </c>
      <c r="M97" s="18">
        <v>0.13</v>
      </c>
      <c r="N97" s="18">
        <v>0.51</v>
      </c>
      <c r="O97" s="18">
        <v>0.49</v>
      </c>
      <c r="P97" s="18">
        <v>0.6</v>
      </c>
      <c r="Q97" s="18">
        <v>0.64</v>
      </c>
      <c r="R97" s="17">
        <v>0</v>
      </c>
      <c r="S97" s="17">
        <v>0</v>
      </c>
      <c r="T97" s="17">
        <v>0</v>
      </c>
      <c r="U97" s="1" t="str">
        <f t="shared" si="5"/>
        <v>Outlier</v>
      </c>
      <c r="V97" s="1" t="str">
        <f t="shared" si="6"/>
        <v>Normal</v>
      </c>
      <c r="W97" s="19">
        <f t="shared" si="7"/>
        <v>0.62195121951219512</v>
      </c>
      <c r="X97" s="19">
        <f t="shared" si="8"/>
        <v>7.9207920792079209E-3</v>
      </c>
    </row>
    <row r="98" spans="1:24">
      <c r="A98" s="21">
        <v>44748</v>
      </c>
      <c r="B98" s="17">
        <f>IF(YEAR(Table9[[#This Row],[Date]]) = 2022, WEEKNUM(Table9[[#This Row],[Date]])-13, WEEKNUM(Table9[[#This Row],[Date]])+40)</f>
        <v>15</v>
      </c>
      <c r="C98" s="35" t="s">
        <v>50</v>
      </c>
      <c r="D98" s="35" t="s">
        <v>59</v>
      </c>
      <c r="E98" s="1">
        <v>864</v>
      </c>
      <c r="F98" s="1">
        <v>719</v>
      </c>
      <c r="G98" s="67">
        <v>-0.17478510028653296</v>
      </c>
      <c r="H98" s="67">
        <v>6.2038404726735601E-2</v>
      </c>
      <c r="I98" s="1">
        <v>4577</v>
      </c>
      <c r="J98" s="1">
        <v>2857</v>
      </c>
      <c r="K98" s="1">
        <v>65065</v>
      </c>
      <c r="L98" s="1">
        <v>49372</v>
      </c>
      <c r="M98" s="18">
        <v>0.49</v>
      </c>
      <c r="N98" s="18">
        <v>0.17</v>
      </c>
      <c r="O98" s="18">
        <v>0.83</v>
      </c>
      <c r="P98" s="18">
        <v>0.62</v>
      </c>
      <c r="Q98" s="18">
        <v>0.69</v>
      </c>
      <c r="R98" s="17">
        <v>0</v>
      </c>
      <c r="S98" s="17">
        <v>0</v>
      </c>
      <c r="T98" s="17">
        <v>0</v>
      </c>
      <c r="U98" s="1" t="str">
        <f t="shared" si="5"/>
        <v>Normal</v>
      </c>
      <c r="V98" s="1" t="str">
        <f t="shared" si="6"/>
        <v>Normal</v>
      </c>
      <c r="W98" s="19">
        <f t="shared" si="7"/>
        <v>-0.17478510028653296</v>
      </c>
      <c r="X98" s="19">
        <f t="shared" si="8"/>
        <v>6.2038404726735601E-2</v>
      </c>
    </row>
    <row r="99" spans="1:24">
      <c r="A99" s="21">
        <v>44749</v>
      </c>
      <c r="B99" s="17">
        <f>IF(YEAR(Table9[[#This Row],[Date]]) = 2022, WEEKNUM(Table9[[#This Row],[Date]])-13, WEEKNUM(Table9[[#This Row],[Date]])+40)</f>
        <v>15</v>
      </c>
      <c r="C99" s="35" t="s">
        <v>51</v>
      </c>
      <c r="D99" s="35" t="s">
        <v>59</v>
      </c>
      <c r="E99" s="1">
        <v>992</v>
      </c>
      <c r="F99" s="1">
        <v>627</v>
      </c>
      <c r="G99" s="67">
        <v>9.3715545755237051E-2</v>
      </c>
      <c r="H99" s="67">
        <v>-0.17391304347826086</v>
      </c>
      <c r="I99" s="1">
        <v>5569</v>
      </c>
      <c r="J99" s="1">
        <v>3484</v>
      </c>
      <c r="K99" s="1">
        <v>66057</v>
      </c>
      <c r="L99" s="1">
        <v>49999</v>
      </c>
      <c r="M99" s="18">
        <v>0.26</v>
      </c>
      <c r="N99" s="18">
        <v>0.37</v>
      </c>
      <c r="O99" s="18">
        <v>0.63</v>
      </c>
      <c r="P99" s="18">
        <v>0.63</v>
      </c>
      <c r="Q99" s="18">
        <v>0.67</v>
      </c>
      <c r="R99" s="17">
        <v>0</v>
      </c>
      <c r="S99" s="17">
        <v>0</v>
      </c>
      <c r="T99" s="17">
        <v>0</v>
      </c>
      <c r="U99" s="1" t="str">
        <f t="shared" si="5"/>
        <v>Normal</v>
      </c>
      <c r="V99" s="1" t="str">
        <f t="shared" si="6"/>
        <v>Normal</v>
      </c>
      <c r="W99" s="19">
        <f t="shared" si="7"/>
        <v>9.3715545755237051E-2</v>
      </c>
      <c r="X99" s="19">
        <f t="shared" si="8"/>
        <v>-0.17391304347826086</v>
      </c>
    </row>
    <row r="100" spans="1:24">
      <c r="A100" s="21">
        <v>44750</v>
      </c>
      <c r="B100" s="17">
        <f>IF(YEAR(Table9[[#This Row],[Date]]) = 2022, WEEKNUM(Table9[[#This Row],[Date]])-13, WEEKNUM(Table9[[#This Row],[Date]])+40)</f>
        <v>15</v>
      </c>
      <c r="C100" s="35" t="s">
        <v>52</v>
      </c>
      <c r="D100" s="35" t="s">
        <v>59</v>
      </c>
      <c r="E100" s="1">
        <v>913</v>
      </c>
      <c r="F100" s="1">
        <v>566</v>
      </c>
      <c r="G100" s="67">
        <v>-1.9334049409237379E-2</v>
      </c>
      <c r="H100" s="67">
        <v>-0.10158730158730159</v>
      </c>
      <c r="I100" s="1">
        <v>6482</v>
      </c>
      <c r="J100" s="1">
        <v>4050</v>
      </c>
      <c r="K100" s="1">
        <v>66970</v>
      </c>
      <c r="L100" s="1">
        <v>50565</v>
      </c>
      <c r="M100" s="18">
        <v>0.24</v>
      </c>
      <c r="N100" s="18">
        <v>0.38</v>
      </c>
      <c r="O100" s="18">
        <v>0.62</v>
      </c>
      <c r="P100" s="18">
        <v>0.56999999999999995</v>
      </c>
      <c r="Q100" s="18">
        <v>0.69</v>
      </c>
      <c r="R100" s="17">
        <v>0</v>
      </c>
      <c r="S100" s="17">
        <v>0</v>
      </c>
      <c r="T100" s="17">
        <v>0</v>
      </c>
      <c r="U100" s="1" t="str">
        <f t="shared" si="5"/>
        <v>Normal</v>
      </c>
      <c r="V100" s="1" t="str">
        <f t="shared" si="6"/>
        <v>Normal</v>
      </c>
      <c r="W100" s="19">
        <f t="shared" si="7"/>
        <v>-1.9334049409237379E-2</v>
      </c>
      <c r="X100" s="19">
        <f t="shared" si="8"/>
        <v>-0.10158730158730159</v>
      </c>
    </row>
    <row r="101" spans="1:24">
      <c r="A101" s="21">
        <v>44751</v>
      </c>
      <c r="B101" s="17">
        <f>IF(YEAR(Table9[[#This Row],[Date]]) = 2022, WEEKNUM(Table9[[#This Row],[Date]])-13, WEEKNUM(Table9[[#This Row],[Date]])+40)</f>
        <v>15</v>
      </c>
      <c r="C101" s="35" t="s">
        <v>53</v>
      </c>
      <c r="D101" s="35" t="s">
        <v>59</v>
      </c>
      <c r="E101" s="1">
        <v>502</v>
      </c>
      <c r="F101" s="1">
        <v>361</v>
      </c>
      <c r="G101" s="67">
        <v>-0.14625850340136054</v>
      </c>
      <c r="H101" s="67">
        <v>1.977401129943503E-2</v>
      </c>
      <c r="I101" s="1">
        <v>6984</v>
      </c>
      <c r="J101" s="1">
        <v>4411</v>
      </c>
      <c r="K101" s="1">
        <v>67472</v>
      </c>
      <c r="L101" s="1">
        <v>50926</v>
      </c>
      <c r="M101" s="18">
        <v>0.36</v>
      </c>
      <c r="N101" s="18">
        <v>0.28000000000000003</v>
      </c>
      <c r="O101" s="18">
        <v>0.72</v>
      </c>
      <c r="P101" s="18">
        <v>0.54</v>
      </c>
      <c r="Q101" s="18">
        <v>0.67</v>
      </c>
      <c r="R101" s="17">
        <v>0</v>
      </c>
      <c r="S101" s="17">
        <v>0</v>
      </c>
      <c r="T101" s="17">
        <v>0</v>
      </c>
      <c r="U101" s="1" t="str">
        <f t="shared" si="5"/>
        <v>Normal</v>
      </c>
      <c r="V101" s="1" t="str">
        <f t="shared" si="6"/>
        <v>Normal</v>
      </c>
      <c r="W101" s="19">
        <f t="shared" si="7"/>
        <v>-0.14625850340136054</v>
      </c>
      <c r="X101" s="19">
        <f t="shared" si="8"/>
        <v>1.977401129943503E-2</v>
      </c>
    </row>
    <row r="102" spans="1:24">
      <c r="A102" s="21">
        <v>44752</v>
      </c>
      <c r="B102" s="17">
        <f>IF(YEAR(Table9[[#This Row],[Date]]) = 2022, WEEKNUM(Table9[[#This Row],[Date]])-13, WEEKNUM(Table9[[#This Row],[Date]])+40)</f>
        <v>16</v>
      </c>
      <c r="C102" s="35" t="s">
        <v>47</v>
      </c>
      <c r="D102" s="35" t="s">
        <v>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69">
        <v>0</v>
      </c>
      <c r="Q102" s="1">
        <v>0</v>
      </c>
      <c r="R102" s="17">
        <v>0</v>
      </c>
      <c r="S102" s="17">
        <v>0</v>
      </c>
      <c r="T102" s="17">
        <v>0</v>
      </c>
      <c r="U102" s="1" t="str">
        <f t="shared" si="5"/>
        <v>Normal</v>
      </c>
      <c r="V102" s="1" t="str">
        <f t="shared" si="6"/>
        <v>Normal</v>
      </c>
      <c r="W102" s="19">
        <f t="shared" si="7"/>
        <v>0</v>
      </c>
      <c r="X102" s="19">
        <f t="shared" si="8"/>
        <v>0</v>
      </c>
    </row>
    <row r="103" spans="1:24">
      <c r="A103" s="21">
        <v>44753</v>
      </c>
      <c r="B103" s="17">
        <f>IF(YEAR(Table9[[#This Row],[Date]]) = 2022, WEEKNUM(Table9[[#This Row],[Date]])-13, WEEKNUM(Table9[[#This Row],[Date]])+40)</f>
        <v>16</v>
      </c>
      <c r="C103" s="35" t="s">
        <v>48</v>
      </c>
      <c r="D103" s="35" t="s">
        <v>59</v>
      </c>
      <c r="E103" s="1">
        <v>1139</v>
      </c>
      <c r="F103" s="1">
        <v>529</v>
      </c>
      <c r="G103" s="67">
        <v>7.9646017699115043E-3</v>
      </c>
      <c r="H103" s="67">
        <v>-0.17984496124031008</v>
      </c>
      <c r="I103" s="1">
        <v>8123</v>
      </c>
      <c r="J103" s="1">
        <v>4940</v>
      </c>
      <c r="K103" s="1">
        <v>68611</v>
      </c>
      <c r="L103" s="1">
        <v>51455</v>
      </c>
      <c r="M103" s="18">
        <v>0.12</v>
      </c>
      <c r="N103" s="18">
        <v>0.54</v>
      </c>
      <c r="O103" s="18">
        <v>0.46</v>
      </c>
      <c r="P103" s="18">
        <v>0.63</v>
      </c>
      <c r="Q103" s="18">
        <v>0.6</v>
      </c>
      <c r="R103" s="17">
        <v>0</v>
      </c>
      <c r="S103" s="17">
        <v>0</v>
      </c>
      <c r="T103" s="17">
        <v>0</v>
      </c>
      <c r="U103" s="1" t="str">
        <f t="shared" si="5"/>
        <v>Normal</v>
      </c>
      <c r="V103" s="1" t="str">
        <f t="shared" si="6"/>
        <v>Normal</v>
      </c>
      <c r="W103" s="19">
        <f t="shared" si="7"/>
        <v>7.9646017699115043E-3</v>
      </c>
      <c r="X103" s="19">
        <f t="shared" si="8"/>
        <v>-0.17984496124031008</v>
      </c>
    </row>
    <row r="104" spans="1:24">
      <c r="A104" s="21">
        <v>44754</v>
      </c>
      <c r="B104" s="17">
        <f>IF(YEAR(Table9[[#This Row],[Date]]) = 2022, WEEKNUM(Table9[[#This Row],[Date]])-13, WEEKNUM(Table9[[#This Row],[Date]])+40)</f>
        <v>16</v>
      </c>
      <c r="C104" s="35" t="s">
        <v>49</v>
      </c>
      <c r="D104" s="35" t="s">
        <v>59</v>
      </c>
      <c r="E104" s="1">
        <v>1128</v>
      </c>
      <c r="F104" s="1">
        <v>812</v>
      </c>
      <c r="G104" s="67">
        <v>6.0150375939849621E-2</v>
      </c>
      <c r="H104" s="67">
        <v>0.5952848722986247</v>
      </c>
      <c r="I104" s="1">
        <v>9251</v>
      </c>
      <c r="J104" s="1">
        <v>5752</v>
      </c>
      <c r="K104" s="1">
        <v>69739</v>
      </c>
      <c r="L104" s="1">
        <v>52267</v>
      </c>
      <c r="M104" s="18">
        <v>0.27</v>
      </c>
      <c r="N104" s="18">
        <v>0.28000000000000003</v>
      </c>
      <c r="O104" s="18">
        <v>0.72</v>
      </c>
      <c r="P104" s="18">
        <v>0.66</v>
      </c>
      <c r="Q104" s="18">
        <v>0.67</v>
      </c>
      <c r="R104" s="17">
        <v>0</v>
      </c>
      <c r="S104" s="17">
        <v>0</v>
      </c>
      <c r="T104" s="17">
        <v>0</v>
      </c>
      <c r="U104" s="1" t="str">
        <f t="shared" si="5"/>
        <v>Normal</v>
      </c>
      <c r="V104" s="1" t="str">
        <f t="shared" si="6"/>
        <v>Outlier</v>
      </c>
      <c r="W104" s="19">
        <f t="shared" si="7"/>
        <v>6.0150375939849621E-2</v>
      </c>
      <c r="X104" s="19">
        <f t="shared" si="8"/>
        <v>0.5952848722986247</v>
      </c>
    </row>
    <row r="105" spans="1:24">
      <c r="A105" s="21">
        <v>44755</v>
      </c>
      <c r="B105" s="17">
        <f>IF(YEAR(Table9[[#This Row],[Date]]) = 2022, WEEKNUM(Table9[[#This Row],[Date]])-13, WEEKNUM(Table9[[#This Row],[Date]])+40)</f>
        <v>16</v>
      </c>
      <c r="C105" s="35" t="s">
        <v>50</v>
      </c>
      <c r="D105" s="35" t="s">
        <v>59</v>
      </c>
      <c r="E105" s="1">
        <v>1044</v>
      </c>
      <c r="F105" s="1">
        <v>753</v>
      </c>
      <c r="G105" s="67">
        <v>0.20833333333333334</v>
      </c>
      <c r="H105" s="67">
        <v>4.7287899860917942E-2</v>
      </c>
      <c r="I105" s="1">
        <v>10295</v>
      </c>
      <c r="J105" s="1">
        <v>6505</v>
      </c>
      <c r="K105" s="1">
        <v>70783</v>
      </c>
      <c r="L105" s="1">
        <v>53020</v>
      </c>
      <c r="M105" s="18">
        <v>0.28000000000000003</v>
      </c>
      <c r="N105" s="18">
        <v>0.28000000000000003</v>
      </c>
      <c r="O105" s="18">
        <v>0.72</v>
      </c>
      <c r="P105" s="18">
        <v>0.66</v>
      </c>
      <c r="Q105" s="18">
        <v>0.66</v>
      </c>
      <c r="R105" s="17">
        <v>0</v>
      </c>
      <c r="S105" s="17">
        <v>0</v>
      </c>
      <c r="T105" s="17">
        <v>0</v>
      </c>
      <c r="U105" s="1" t="str">
        <f t="shared" si="5"/>
        <v>Normal</v>
      </c>
      <c r="V105" s="1" t="str">
        <f t="shared" si="6"/>
        <v>Normal</v>
      </c>
      <c r="W105" s="19">
        <f t="shared" si="7"/>
        <v>0.20833333333333334</v>
      </c>
      <c r="X105" s="19">
        <f t="shared" si="8"/>
        <v>4.7287899860917942E-2</v>
      </c>
    </row>
    <row r="106" spans="1:24">
      <c r="A106" s="21">
        <v>44756</v>
      </c>
      <c r="B106" s="17">
        <f>IF(YEAR(Table9[[#This Row],[Date]]) = 2022, WEEKNUM(Table9[[#This Row],[Date]])-13, WEEKNUM(Table9[[#This Row],[Date]])+40)</f>
        <v>16</v>
      </c>
      <c r="C106" s="35" t="s">
        <v>51</v>
      </c>
      <c r="D106" s="35" t="s">
        <v>59</v>
      </c>
      <c r="E106" s="1">
        <v>974</v>
      </c>
      <c r="F106" s="1">
        <v>598</v>
      </c>
      <c r="G106" s="67">
        <v>-1.8145161290322582E-2</v>
      </c>
      <c r="H106" s="67">
        <v>-4.6251993620414676E-2</v>
      </c>
      <c r="I106" s="1">
        <v>11269</v>
      </c>
      <c r="J106" s="1">
        <v>7103</v>
      </c>
      <c r="K106" s="1">
        <v>71757</v>
      </c>
      <c r="L106" s="1">
        <v>53618</v>
      </c>
      <c r="M106" s="18">
        <v>0.19</v>
      </c>
      <c r="N106" s="18">
        <v>0.39</v>
      </c>
      <c r="O106" s="18">
        <v>0.61</v>
      </c>
      <c r="P106" s="18">
        <v>0.54</v>
      </c>
      <c r="Q106" s="18">
        <v>0.66</v>
      </c>
      <c r="R106" s="17">
        <v>0</v>
      </c>
      <c r="S106" s="17">
        <v>0</v>
      </c>
      <c r="T106" s="17">
        <v>0</v>
      </c>
      <c r="U106" s="1" t="str">
        <f t="shared" si="5"/>
        <v>Normal</v>
      </c>
      <c r="V106" s="1" t="str">
        <f t="shared" si="6"/>
        <v>Normal</v>
      </c>
      <c r="W106" s="19">
        <f t="shared" si="7"/>
        <v>-1.8145161290322582E-2</v>
      </c>
      <c r="X106" s="19">
        <f t="shared" si="8"/>
        <v>-4.6251993620414676E-2</v>
      </c>
    </row>
    <row r="107" spans="1:24">
      <c r="A107" s="21">
        <v>44757</v>
      </c>
      <c r="B107" s="17">
        <f>IF(YEAR(Table9[[#This Row],[Date]]) = 2022, WEEKNUM(Table9[[#This Row],[Date]])-13, WEEKNUM(Table9[[#This Row],[Date]])+40)</f>
        <v>16</v>
      </c>
      <c r="C107" s="35" t="s">
        <v>52</v>
      </c>
      <c r="D107" s="35" t="s">
        <v>59</v>
      </c>
      <c r="E107" s="1">
        <v>872</v>
      </c>
      <c r="F107" s="1">
        <v>551</v>
      </c>
      <c r="G107" s="67">
        <v>-4.4906900328587074E-2</v>
      </c>
      <c r="H107" s="67">
        <v>-2.6501766784452298E-2</v>
      </c>
      <c r="I107" s="1">
        <v>12141</v>
      </c>
      <c r="J107" s="1">
        <v>7654</v>
      </c>
      <c r="K107" s="1">
        <v>72629</v>
      </c>
      <c r="L107" s="1">
        <v>54169</v>
      </c>
      <c r="M107" s="18">
        <v>0.19</v>
      </c>
      <c r="N107" s="18">
        <v>0.37</v>
      </c>
      <c r="O107" s="18">
        <v>0.63</v>
      </c>
      <c r="P107" s="18">
        <v>0.48</v>
      </c>
      <c r="Q107" s="18">
        <v>0.55000000000000004</v>
      </c>
      <c r="R107" s="17">
        <v>0</v>
      </c>
      <c r="S107" s="17">
        <v>0</v>
      </c>
      <c r="T107" s="17">
        <v>0</v>
      </c>
      <c r="U107" s="1" t="str">
        <f t="shared" si="5"/>
        <v>Normal</v>
      </c>
      <c r="V107" s="1" t="str">
        <f t="shared" si="6"/>
        <v>Normal</v>
      </c>
      <c r="W107" s="19">
        <f t="shared" si="7"/>
        <v>-4.4906900328587074E-2</v>
      </c>
      <c r="X107" s="19">
        <f t="shared" si="8"/>
        <v>-2.6501766784452298E-2</v>
      </c>
    </row>
    <row r="108" spans="1:24">
      <c r="A108" s="21">
        <v>44758</v>
      </c>
      <c r="B108" s="17">
        <f>IF(YEAR(Table9[[#This Row],[Date]]) = 2022, WEEKNUM(Table9[[#This Row],[Date]])-13, WEEKNUM(Table9[[#This Row],[Date]])+40)</f>
        <v>16</v>
      </c>
      <c r="C108" s="35" t="s">
        <v>53</v>
      </c>
      <c r="D108" s="35" t="s">
        <v>59</v>
      </c>
      <c r="E108" s="1">
        <v>536</v>
      </c>
      <c r="F108" s="1">
        <v>399</v>
      </c>
      <c r="G108" s="67">
        <v>6.7729083665338641E-2</v>
      </c>
      <c r="H108" s="67">
        <v>0.10526315789473684</v>
      </c>
      <c r="I108" s="1">
        <v>12677</v>
      </c>
      <c r="J108" s="1">
        <v>8053</v>
      </c>
      <c r="K108" s="1">
        <v>73165</v>
      </c>
      <c r="L108" s="1">
        <v>54568</v>
      </c>
      <c r="M108" s="18">
        <v>0.49</v>
      </c>
      <c r="N108" s="18">
        <v>0.26</v>
      </c>
      <c r="O108" s="18">
        <v>0.74</v>
      </c>
      <c r="P108" s="18">
        <v>0.42</v>
      </c>
      <c r="Q108" s="18">
        <v>0.61</v>
      </c>
      <c r="R108" s="17">
        <v>0</v>
      </c>
      <c r="S108" s="17">
        <v>0</v>
      </c>
      <c r="T108" s="17">
        <v>0</v>
      </c>
      <c r="U108" s="1" t="str">
        <f t="shared" si="5"/>
        <v>Normal</v>
      </c>
      <c r="V108" s="1" t="str">
        <f t="shared" si="6"/>
        <v>Normal</v>
      </c>
      <c r="W108" s="19">
        <f t="shared" si="7"/>
        <v>6.7729083665338641E-2</v>
      </c>
      <c r="X108" s="19">
        <f t="shared" si="8"/>
        <v>0.10526315789473684</v>
      </c>
    </row>
    <row r="109" spans="1:24">
      <c r="A109" s="21">
        <v>44759</v>
      </c>
      <c r="B109" s="17">
        <f>IF(YEAR(Table9[[#This Row],[Date]]) = 2022, WEEKNUM(Table9[[#This Row],[Date]])-13, WEEKNUM(Table9[[#This Row],[Date]])+40)</f>
        <v>17</v>
      </c>
      <c r="C109" s="35" t="s">
        <v>47</v>
      </c>
      <c r="D109" s="35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69">
        <v>0</v>
      </c>
      <c r="Q109" s="1">
        <v>0</v>
      </c>
      <c r="R109" s="17">
        <v>0</v>
      </c>
      <c r="S109" s="17">
        <v>0</v>
      </c>
      <c r="T109" s="17">
        <v>0</v>
      </c>
      <c r="U109" s="1" t="str">
        <f t="shared" si="5"/>
        <v>Normal</v>
      </c>
      <c r="V109" s="1" t="str">
        <f t="shared" si="6"/>
        <v>Normal</v>
      </c>
      <c r="W109" s="19">
        <f t="shared" si="7"/>
        <v>0</v>
      </c>
      <c r="X109" s="19">
        <f t="shared" si="8"/>
        <v>0</v>
      </c>
    </row>
    <row r="110" spans="1:24">
      <c r="A110" s="21">
        <v>44760</v>
      </c>
      <c r="B110" s="17">
        <f>IF(YEAR(Table9[[#This Row],[Date]]) = 2022, WEEKNUM(Table9[[#This Row],[Date]])-13, WEEKNUM(Table9[[#This Row],[Date]])+40)</f>
        <v>17</v>
      </c>
      <c r="C110" s="35" t="s">
        <v>48</v>
      </c>
      <c r="D110" s="35" t="s">
        <v>59</v>
      </c>
      <c r="E110" s="1">
        <v>1154</v>
      </c>
      <c r="F110" s="1">
        <v>754</v>
      </c>
      <c r="G110" s="67">
        <v>1.3169446883230905E-2</v>
      </c>
      <c r="H110" s="67">
        <v>0.42533081285444235</v>
      </c>
      <c r="I110" s="1">
        <v>13831</v>
      </c>
      <c r="J110" s="1">
        <v>8807</v>
      </c>
      <c r="K110" s="1">
        <v>74319</v>
      </c>
      <c r="L110" s="1">
        <v>55322</v>
      </c>
      <c r="M110" s="18">
        <v>0.14000000000000001</v>
      </c>
      <c r="N110" s="18">
        <v>0.35</v>
      </c>
      <c r="O110" s="18">
        <v>0.65</v>
      </c>
      <c r="P110" s="18">
        <v>0.77</v>
      </c>
      <c r="Q110" s="18">
        <v>0.72</v>
      </c>
      <c r="R110" s="17">
        <v>0</v>
      </c>
      <c r="S110" s="17">
        <v>0</v>
      </c>
      <c r="T110" s="17">
        <v>0</v>
      </c>
      <c r="U110" s="1" t="str">
        <f t="shared" si="5"/>
        <v>Normal</v>
      </c>
      <c r="V110" s="1" t="str">
        <f t="shared" si="6"/>
        <v>Outlier</v>
      </c>
      <c r="W110" s="19">
        <f t="shared" si="7"/>
        <v>1.3169446883230905E-2</v>
      </c>
      <c r="X110" s="19">
        <f t="shared" si="8"/>
        <v>0.42533081285444235</v>
      </c>
    </row>
    <row r="111" spans="1:24">
      <c r="A111" s="21">
        <v>44761</v>
      </c>
      <c r="B111" s="17">
        <f>IF(YEAR(Table9[[#This Row],[Date]]) = 2022, WEEKNUM(Table9[[#This Row],[Date]])-13, WEEKNUM(Table9[[#This Row],[Date]])+40)</f>
        <v>17</v>
      </c>
      <c r="C111" s="35" t="s">
        <v>49</v>
      </c>
      <c r="D111" s="35" t="s">
        <v>59</v>
      </c>
      <c r="E111" s="1">
        <v>936</v>
      </c>
      <c r="F111" s="1">
        <v>831</v>
      </c>
      <c r="G111" s="67">
        <v>-0.1702127659574468</v>
      </c>
      <c r="H111" s="67">
        <v>2.3399014778325122E-2</v>
      </c>
      <c r="I111" s="1">
        <v>14767</v>
      </c>
      <c r="J111" s="1">
        <v>9638</v>
      </c>
      <c r="K111" s="1">
        <v>75255</v>
      </c>
      <c r="L111" s="1">
        <v>56153</v>
      </c>
      <c r="M111" s="18">
        <v>0.63</v>
      </c>
      <c r="N111" s="18">
        <v>0.11</v>
      </c>
      <c r="O111" s="18">
        <v>0.89</v>
      </c>
      <c r="P111" s="18">
        <v>0.59</v>
      </c>
      <c r="Q111" s="18">
        <v>0.71</v>
      </c>
      <c r="R111" s="17">
        <v>0</v>
      </c>
      <c r="S111" s="17">
        <v>0</v>
      </c>
      <c r="T111" s="17">
        <v>0</v>
      </c>
      <c r="U111" s="1" t="str">
        <f t="shared" si="5"/>
        <v>Normal</v>
      </c>
      <c r="V111" s="1" t="str">
        <f t="shared" si="6"/>
        <v>Normal</v>
      </c>
      <c r="W111" s="19">
        <f t="shared" si="7"/>
        <v>-0.1702127659574468</v>
      </c>
      <c r="X111" s="19">
        <f t="shared" si="8"/>
        <v>2.3399014778325122E-2</v>
      </c>
    </row>
    <row r="112" spans="1:24">
      <c r="A112" s="21">
        <v>44762</v>
      </c>
      <c r="B112" s="17">
        <f>IF(YEAR(Table9[[#This Row],[Date]]) = 2022, WEEKNUM(Table9[[#This Row],[Date]])-13, WEEKNUM(Table9[[#This Row],[Date]])+40)</f>
        <v>17</v>
      </c>
      <c r="C112" s="35" t="s">
        <v>50</v>
      </c>
      <c r="D112" s="35" t="s">
        <v>59</v>
      </c>
      <c r="E112" s="1">
        <v>1018</v>
      </c>
      <c r="F112" s="1">
        <v>678</v>
      </c>
      <c r="G112" s="67">
        <v>-2.4904214559386972E-2</v>
      </c>
      <c r="H112" s="67">
        <v>-9.9601593625498003E-2</v>
      </c>
      <c r="I112" s="1">
        <v>15785</v>
      </c>
      <c r="J112" s="1">
        <v>10316</v>
      </c>
      <c r="K112" s="1">
        <v>76273</v>
      </c>
      <c r="L112" s="1">
        <v>56831</v>
      </c>
      <c r="M112" s="18">
        <v>0.31</v>
      </c>
      <c r="N112" s="18">
        <v>0.33</v>
      </c>
      <c r="O112" s="18">
        <v>0.67</v>
      </c>
      <c r="P112" s="18">
        <v>0.51</v>
      </c>
      <c r="Q112" s="18">
        <v>0.75</v>
      </c>
      <c r="R112" s="17">
        <v>0</v>
      </c>
      <c r="S112" s="17">
        <v>0</v>
      </c>
      <c r="T112" s="17">
        <v>0</v>
      </c>
      <c r="U112" s="1" t="str">
        <f t="shared" si="5"/>
        <v>Normal</v>
      </c>
      <c r="V112" s="1" t="str">
        <f t="shared" si="6"/>
        <v>Normal</v>
      </c>
      <c r="W112" s="19">
        <f t="shared" si="7"/>
        <v>-2.4904214559386972E-2</v>
      </c>
      <c r="X112" s="19">
        <f t="shared" si="8"/>
        <v>-9.9601593625498003E-2</v>
      </c>
    </row>
    <row r="113" spans="1:39">
      <c r="A113" s="21">
        <v>44763</v>
      </c>
      <c r="B113" s="17">
        <f>IF(YEAR(Table9[[#This Row],[Date]]) = 2022, WEEKNUM(Table9[[#This Row],[Date]])-13, WEEKNUM(Table9[[#This Row],[Date]])+40)</f>
        <v>17</v>
      </c>
      <c r="C113" s="35" t="s">
        <v>51</v>
      </c>
      <c r="D113" s="35" t="s">
        <v>59</v>
      </c>
      <c r="E113" s="1">
        <v>1019</v>
      </c>
      <c r="F113" s="1">
        <v>580</v>
      </c>
      <c r="G113" s="67">
        <v>4.6201232032854207E-2</v>
      </c>
      <c r="H113" s="67">
        <v>-3.0100334448160536E-2</v>
      </c>
      <c r="I113" s="1">
        <v>16804</v>
      </c>
      <c r="J113" s="1">
        <v>10896</v>
      </c>
      <c r="K113" s="1">
        <v>77292</v>
      </c>
      <c r="L113" s="1">
        <v>57411</v>
      </c>
      <c r="M113" s="18">
        <v>0.23</v>
      </c>
      <c r="N113" s="18">
        <v>0.43</v>
      </c>
      <c r="O113" s="18">
        <v>0.56999999999999995</v>
      </c>
      <c r="P113" s="18">
        <v>0.64</v>
      </c>
      <c r="Q113" s="18">
        <v>0.68</v>
      </c>
      <c r="R113" s="17">
        <v>0</v>
      </c>
      <c r="S113" s="17">
        <v>0</v>
      </c>
      <c r="T113" s="17">
        <v>0</v>
      </c>
      <c r="U113" s="1" t="str">
        <f t="shared" si="5"/>
        <v>Normal</v>
      </c>
      <c r="V113" s="1" t="str">
        <f t="shared" si="6"/>
        <v>Normal</v>
      </c>
      <c r="W113" s="19">
        <f t="shared" si="7"/>
        <v>4.6201232032854207E-2</v>
      </c>
      <c r="X113" s="19">
        <f t="shared" si="8"/>
        <v>-3.0100334448160536E-2</v>
      </c>
    </row>
    <row r="114" spans="1:39">
      <c r="A114" s="21">
        <v>44764</v>
      </c>
      <c r="B114" s="17">
        <f>IF(YEAR(Table9[[#This Row],[Date]]) = 2022, WEEKNUM(Table9[[#This Row],[Date]])-13, WEEKNUM(Table9[[#This Row],[Date]])+40)</f>
        <v>17</v>
      </c>
      <c r="C114" s="35" t="s">
        <v>52</v>
      </c>
      <c r="D114" s="35" t="s">
        <v>59</v>
      </c>
      <c r="E114" s="1">
        <v>952</v>
      </c>
      <c r="F114" s="1">
        <v>536</v>
      </c>
      <c r="G114" s="67">
        <v>9.1743119266055051E-2</v>
      </c>
      <c r="H114" s="67">
        <v>-2.7223230490018149E-2</v>
      </c>
      <c r="I114" s="1">
        <v>17756</v>
      </c>
      <c r="J114" s="1">
        <v>11432</v>
      </c>
      <c r="K114" s="1">
        <v>78244</v>
      </c>
      <c r="L114" s="1">
        <v>57947</v>
      </c>
      <c r="M114" s="18">
        <v>0.18</v>
      </c>
      <c r="N114" s="18">
        <v>0.44</v>
      </c>
      <c r="O114" s="18">
        <v>0.56000000000000005</v>
      </c>
      <c r="P114" s="18">
        <v>0.51</v>
      </c>
      <c r="Q114" s="18">
        <v>0.62</v>
      </c>
      <c r="R114" s="17">
        <v>0</v>
      </c>
      <c r="S114" s="17">
        <v>0</v>
      </c>
      <c r="T114" s="17">
        <v>0</v>
      </c>
      <c r="U114" s="1" t="str">
        <f t="shared" si="5"/>
        <v>Normal</v>
      </c>
      <c r="V114" s="1" t="str">
        <f t="shared" si="6"/>
        <v>Normal</v>
      </c>
      <c r="W114" s="19">
        <f t="shared" si="7"/>
        <v>9.1743119266055051E-2</v>
      </c>
      <c r="X114" s="19">
        <f t="shared" si="8"/>
        <v>-2.7223230490018149E-2</v>
      </c>
    </row>
    <row r="115" spans="1:39">
      <c r="A115" s="21">
        <v>44765</v>
      </c>
      <c r="B115" s="17">
        <f>IF(YEAR(Table9[[#This Row],[Date]]) = 2022, WEEKNUM(Table9[[#This Row],[Date]])-13, WEEKNUM(Table9[[#This Row],[Date]])+40)</f>
        <v>17</v>
      </c>
      <c r="C115" s="35" t="s">
        <v>53</v>
      </c>
      <c r="D115" s="35" t="s">
        <v>59</v>
      </c>
      <c r="E115" s="1">
        <v>529</v>
      </c>
      <c r="F115" s="1">
        <v>478</v>
      </c>
      <c r="G115" s="67">
        <v>-1.3059701492537313E-2</v>
      </c>
      <c r="H115" s="67">
        <v>0.19799498746867167</v>
      </c>
      <c r="I115" s="1">
        <v>18285</v>
      </c>
      <c r="J115" s="1">
        <v>11910</v>
      </c>
      <c r="K115" s="1">
        <v>78773</v>
      </c>
      <c r="L115" s="1">
        <v>58425</v>
      </c>
      <c r="M115" s="18">
        <v>0.66</v>
      </c>
      <c r="N115" s="18">
        <v>0.1</v>
      </c>
      <c r="O115" s="18">
        <v>0.9</v>
      </c>
      <c r="P115" s="18">
        <v>0.59</v>
      </c>
      <c r="Q115" s="18">
        <v>0.75</v>
      </c>
      <c r="R115" s="17">
        <v>0</v>
      </c>
      <c r="S115" s="17">
        <v>0</v>
      </c>
      <c r="T115" s="17">
        <v>0</v>
      </c>
      <c r="U115" s="1" t="str">
        <f t="shared" si="5"/>
        <v>Normal</v>
      </c>
      <c r="V115" s="1" t="str">
        <f t="shared" si="6"/>
        <v>Normal</v>
      </c>
      <c r="W115" s="19">
        <f t="shared" si="7"/>
        <v>-1.3059701492537313E-2</v>
      </c>
      <c r="X115" s="19">
        <f t="shared" si="8"/>
        <v>0.19799498746867167</v>
      </c>
    </row>
    <row r="116" spans="1:39">
      <c r="A116" s="21">
        <v>44766</v>
      </c>
      <c r="B116" s="17">
        <f>IF(YEAR(Table9[[#This Row],[Date]]) = 2022, WEEKNUM(Table9[[#This Row],[Date]])-13, WEEKNUM(Table9[[#This Row],[Date]])+40)</f>
        <v>18</v>
      </c>
      <c r="C116" s="35" t="s">
        <v>47</v>
      </c>
      <c r="D116" s="35" t="s">
        <v>59</v>
      </c>
      <c r="E116" s="1">
        <v>0</v>
      </c>
      <c r="F116" s="1">
        <v>0</v>
      </c>
      <c r="G116" s="67">
        <v>0</v>
      </c>
      <c r="H116" s="67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7">
        <v>0</v>
      </c>
      <c r="S116" s="17">
        <v>0</v>
      </c>
      <c r="T116" s="17">
        <v>0</v>
      </c>
      <c r="U116" s="1" t="str">
        <f t="shared" si="5"/>
        <v>Normal</v>
      </c>
      <c r="V116" s="1" t="str">
        <f t="shared" si="6"/>
        <v>Normal</v>
      </c>
      <c r="W116" s="19">
        <f t="shared" si="7"/>
        <v>0</v>
      </c>
      <c r="X116" s="19">
        <f t="shared" si="8"/>
        <v>0</v>
      </c>
    </row>
    <row r="117" spans="1:39">
      <c r="A117" s="21">
        <v>44767</v>
      </c>
      <c r="B117" s="17">
        <f>IF(YEAR(Table9[[#This Row],[Date]]) = 2022, WEEKNUM(Table9[[#This Row],[Date]])-13, WEEKNUM(Table9[[#This Row],[Date]])+40)</f>
        <v>18</v>
      </c>
      <c r="C117" s="35" t="s">
        <v>48</v>
      </c>
      <c r="D117" s="35" t="s">
        <v>59</v>
      </c>
      <c r="E117" s="1">
        <v>1202</v>
      </c>
      <c r="F117" s="1">
        <v>599</v>
      </c>
      <c r="G117" s="67">
        <v>4.1594454072790298E-2</v>
      </c>
      <c r="H117" s="67">
        <v>-0.20557029177718833</v>
      </c>
      <c r="I117" s="1">
        <v>19487</v>
      </c>
      <c r="J117" s="1">
        <v>12509</v>
      </c>
      <c r="K117" s="1">
        <v>79975</v>
      </c>
      <c r="L117" s="1">
        <v>59024</v>
      </c>
      <c r="M117" s="18">
        <v>0.23</v>
      </c>
      <c r="N117" s="69">
        <v>0.5</v>
      </c>
      <c r="O117" s="18">
        <v>0.5</v>
      </c>
      <c r="P117" s="18">
        <v>0.69</v>
      </c>
      <c r="Q117" s="18">
        <v>0.71</v>
      </c>
      <c r="R117" s="17">
        <v>0</v>
      </c>
      <c r="S117" s="17">
        <v>0</v>
      </c>
      <c r="T117" s="17">
        <v>0</v>
      </c>
      <c r="U117" s="1" t="str">
        <f t="shared" si="5"/>
        <v>Normal</v>
      </c>
      <c r="V117" s="1" t="str">
        <f t="shared" si="6"/>
        <v>Normal</v>
      </c>
      <c r="W117" s="19">
        <f t="shared" si="7"/>
        <v>4.1594454072790298E-2</v>
      </c>
      <c r="X117" s="19">
        <f t="shared" si="8"/>
        <v>-0.20557029177718833</v>
      </c>
    </row>
    <row r="118" spans="1:39">
      <c r="A118" s="21">
        <v>44768</v>
      </c>
      <c r="B118" s="17">
        <f>IF(YEAR(Table9[[#This Row],[Date]]) = 2022, WEEKNUM(Table9[[#This Row],[Date]])-13, WEEKNUM(Table9[[#This Row],[Date]])+40)</f>
        <v>18</v>
      </c>
      <c r="C118" s="35" t="s">
        <v>49</v>
      </c>
      <c r="D118" s="35" t="s">
        <v>59</v>
      </c>
      <c r="E118" s="1">
        <v>943</v>
      </c>
      <c r="F118" s="1">
        <v>598</v>
      </c>
      <c r="G118" s="67">
        <v>7.478632478632479E-3</v>
      </c>
      <c r="H118" s="67">
        <v>-0.28038507821901326</v>
      </c>
      <c r="I118" s="1">
        <v>20430</v>
      </c>
      <c r="J118" s="1">
        <v>13107</v>
      </c>
      <c r="K118" s="1">
        <v>80918</v>
      </c>
      <c r="L118" s="1">
        <v>59622</v>
      </c>
      <c r="M118" s="18">
        <v>0.25</v>
      </c>
      <c r="N118" s="18">
        <v>0.37</v>
      </c>
      <c r="O118" s="18">
        <v>0.63</v>
      </c>
      <c r="P118" s="18">
        <v>0.66</v>
      </c>
      <c r="Q118" s="18">
        <v>0.65</v>
      </c>
      <c r="R118" s="17">
        <v>0</v>
      </c>
      <c r="S118" s="17">
        <v>0</v>
      </c>
      <c r="T118" s="17">
        <v>0</v>
      </c>
      <c r="U118" s="1" t="str">
        <f t="shared" si="5"/>
        <v>Normal</v>
      </c>
      <c r="V118" s="1" t="str">
        <f t="shared" si="6"/>
        <v>Normal</v>
      </c>
      <c r="W118" s="19">
        <f t="shared" si="7"/>
        <v>7.478632478632479E-3</v>
      </c>
      <c r="X118" s="19">
        <f t="shared" si="8"/>
        <v>-0.28038507821901326</v>
      </c>
    </row>
    <row r="119" spans="1:39">
      <c r="A119" s="21">
        <v>44769</v>
      </c>
      <c r="B119" s="17">
        <f>IF(YEAR(Table9[[#This Row],[Date]]) = 2022, WEEKNUM(Table9[[#This Row],[Date]])-13, WEEKNUM(Table9[[#This Row],[Date]])+40)</f>
        <v>18</v>
      </c>
      <c r="C119" s="35" t="s">
        <v>50</v>
      </c>
      <c r="D119" s="35" t="s">
        <v>59</v>
      </c>
      <c r="E119" s="1">
        <v>966</v>
      </c>
      <c r="F119" s="1">
        <v>660</v>
      </c>
      <c r="G119" s="67">
        <v>-5.1080550098231828E-2</v>
      </c>
      <c r="H119" s="67">
        <v>-2.6548672566371681E-2</v>
      </c>
      <c r="I119" s="1">
        <v>21396</v>
      </c>
      <c r="J119" s="1">
        <v>13767</v>
      </c>
      <c r="K119" s="1">
        <v>81884</v>
      </c>
      <c r="L119" s="1">
        <v>60282</v>
      </c>
      <c r="M119" s="18">
        <v>0.24</v>
      </c>
      <c r="N119" s="18">
        <v>0.32</v>
      </c>
      <c r="O119" s="18">
        <v>0.68</v>
      </c>
      <c r="P119" s="18">
        <v>0.72</v>
      </c>
      <c r="Q119" s="18">
        <v>0.66</v>
      </c>
      <c r="R119" s="17">
        <v>0</v>
      </c>
      <c r="S119" s="17">
        <v>0</v>
      </c>
      <c r="T119" s="17">
        <v>0</v>
      </c>
      <c r="U119" s="1" t="str">
        <f t="shared" si="5"/>
        <v>Normal</v>
      </c>
      <c r="V119" s="1" t="str">
        <f t="shared" si="6"/>
        <v>Normal</v>
      </c>
      <c r="W119" s="19">
        <f t="shared" si="7"/>
        <v>-5.1080550098231828E-2</v>
      </c>
      <c r="X119" s="19">
        <f t="shared" si="8"/>
        <v>-2.6548672566371681E-2</v>
      </c>
    </row>
    <row r="120" spans="1:39">
      <c r="A120" s="21">
        <v>44770</v>
      </c>
      <c r="B120" s="17">
        <f>IF(YEAR(Table9[[#This Row],[Date]]) = 2022, WEEKNUM(Table9[[#This Row],[Date]])-13, WEEKNUM(Table9[[#This Row],[Date]])+40)</f>
        <v>18</v>
      </c>
      <c r="C120" s="35" t="s">
        <v>51</v>
      </c>
      <c r="D120" s="35" t="s">
        <v>59</v>
      </c>
      <c r="E120" s="1">
        <v>854</v>
      </c>
      <c r="F120" s="1">
        <v>563</v>
      </c>
      <c r="G120" s="67">
        <v>-0.16192345436702649</v>
      </c>
      <c r="H120" s="67">
        <v>-2.9310344827586206E-2</v>
      </c>
      <c r="I120" s="1">
        <v>22250</v>
      </c>
      <c r="J120" s="1">
        <v>14330</v>
      </c>
      <c r="K120" s="1">
        <v>82738</v>
      </c>
      <c r="L120" s="1">
        <v>60845</v>
      </c>
      <c r="M120" s="18">
        <v>0.24</v>
      </c>
      <c r="N120" s="18">
        <v>0.34</v>
      </c>
      <c r="O120" s="18">
        <v>0.66</v>
      </c>
      <c r="P120" s="18">
        <v>0.67</v>
      </c>
      <c r="Q120" s="18">
        <v>0.71</v>
      </c>
      <c r="R120" s="17">
        <v>0</v>
      </c>
      <c r="S120" s="17">
        <v>0</v>
      </c>
      <c r="T120" s="17">
        <v>0</v>
      </c>
      <c r="U120" s="1" t="str">
        <f t="shared" si="5"/>
        <v>Normal</v>
      </c>
      <c r="V120" s="1" t="str">
        <f t="shared" si="6"/>
        <v>Normal</v>
      </c>
      <c r="W120" s="19">
        <f t="shared" si="7"/>
        <v>-0.16192345436702649</v>
      </c>
      <c r="X120" s="19">
        <f t="shared" si="8"/>
        <v>-2.9310344827586206E-2</v>
      </c>
      <c r="AK120" t="s">
        <v>61</v>
      </c>
      <c r="AL120" s="16">
        <v>44986</v>
      </c>
    </row>
    <row r="121" spans="1:39">
      <c r="A121" s="21">
        <v>44771</v>
      </c>
      <c r="B121" s="17">
        <f>IF(YEAR(Table9[[#This Row],[Date]]) = 2022, WEEKNUM(Table9[[#This Row],[Date]])-13, WEEKNUM(Table9[[#This Row],[Date]])+40)</f>
        <v>18</v>
      </c>
      <c r="C121" s="35" t="s">
        <v>52</v>
      </c>
      <c r="D121" s="35" t="s">
        <v>59</v>
      </c>
      <c r="E121" s="1">
        <v>964</v>
      </c>
      <c r="F121" s="1">
        <v>525</v>
      </c>
      <c r="G121" s="67">
        <v>1.2605042016806723E-2</v>
      </c>
      <c r="H121" s="67">
        <v>-2.0522388059701493E-2</v>
      </c>
      <c r="I121" s="1">
        <v>23214</v>
      </c>
      <c r="J121" s="1">
        <v>14855</v>
      </c>
      <c r="K121" s="1">
        <v>83702</v>
      </c>
      <c r="L121" s="1">
        <v>61370</v>
      </c>
      <c r="M121" s="18">
        <v>0.18</v>
      </c>
      <c r="N121" s="18">
        <v>0.46</v>
      </c>
      <c r="O121" s="18">
        <v>0.54</v>
      </c>
      <c r="P121" s="18">
        <v>0.59</v>
      </c>
      <c r="Q121" s="18">
        <v>0.67</v>
      </c>
      <c r="R121" s="17">
        <v>0</v>
      </c>
      <c r="S121" s="17">
        <v>0</v>
      </c>
      <c r="T121" s="17">
        <v>0</v>
      </c>
      <c r="U121" s="1" t="str">
        <f t="shared" si="5"/>
        <v>Normal</v>
      </c>
      <c r="V121" s="1" t="str">
        <f t="shared" si="6"/>
        <v>Normal</v>
      </c>
      <c r="W121" s="19">
        <f t="shared" si="7"/>
        <v>1.2605042016806723E-2</v>
      </c>
      <c r="X121" s="19">
        <f t="shared" si="8"/>
        <v>-2.0522388059701493E-2</v>
      </c>
      <c r="AK121" t="s">
        <v>62</v>
      </c>
      <c r="AL121" s="16">
        <v>45016</v>
      </c>
    </row>
    <row r="122" spans="1:39">
      <c r="A122" s="21">
        <v>44772</v>
      </c>
      <c r="B122" s="17">
        <f>IF(YEAR(Table9[[#This Row],[Date]]) = 2022, WEEKNUM(Table9[[#This Row],[Date]])-13, WEEKNUM(Table9[[#This Row],[Date]])+40)</f>
        <v>18</v>
      </c>
      <c r="C122" s="35" t="s">
        <v>53</v>
      </c>
      <c r="D122" s="35" t="s">
        <v>59</v>
      </c>
      <c r="E122" s="1">
        <v>531</v>
      </c>
      <c r="F122" s="1">
        <v>298</v>
      </c>
      <c r="G122" s="67">
        <v>3.780718336483932E-3</v>
      </c>
      <c r="H122" s="67">
        <v>-0.37656903765690375</v>
      </c>
      <c r="I122" s="1">
        <v>23745</v>
      </c>
      <c r="J122" s="1">
        <v>15153</v>
      </c>
      <c r="K122" s="1">
        <v>84233</v>
      </c>
      <c r="L122" s="1">
        <v>61668</v>
      </c>
      <c r="M122" s="18">
        <v>0.28999999999999998</v>
      </c>
      <c r="N122" s="18">
        <v>0.44</v>
      </c>
      <c r="O122" s="18">
        <v>0.56000000000000005</v>
      </c>
      <c r="P122" s="18">
        <v>0.65</v>
      </c>
      <c r="Q122" s="18">
        <v>0.68</v>
      </c>
      <c r="R122" s="17">
        <v>0</v>
      </c>
      <c r="S122" s="17">
        <v>0</v>
      </c>
      <c r="T122" s="17">
        <v>0</v>
      </c>
      <c r="U122" s="1" t="str">
        <f t="shared" si="5"/>
        <v>Normal</v>
      </c>
      <c r="V122" s="1" t="str">
        <f t="shared" si="6"/>
        <v>Outlier</v>
      </c>
      <c r="W122" s="19">
        <f t="shared" si="7"/>
        <v>3.780718336483932E-3</v>
      </c>
      <c r="X122" s="19">
        <f t="shared" si="8"/>
        <v>-0.37656903765690375</v>
      </c>
    </row>
    <row r="123" spans="1:39">
      <c r="A123" s="21">
        <v>44773</v>
      </c>
      <c r="B123" s="17">
        <f>IF(YEAR(Table9[[#This Row],[Date]]) = 2022, WEEKNUM(Table9[[#This Row],[Date]])-13, WEEKNUM(Table9[[#This Row],[Date]])+40)</f>
        <v>19</v>
      </c>
      <c r="C123" s="35" t="s">
        <v>47</v>
      </c>
      <c r="D123" s="35" t="s">
        <v>59</v>
      </c>
      <c r="E123" s="1">
        <v>0</v>
      </c>
      <c r="F123" s="1">
        <v>0</v>
      </c>
      <c r="G123" s="67">
        <v>0</v>
      </c>
      <c r="H123" s="67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7">
        <v>0</v>
      </c>
      <c r="S123" s="17">
        <v>0</v>
      </c>
      <c r="T123" s="17">
        <v>0</v>
      </c>
      <c r="U123" s="1" t="str">
        <f t="shared" si="5"/>
        <v>Normal</v>
      </c>
      <c r="V123" s="1" t="str">
        <f t="shared" si="6"/>
        <v>Normal</v>
      </c>
      <c r="W123" s="19">
        <f t="shared" si="7"/>
        <v>0</v>
      </c>
      <c r="X123" s="19">
        <f t="shared" si="8"/>
        <v>0</v>
      </c>
    </row>
    <row r="124" spans="1:39">
      <c r="A124" s="54">
        <v>44774</v>
      </c>
      <c r="B124" s="131">
        <f>IF(YEAR(Table9[[#This Row],[Date]]) = 2022, WEEKNUM(Table9[[#This Row],[Date]])-13, WEEKNUM(Table9[[#This Row],[Date]])+40)</f>
        <v>19</v>
      </c>
      <c r="C124" s="103" t="s">
        <v>48</v>
      </c>
      <c r="D124" s="51" t="s">
        <v>59</v>
      </c>
      <c r="E124" s="52">
        <v>0</v>
      </c>
      <c r="F124" s="52">
        <v>0</v>
      </c>
      <c r="G124" s="81">
        <v>0</v>
      </c>
      <c r="H124" s="81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53">
        <v>0</v>
      </c>
      <c r="R124" s="131">
        <v>0</v>
      </c>
      <c r="S124" s="131">
        <v>0</v>
      </c>
      <c r="T124" s="17">
        <v>0</v>
      </c>
      <c r="U124" s="1" t="str">
        <f t="shared" si="5"/>
        <v>Normal</v>
      </c>
      <c r="V124" s="1" t="str">
        <f t="shared" si="6"/>
        <v>Normal</v>
      </c>
      <c r="W124" s="19">
        <f t="shared" si="7"/>
        <v>0</v>
      </c>
      <c r="X124" s="19">
        <f t="shared" si="8"/>
        <v>0</v>
      </c>
    </row>
    <row r="125" spans="1:39">
      <c r="A125" s="21">
        <v>44775</v>
      </c>
      <c r="B125" s="17">
        <f>IF(YEAR(Table9[[#This Row],[Date]]) = 2022, WEEKNUM(Table9[[#This Row],[Date]])-13, WEEKNUM(Table9[[#This Row],[Date]])+40)</f>
        <v>19</v>
      </c>
      <c r="C125" s="35" t="s">
        <v>49</v>
      </c>
      <c r="D125" s="35" t="s">
        <v>59</v>
      </c>
      <c r="E125" s="1">
        <v>1355</v>
      </c>
      <c r="F125" s="1">
        <v>443</v>
      </c>
      <c r="G125" s="67">
        <v>0.4369034994697773</v>
      </c>
      <c r="H125" s="67">
        <v>-0.25919732441471571</v>
      </c>
      <c r="I125" s="1">
        <v>1355</v>
      </c>
      <c r="J125" s="1">
        <v>443</v>
      </c>
      <c r="K125" s="1">
        <v>85588</v>
      </c>
      <c r="L125" s="1">
        <v>62111</v>
      </c>
      <c r="M125" s="18">
        <v>0.14000000000000001</v>
      </c>
      <c r="N125" s="18">
        <v>0.67</v>
      </c>
      <c r="O125" s="18">
        <v>0.33</v>
      </c>
      <c r="P125" s="18">
        <v>0.81</v>
      </c>
      <c r="Q125" s="18">
        <v>0.78</v>
      </c>
      <c r="R125" s="17">
        <v>0</v>
      </c>
      <c r="S125" s="17">
        <v>0</v>
      </c>
      <c r="T125" s="17">
        <v>0</v>
      </c>
      <c r="U125" s="1" t="str">
        <f t="shared" si="5"/>
        <v>Outlier</v>
      </c>
      <c r="V125" s="1" t="str">
        <f t="shared" si="6"/>
        <v>Normal</v>
      </c>
      <c r="W125" s="19">
        <f t="shared" si="7"/>
        <v>0.4369034994697773</v>
      </c>
      <c r="X125" s="19">
        <f t="shared" si="8"/>
        <v>-0.25919732441471571</v>
      </c>
    </row>
    <row r="126" spans="1:39">
      <c r="A126" s="21">
        <v>44776</v>
      </c>
      <c r="B126" s="17">
        <f>IF(YEAR(Table9[[#This Row],[Date]]) = 2022, WEEKNUM(Table9[[#This Row],[Date]])-13, WEEKNUM(Table9[[#This Row],[Date]])+40)</f>
        <v>19</v>
      </c>
      <c r="C126" s="35" t="s">
        <v>50</v>
      </c>
      <c r="D126" s="35" t="s">
        <v>59</v>
      </c>
      <c r="E126" s="1">
        <v>988</v>
      </c>
      <c r="F126" s="1">
        <v>455</v>
      </c>
      <c r="G126" s="67">
        <v>2.2774327122153208E-2</v>
      </c>
      <c r="H126" s="67">
        <v>-0.31060606060606061</v>
      </c>
      <c r="I126" s="1">
        <v>2343</v>
      </c>
      <c r="J126" s="1">
        <v>898</v>
      </c>
      <c r="K126" s="1">
        <v>86576</v>
      </c>
      <c r="L126" s="1">
        <v>62566</v>
      </c>
      <c r="M126" s="18">
        <v>0.14000000000000001</v>
      </c>
      <c r="N126" s="18">
        <v>0.54</v>
      </c>
      <c r="O126" s="18">
        <v>0.46</v>
      </c>
      <c r="P126" s="18">
        <v>0.56000000000000005</v>
      </c>
      <c r="Q126" s="18">
        <v>0.79</v>
      </c>
      <c r="R126" s="17">
        <v>0</v>
      </c>
      <c r="S126" s="17">
        <v>0</v>
      </c>
      <c r="T126" s="17">
        <v>0</v>
      </c>
      <c r="U126" s="1" t="str">
        <f t="shared" si="5"/>
        <v>Normal</v>
      </c>
      <c r="V126" s="1" t="str">
        <f t="shared" si="6"/>
        <v>Outlier</v>
      </c>
      <c r="W126" s="19">
        <f t="shared" si="7"/>
        <v>2.2774327122153208E-2</v>
      </c>
      <c r="X126" s="19">
        <f t="shared" si="8"/>
        <v>-0.31060606060606061</v>
      </c>
    </row>
    <row r="127" spans="1:39">
      <c r="A127" s="21">
        <v>44777</v>
      </c>
      <c r="B127" s="17">
        <f>IF(YEAR(Table9[[#This Row],[Date]]) = 2022, WEEKNUM(Table9[[#This Row],[Date]])-13, WEEKNUM(Table9[[#This Row],[Date]])+40)</f>
        <v>19</v>
      </c>
      <c r="C127" s="35" t="s">
        <v>51</v>
      </c>
      <c r="D127" s="35" t="s">
        <v>59</v>
      </c>
      <c r="E127" s="1">
        <v>1019</v>
      </c>
      <c r="F127" s="1">
        <v>567</v>
      </c>
      <c r="G127" s="67">
        <v>0.19320843091334894</v>
      </c>
      <c r="H127" s="67">
        <v>7.104795737122558E-3</v>
      </c>
      <c r="I127" s="1">
        <v>3362</v>
      </c>
      <c r="J127" s="1">
        <v>1465</v>
      </c>
      <c r="K127" s="1">
        <v>87595</v>
      </c>
      <c r="L127" s="1">
        <v>63133</v>
      </c>
      <c r="M127" s="18">
        <v>0.2</v>
      </c>
      <c r="N127" s="18">
        <v>0.44</v>
      </c>
      <c r="O127" s="18">
        <v>0.56000000000000005</v>
      </c>
      <c r="P127" s="18">
        <v>0.64</v>
      </c>
      <c r="Q127" s="18">
        <v>0.77</v>
      </c>
      <c r="R127" s="17">
        <v>0</v>
      </c>
      <c r="S127" s="17">
        <v>0</v>
      </c>
      <c r="T127" s="17">
        <v>0</v>
      </c>
      <c r="U127" s="1" t="str">
        <f t="shared" si="5"/>
        <v>Normal</v>
      </c>
      <c r="V127" s="1" t="str">
        <f t="shared" si="6"/>
        <v>Normal</v>
      </c>
      <c r="W127" s="19">
        <f t="shared" si="7"/>
        <v>0.19320843091334894</v>
      </c>
      <c r="X127" s="19">
        <f t="shared" si="8"/>
        <v>7.104795737122558E-3</v>
      </c>
    </row>
    <row r="128" spans="1:39">
      <c r="A128" s="21">
        <v>44778</v>
      </c>
      <c r="B128" s="17">
        <f>IF(YEAR(Table9[[#This Row],[Date]]) = 2022, WEEKNUM(Table9[[#This Row],[Date]])-13, WEEKNUM(Table9[[#This Row],[Date]])+40)</f>
        <v>19</v>
      </c>
      <c r="C128" s="35" t="s">
        <v>52</v>
      </c>
      <c r="D128" s="35" t="s">
        <v>59</v>
      </c>
      <c r="E128" s="1">
        <v>978</v>
      </c>
      <c r="F128" s="1">
        <v>573</v>
      </c>
      <c r="G128" s="67">
        <v>1.4522821576763486E-2</v>
      </c>
      <c r="H128" s="67">
        <v>9.1428571428571428E-2</v>
      </c>
      <c r="I128" s="1">
        <v>4340</v>
      </c>
      <c r="J128" s="1">
        <v>2038</v>
      </c>
      <c r="K128" s="1">
        <v>88573</v>
      </c>
      <c r="L128" s="1">
        <v>63706</v>
      </c>
      <c r="M128" s="18">
        <v>0.23</v>
      </c>
      <c r="N128" s="18">
        <v>0.41</v>
      </c>
      <c r="O128" s="18">
        <v>0.59</v>
      </c>
      <c r="P128" s="18">
        <v>0.79</v>
      </c>
      <c r="Q128" s="18">
        <v>0.75</v>
      </c>
      <c r="R128" s="17">
        <v>0</v>
      </c>
      <c r="S128" s="17">
        <v>0</v>
      </c>
      <c r="T128" s="17">
        <v>0</v>
      </c>
      <c r="U128" s="1" t="str">
        <f t="shared" si="5"/>
        <v>Normal</v>
      </c>
      <c r="V128" s="1" t="str">
        <f t="shared" si="6"/>
        <v>Normal</v>
      </c>
      <c r="W128" s="19">
        <f t="shared" si="7"/>
        <v>1.4522821576763486E-2</v>
      </c>
      <c r="X128" s="19">
        <f t="shared" si="8"/>
        <v>9.1428571428571428E-2</v>
      </c>
      <c r="AK128" s="50"/>
      <c r="AL128" s="50"/>
      <c r="AM128" s="50"/>
    </row>
    <row r="129" spans="1:39">
      <c r="A129" s="21">
        <v>44779</v>
      </c>
      <c r="B129" s="17">
        <f>IF(YEAR(Table9[[#This Row],[Date]]) = 2022, WEEKNUM(Table9[[#This Row],[Date]])-13, WEEKNUM(Table9[[#This Row],[Date]])+40)</f>
        <v>19</v>
      </c>
      <c r="C129" s="35" t="s">
        <v>53</v>
      </c>
      <c r="D129" s="35" t="s">
        <v>59</v>
      </c>
      <c r="E129" s="1">
        <v>573</v>
      </c>
      <c r="F129" s="1">
        <v>459</v>
      </c>
      <c r="G129" s="67">
        <v>7.909604519774012E-2</v>
      </c>
      <c r="H129" s="67">
        <v>0.54026845637583898</v>
      </c>
      <c r="I129" s="1">
        <v>4913</v>
      </c>
      <c r="J129" s="1">
        <v>2497</v>
      </c>
      <c r="K129" s="1">
        <v>89146</v>
      </c>
      <c r="L129" s="1">
        <v>64165</v>
      </c>
      <c r="M129" s="18">
        <v>0.48</v>
      </c>
      <c r="N129" s="18">
        <v>0.2</v>
      </c>
      <c r="O129" s="18">
        <v>0.8</v>
      </c>
      <c r="P129" s="18">
        <v>0.64</v>
      </c>
      <c r="Q129" s="18">
        <v>0.7</v>
      </c>
      <c r="R129" s="17">
        <v>0</v>
      </c>
      <c r="S129" s="17">
        <v>0</v>
      </c>
      <c r="T129" s="17">
        <v>0</v>
      </c>
      <c r="U129" s="1" t="str">
        <f t="shared" si="5"/>
        <v>Normal</v>
      </c>
      <c r="V129" s="1" t="str">
        <f t="shared" si="6"/>
        <v>Outlier</v>
      </c>
      <c r="W129" s="19">
        <f t="shared" si="7"/>
        <v>7.909604519774012E-2</v>
      </c>
      <c r="X129" s="19">
        <f t="shared" si="8"/>
        <v>0.54026845637583898</v>
      </c>
    </row>
    <row r="130" spans="1:39">
      <c r="A130" s="21">
        <v>44780</v>
      </c>
      <c r="B130" s="17">
        <f>IF(YEAR(Table9[[#This Row],[Date]]) = 2022, WEEKNUM(Table9[[#This Row],[Date]])-13, WEEKNUM(Table9[[#This Row],[Date]])+40)</f>
        <v>20</v>
      </c>
      <c r="C130" s="35" t="s">
        <v>47</v>
      </c>
      <c r="D130" s="35" t="s">
        <v>59</v>
      </c>
      <c r="E130" s="1">
        <v>0</v>
      </c>
      <c r="F130" s="1">
        <v>0</v>
      </c>
      <c r="G130" s="67">
        <v>0</v>
      </c>
      <c r="H130" s="67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7">
        <v>0</v>
      </c>
      <c r="S130" s="17">
        <v>0</v>
      </c>
      <c r="T130" s="17">
        <v>0</v>
      </c>
      <c r="U130" s="1" t="str">
        <f t="shared" si="5"/>
        <v>Normal</v>
      </c>
      <c r="V130" s="1" t="str">
        <f t="shared" si="6"/>
        <v>Normal</v>
      </c>
      <c r="W130" s="19">
        <f t="shared" si="7"/>
        <v>0</v>
      </c>
      <c r="X130" s="19">
        <f t="shared" si="8"/>
        <v>0</v>
      </c>
    </row>
    <row r="131" spans="1:39">
      <c r="A131" s="21">
        <v>44781</v>
      </c>
      <c r="B131" s="17">
        <f>IF(YEAR(Table9[[#This Row],[Date]]) = 2022, WEEKNUM(Table9[[#This Row],[Date]])-13, WEEKNUM(Table9[[#This Row],[Date]])+40)</f>
        <v>20</v>
      </c>
      <c r="C131" s="35" t="s">
        <v>48</v>
      </c>
      <c r="D131" s="35" t="s">
        <v>59</v>
      </c>
      <c r="E131" s="1">
        <v>1060</v>
      </c>
      <c r="F131" s="1">
        <v>574</v>
      </c>
      <c r="G131" s="67">
        <v>0</v>
      </c>
      <c r="H131" s="67">
        <v>0</v>
      </c>
      <c r="I131" s="1">
        <v>5973</v>
      </c>
      <c r="J131" s="1">
        <v>3071</v>
      </c>
      <c r="K131" s="1">
        <v>90206</v>
      </c>
      <c r="L131" s="1">
        <v>64739</v>
      </c>
      <c r="M131" s="18">
        <v>0.16</v>
      </c>
      <c r="N131" s="18">
        <v>0.46</v>
      </c>
      <c r="O131" s="18">
        <v>0.54</v>
      </c>
      <c r="P131" s="18">
        <v>0.85</v>
      </c>
      <c r="Q131" s="18">
        <v>0.71</v>
      </c>
      <c r="R131" s="17">
        <v>0</v>
      </c>
      <c r="S131" s="17">
        <v>0</v>
      </c>
      <c r="T131" s="17">
        <v>0</v>
      </c>
      <c r="U131" s="1" t="str">
        <f t="shared" ref="U131:U194" si="9">IF(OR(G131&lt;$AA$5,G131&gt;$AB$5), "Outlier", "Normal")</f>
        <v>Normal</v>
      </c>
      <c r="V131" s="1" t="str">
        <f t="shared" ref="V131:V194" si="10">IF(OR(H131&lt;$AA$6,H131&gt;$AB$6), "Outlier", "Normal")</f>
        <v>Normal</v>
      </c>
      <c r="W131" s="19">
        <f t="shared" ref="W131:W194" si="11">IF(U131="Normal",$G131,IF($G131&lt;150%, $G131, $AA$9))</f>
        <v>0</v>
      </c>
      <c r="X131" s="19">
        <f t="shared" ref="X131:X194" si="12">IF(V131="Normal",$H131,IF($H131&lt;150%, $H131, $AE$9))</f>
        <v>0</v>
      </c>
    </row>
    <row r="132" spans="1:39">
      <c r="A132" s="21">
        <v>44782</v>
      </c>
      <c r="B132" s="17">
        <f>IF(YEAR(Table9[[#This Row],[Date]]) = 2022, WEEKNUM(Table9[[#This Row],[Date]])-13, WEEKNUM(Table9[[#This Row],[Date]])+40)</f>
        <v>20</v>
      </c>
      <c r="C132" s="34" t="s">
        <v>49</v>
      </c>
      <c r="D132" s="35" t="s">
        <v>59</v>
      </c>
      <c r="E132" s="1">
        <v>887</v>
      </c>
      <c r="F132" s="1">
        <v>634</v>
      </c>
      <c r="G132" s="67">
        <v>-0.34538745387453873</v>
      </c>
      <c r="H132" s="67">
        <v>0.43115124153498874</v>
      </c>
      <c r="I132" s="1">
        <v>6860</v>
      </c>
      <c r="J132" s="1">
        <v>3705</v>
      </c>
      <c r="K132" s="1">
        <v>91093</v>
      </c>
      <c r="L132" s="1">
        <v>65373</v>
      </c>
      <c r="M132" s="18">
        <v>0.28000000000000003</v>
      </c>
      <c r="N132" s="18">
        <v>0.28999999999999998</v>
      </c>
      <c r="O132" s="18">
        <v>0.71</v>
      </c>
      <c r="P132" s="18">
        <v>0.71</v>
      </c>
      <c r="Q132" s="18">
        <v>0.77</v>
      </c>
      <c r="R132" s="17">
        <v>0</v>
      </c>
      <c r="S132" s="17">
        <v>0</v>
      </c>
      <c r="T132" s="17">
        <v>0</v>
      </c>
      <c r="U132" s="1" t="str">
        <f t="shared" si="9"/>
        <v>Outlier</v>
      </c>
      <c r="V132" s="1" t="str">
        <f t="shared" si="10"/>
        <v>Outlier</v>
      </c>
      <c r="W132" s="19">
        <f t="shared" si="11"/>
        <v>-0.34538745387453873</v>
      </c>
      <c r="X132" s="19">
        <f t="shared" si="12"/>
        <v>0.43115124153498874</v>
      </c>
    </row>
    <row r="133" spans="1:39">
      <c r="A133" s="21">
        <v>44783</v>
      </c>
      <c r="B133" s="17">
        <f>IF(YEAR(Table9[[#This Row],[Date]]) = 2022, WEEKNUM(Table9[[#This Row],[Date]])-13, WEEKNUM(Table9[[#This Row],[Date]])+40)</f>
        <v>20</v>
      </c>
      <c r="C133" s="35" t="s">
        <v>50</v>
      </c>
      <c r="D133" s="35" t="s">
        <v>59</v>
      </c>
      <c r="E133" s="1">
        <v>801</v>
      </c>
      <c r="F133" s="1">
        <v>573</v>
      </c>
      <c r="G133" s="67">
        <v>-0.18927125506072875</v>
      </c>
      <c r="H133" s="67">
        <v>0.25934065934065936</v>
      </c>
      <c r="I133" s="1">
        <v>7661</v>
      </c>
      <c r="J133" s="1">
        <v>4278</v>
      </c>
      <c r="K133" s="1">
        <v>91894</v>
      </c>
      <c r="L133" s="1">
        <v>65946</v>
      </c>
      <c r="M133" s="18">
        <v>0.42</v>
      </c>
      <c r="N133" s="18">
        <v>0.28000000000000003</v>
      </c>
      <c r="O133" s="18">
        <v>0.72</v>
      </c>
      <c r="P133" s="18">
        <v>0.62</v>
      </c>
      <c r="Q133" s="18">
        <v>0.69</v>
      </c>
      <c r="R133" s="17">
        <v>0</v>
      </c>
      <c r="S133" s="17">
        <v>0</v>
      </c>
      <c r="T133" s="17">
        <v>0</v>
      </c>
      <c r="U133" s="1" t="str">
        <f t="shared" si="9"/>
        <v>Normal</v>
      </c>
      <c r="V133" s="1" t="str">
        <f t="shared" si="10"/>
        <v>Normal</v>
      </c>
      <c r="W133" s="19">
        <f t="shared" si="11"/>
        <v>-0.18927125506072875</v>
      </c>
      <c r="X133" s="19">
        <f t="shared" si="12"/>
        <v>0.25934065934065936</v>
      </c>
    </row>
    <row r="134" spans="1:39">
      <c r="A134" s="21">
        <v>44784</v>
      </c>
      <c r="B134" s="17">
        <f>IF(YEAR(Table9[[#This Row],[Date]]) = 2022, WEEKNUM(Table9[[#This Row],[Date]])-13, WEEKNUM(Table9[[#This Row],[Date]])+40)</f>
        <v>20</v>
      </c>
      <c r="C134" s="35" t="s">
        <v>51</v>
      </c>
      <c r="D134" s="35" t="s">
        <v>59</v>
      </c>
      <c r="E134" s="1">
        <v>945</v>
      </c>
      <c r="F134" s="1">
        <v>470</v>
      </c>
      <c r="G134" s="67">
        <v>-7.2620215897939155E-2</v>
      </c>
      <c r="H134" s="67">
        <v>-0.1710758377425044</v>
      </c>
      <c r="I134" s="1">
        <v>8606</v>
      </c>
      <c r="J134" s="1">
        <v>4748</v>
      </c>
      <c r="K134" s="1">
        <v>92839</v>
      </c>
      <c r="L134" s="1">
        <v>66416</v>
      </c>
      <c r="M134" s="18">
        <v>0.2</v>
      </c>
      <c r="N134" s="18">
        <v>0.5</v>
      </c>
      <c r="O134" s="18">
        <v>0.5</v>
      </c>
      <c r="P134" s="18">
        <v>0.72</v>
      </c>
      <c r="Q134" s="18">
        <v>0.72</v>
      </c>
      <c r="R134" s="17">
        <v>0</v>
      </c>
      <c r="S134" s="17">
        <v>0</v>
      </c>
      <c r="T134" s="17">
        <v>0</v>
      </c>
      <c r="U134" s="1" t="str">
        <f t="shared" si="9"/>
        <v>Normal</v>
      </c>
      <c r="V134" s="1" t="str">
        <f t="shared" si="10"/>
        <v>Normal</v>
      </c>
      <c r="W134" s="19">
        <f t="shared" si="11"/>
        <v>-7.2620215897939155E-2</v>
      </c>
      <c r="X134" s="19">
        <f t="shared" si="12"/>
        <v>-0.1710758377425044</v>
      </c>
    </row>
    <row r="135" spans="1:39">
      <c r="A135" s="21">
        <v>44785</v>
      </c>
      <c r="B135" s="17">
        <f>IF(YEAR(Table9[[#This Row],[Date]]) = 2022, WEEKNUM(Table9[[#This Row],[Date]])-13, WEEKNUM(Table9[[#This Row],[Date]])+40)</f>
        <v>20</v>
      </c>
      <c r="C135" s="35" t="s">
        <v>52</v>
      </c>
      <c r="D135" s="35" t="s">
        <v>59</v>
      </c>
      <c r="E135" s="1">
        <v>856</v>
      </c>
      <c r="F135" s="1">
        <v>561</v>
      </c>
      <c r="G135" s="67">
        <v>-0.12474437627811862</v>
      </c>
      <c r="H135" s="67">
        <v>-2.0942408376963352E-2</v>
      </c>
      <c r="I135" s="1">
        <v>9462</v>
      </c>
      <c r="J135" s="1">
        <v>5309</v>
      </c>
      <c r="K135" s="1">
        <v>93695</v>
      </c>
      <c r="L135" s="1">
        <v>66977</v>
      </c>
      <c r="M135" s="18">
        <v>0.24</v>
      </c>
      <c r="N135" s="18">
        <v>0.34</v>
      </c>
      <c r="O135" s="18">
        <v>0.66</v>
      </c>
      <c r="P135" s="18">
        <v>0.84</v>
      </c>
      <c r="Q135" s="18">
        <v>0.68</v>
      </c>
      <c r="R135" s="17">
        <v>0</v>
      </c>
      <c r="S135" s="17">
        <v>0</v>
      </c>
      <c r="T135" s="17">
        <v>0</v>
      </c>
      <c r="U135" s="1" t="str">
        <f t="shared" si="9"/>
        <v>Normal</v>
      </c>
      <c r="V135" s="1" t="str">
        <f t="shared" si="10"/>
        <v>Normal</v>
      </c>
      <c r="W135" s="19">
        <f t="shared" si="11"/>
        <v>-0.12474437627811862</v>
      </c>
      <c r="X135" s="19">
        <f t="shared" si="12"/>
        <v>-2.0942408376963352E-2</v>
      </c>
    </row>
    <row r="136" spans="1:39">
      <c r="A136" s="21">
        <v>44786</v>
      </c>
      <c r="B136" s="17">
        <f>IF(YEAR(Table9[[#This Row],[Date]]) = 2022, WEEKNUM(Table9[[#This Row],[Date]])-13, WEEKNUM(Table9[[#This Row],[Date]])+40)</f>
        <v>20</v>
      </c>
      <c r="C136" s="35" t="s">
        <v>53</v>
      </c>
      <c r="D136" s="35" t="s">
        <v>59</v>
      </c>
      <c r="E136" s="1">
        <v>473</v>
      </c>
      <c r="F136" s="1">
        <v>356</v>
      </c>
      <c r="G136" s="67">
        <v>-0.17452006980802792</v>
      </c>
      <c r="H136" s="67">
        <v>-0.22440087145969498</v>
      </c>
      <c r="I136" s="1">
        <v>9935</v>
      </c>
      <c r="J136" s="1">
        <v>5665</v>
      </c>
      <c r="K136" s="1">
        <v>94168</v>
      </c>
      <c r="L136" s="1">
        <v>67333</v>
      </c>
      <c r="M136" s="18">
        <v>0.4</v>
      </c>
      <c r="N136" s="18">
        <v>0.25</v>
      </c>
      <c r="O136" s="18">
        <v>0.75</v>
      </c>
      <c r="P136" s="18">
        <v>0.65</v>
      </c>
      <c r="Q136" s="18">
        <v>0.78</v>
      </c>
      <c r="R136" s="17">
        <v>0</v>
      </c>
      <c r="S136" s="17">
        <v>0</v>
      </c>
      <c r="T136" s="17">
        <v>0</v>
      </c>
      <c r="U136" s="1" t="str">
        <f t="shared" si="9"/>
        <v>Normal</v>
      </c>
      <c r="V136" s="1" t="str">
        <f t="shared" si="10"/>
        <v>Normal</v>
      </c>
      <c r="W136" s="19">
        <f t="shared" si="11"/>
        <v>-0.17452006980802792</v>
      </c>
      <c r="X136" s="19">
        <f t="shared" si="12"/>
        <v>-0.22440087145969498</v>
      </c>
    </row>
    <row r="137" spans="1:39">
      <c r="A137" s="21">
        <v>44787</v>
      </c>
      <c r="B137" s="17">
        <f>IF(YEAR(Table9[[#This Row],[Date]]) = 2022, WEEKNUM(Table9[[#This Row],[Date]])-13, WEEKNUM(Table9[[#This Row],[Date]])+40)</f>
        <v>21</v>
      </c>
      <c r="C137" s="35" t="s">
        <v>47</v>
      </c>
      <c r="D137" s="35" t="s">
        <v>59</v>
      </c>
      <c r="E137" s="1">
        <v>0</v>
      </c>
      <c r="F137" s="1">
        <v>0</v>
      </c>
      <c r="G137" s="67">
        <v>0</v>
      </c>
      <c r="H137" s="67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7">
        <v>0</v>
      </c>
      <c r="S137" s="17">
        <v>0</v>
      </c>
      <c r="T137" s="17">
        <v>0</v>
      </c>
      <c r="U137" s="1" t="str">
        <f t="shared" si="9"/>
        <v>Normal</v>
      </c>
      <c r="V137" s="1" t="str">
        <f t="shared" si="10"/>
        <v>Normal</v>
      </c>
      <c r="W137" s="19">
        <f t="shared" si="11"/>
        <v>0</v>
      </c>
      <c r="X137" s="19">
        <f t="shared" si="12"/>
        <v>0</v>
      </c>
    </row>
    <row r="138" spans="1:39">
      <c r="A138" s="21">
        <v>44788</v>
      </c>
      <c r="B138" s="17">
        <f>IF(YEAR(Table9[[#This Row],[Date]]) = 2022, WEEKNUM(Table9[[#This Row],[Date]])-13, WEEKNUM(Table9[[#This Row],[Date]])+40)</f>
        <v>21</v>
      </c>
      <c r="C138" s="35" t="s">
        <v>48</v>
      </c>
      <c r="D138" s="35" t="s">
        <v>59</v>
      </c>
      <c r="E138" s="1">
        <v>1026</v>
      </c>
      <c r="F138" s="1">
        <v>609</v>
      </c>
      <c r="G138" s="67">
        <v>-3.2075471698113207E-2</v>
      </c>
      <c r="H138" s="67">
        <v>6.097560975609756E-2</v>
      </c>
      <c r="I138" s="1">
        <v>10961</v>
      </c>
      <c r="J138" s="1">
        <v>6274</v>
      </c>
      <c r="K138" s="1">
        <v>95194</v>
      </c>
      <c r="L138" s="1">
        <v>67942</v>
      </c>
      <c r="M138" s="18">
        <v>0.21</v>
      </c>
      <c r="N138" s="18">
        <v>0.41</v>
      </c>
      <c r="O138" s="18">
        <v>0.59</v>
      </c>
      <c r="P138" s="18">
        <v>0.82</v>
      </c>
      <c r="Q138" s="18">
        <v>0.72</v>
      </c>
      <c r="R138" s="17">
        <v>0</v>
      </c>
      <c r="S138" s="17">
        <v>0</v>
      </c>
      <c r="T138" s="1">
        <v>8</v>
      </c>
      <c r="U138" s="1" t="str">
        <f t="shared" si="9"/>
        <v>Normal</v>
      </c>
      <c r="V138" s="1" t="str">
        <f t="shared" si="10"/>
        <v>Normal</v>
      </c>
      <c r="W138" s="19">
        <f t="shared" si="11"/>
        <v>-3.2075471698113207E-2</v>
      </c>
      <c r="X138" s="19">
        <f t="shared" si="12"/>
        <v>6.097560975609756E-2</v>
      </c>
    </row>
    <row r="139" spans="1:39">
      <c r="A139" s="21">
        <v>44789</v>
      </c>
      <c r="B139" s="17">
        <f>IF(YEAR(Table9[[#This Row],[Date]]) = 2022, WEEKNUM(Table9[[#This Row],[Date]])-13, WEEKNUM(Table9[[#This Row],[Date]])+40)</f>
        <v>21</v>
      </c>
      <c r="C139" s="35" t="s">
        <v>49</v>
      </c>
      <c r="D139" s="35" t="s">
        <v>59</v>
      </c>
      <c r="E139" s="1">
        <v>912</v>
      </c>
      <c r="F139" s="1">
        <v>635</v>
      </c>
      <c r="G139" s="67">
        <v>2.8184892897406989E-2</v>
      </c>
      <c r="H139" s="67">
        <v>1.5772870662460567E-3</v>
      </c>
      <c r="I139" s="1">
        <v>11873</v>
      </c>
      <c r="J139" s="1">
        <v>6909</v>
      </c>
      <c r="K139" s="1">
        <v>96106</v>
      </c>
      <c r="L139" s="1">
        <v>68577</v>
      </c>
      <c r="M139" s="18">
        <v>0.28000000000000003</v>
      </c>
      <c r="N139" s="18">
        <v>0.3</v>
      </c>
      <c r="O139" s="18">
        <v>0.7</v>
      </c>
      <c r="P139" s="18">
        <v>0.66</v>
      </c>
      <c r="Q139" s="18">
        <v>0.76</v>
      </c>
      <c r="R139" s="17">
        <v>0</v>
      </c>
      <c r="S139" s="17">
        <v>0</v>
      </c>
      <c r="T139" s="1">
        <v>9</v>
      </c>
      <c r="U139" s="1" t="str">
        <f t="shared" si="9"/>
        <v>Normal</v>
      </c>
      <c r="V139" s="1" t="str">
        <f t="shared" si="10"/>
        <v>Normal</v>
      </c>
      <c r="W139" s="19">
        <f t="shared" si="11"/>
        <v>2.8184892897406989E-2</v>
      </c>
      <c r="X139" s="19">
        <f t="shared" si="12"/>
        <v>1.5772870662460567E-3</v>
      </c>
    </row>
    <row r="140" spans="1:39">
      <c r="A140" s="21">
        <v>44790</v>
      </c>
      <c r="B140" s="17">
        <f>IF(YEAR(Table9[[#This Row],[Date]]) = 2022, WEEKNUM(Table9[[#This Row],[Date]])-13, WEEKNUM(Table9[[#This Row],[Date]])+40)</f>
        <v>21</v>
      </c>
      <c r="C140" s="35" t="s">
        <v>50</v>
      </c>
      <c r="D140" s="35" t="s">
        <v>59</v>
      </c>
      <c r="E140" s="1">
        <v>795</v>
      </c>
      <c r="F140" s="1">
        <v>653</v>
      </c>
      <c r="G140" s="67">
        <v>-7.4906367041198503E-3</v>
      </c>
      <c r="H140" s="67">
        <v>0.13961605584642234</v>
      </c>
      <c r="I140" s="1">
        <v>12668</v>
      </c>
      <c r="J140" s="1">
        <v>7562</v>
      </c>
      <c r="K140" s="1">
        <v>96901</v>
      </c>
      <c r="L140" s="1">
        <v>69230</v>
      </c>
      <c r="M140" s="18">
        <v>0.42</v>
      </c>
      <c r="N140" s="18">
        <v>0.18</v>
      </c>
      <c r="O140" s="18">
        <v>0.82</v>
      </c>
      <c r="P140" s="18">
        <v>0.62</v>
      </c>
      <c r="Q140" s="18">
        <v>0.76</v>
      </c>
      <c r="R140" s="17">
        <v>0</v>
      </c>
      <c r="S140" s="17">
        <v>0</v>
      </c>
      <c r="T140" s="1">
        <v>10</v>
      </c>
      <c r="U140" s="1" t="str">
        <f t="shared" si="9"/>
        <v>Normal</v>
      </c>
      <c r="V140" s="1" t="str">
        <f t="shared" si="10"/>
        <v>Normal</v>
      </c>
      <c r="W140" s="19">
        <f t="shared" si="11"/>
        <v>-7.4906367041198503E-3</v>
      </c>
      <c r="X140" s="19">
        <f t="shared" si="12"/>
        <v>0.13961605584642234</v>
      </c>
    </row>
    <row r="141" spans="1:39">
      <c r="A141" s="21">
        <v>44791</v>
      </c>
      <c r="B141" s="17">
        <f>IF(YEAR(Table9[[#This Row],[Date]]) = 2022, WEEKNUM(Table9[[#This Row],[Date]])-13, WEEKNUM(Table9[[#This Row],[Date]])+40)</f>
        <v>21</v>
      </c>
      <c r="C141" s="35" t="s">
        <v>51</v>
      </c>
      <c r="D141" s="35" t="s">
        <v>59</v>
      </c>
      <c r="E141" s="1">
        <v>741</v>
      </c>
      <c r="F141" s="1">
        <v>614</v>
      </c>
      <c r="G141" s="67">
        <v>-0.21587301587301588</v>
      </c>
      <c r="H141" s="67">
        <v>0.30638297872340425</v>
      </c>
      <c r="I141" s="1">
        <v>13409</v>
      </c>
      <c r="J141" s="1">
        <v>8176</v>
      </c>
      <c r="K141" s="1">
        <v>97642</v>
      </c>
      <c r="L141" s="1">
        <v>69844</v>
      </c>
      <c r="M141" s="18">
        <v>0.56000000000000005</v>
      </c>
      <c r="N141" s="18">
        <v>0.17</v>
      </c>
      <c r="O141" s="18">
        <v>0.83</v>
      </c>
      <c r="P141" s="18">
        <v>0.59</v>
      </c>
      <c r="Q141" s="18">
        <v>0.78</v>
      </c>
      <c r="R141" s="17">
        <v>0</v>
      </c>
      <c r="S141" s="17">
        <v>0</v>
      </c>
      <c r="T141" s="1">
        <v>9</v>
      </c>
      <c r="U141" s="1" t="str">
        <f t="shared" si="9"/>
        <v>Normal</v>
      </c>
      <c r="V141" s="1" t="str">
        <f t="shared" si="10"/>
        <v>Outlier</v>
      </c>
      <c r="W141" s="19">
        <f t="shared" si="11"/>
        <v>-0.21587301587301588</v>
      </c>
      <c r="X141" s="19">
        <f t="shared" si="12"/>
        <v>0.30638297872340425</v>
      </c>
      <c r="AL141" s="330" t="s">
        <v>95</v>
      </c>
      <c r="AM141" s="330"/>
    </row>
    <row r="142" spans="1:39">
      <c r="A142" s="21">
        <v>44792</v>
      </c>
      <c r="B142" s="17">
        <f>IF(YEAR(Table9[[#This Row],[Date]]) = 2022, WEEKNUM(Table9[[#This Row],[Date]])-13, WEEKNUM(Table9[[#This Row],[Date]])+40)</f>
        <v>21</v>
      </c>
      <c r="C142" s="35" t="s">
        <v>52</v>
      </c>
      <c r="D142" s="35" t="s">
        <v>59</v>
      </c>
      <c r="E142" s="1">
        <v>688</v>
      </c>
      <c r="F142" s="1">
        <v>568</v>
      </c>
      <c r="G142" s="67">
        <v>-0.19626168224299065</v>
      </c>
      <c r="H142" s="67">
        <v>1.2477718360071301E-2</v>
      </c>
      <c r="I142" s="1">
        <v>14097</v>
      </c>
      <c r="J142" s="1">
        <v>8744</v>
      </c>
      <c r="K142" s="1">
        <v>98330</v>
      </c>
      <c r="L142" s="1">
        <v>70412</v>
      </c>
      <c r="M142" s="18">
        <v>0.54</v>
      </c>
      <c r="N142" s="18">
        <v>0.17</v>
      </c>
      <c r="O142" s="18">
        <v>0.83</v>
      </c>
      <c r="P142" s="18">
        <v>0.56999999999999995</v>
      </c>
      <c r="Q142" s="18">
        <v>0.78</v>
      </c>
      <c r="R142" s="17">
        <v>0</v>
      </c>
      <c r="S142" s="17">
        <v>0</v>
      </c>
      <c r="T142" s="1">
        <v>9</v>
      </c>
      <c r="U142" s="1" t="str">
        <f t="shared" si="9"/>
        <v>Normal</v>
      </c>
      <c r="V142" s="1" t="str">
        <f t="shared" si="10"/>
        <v>Normal</v>
      </c>
      <c r="W142" s="19">
        <f t="shared" si="11"/>
        <v>-0.19626168224299065</v>
      </c>
      <c r="X142" s="19">
        <f t="shared" si="12"/>
        <v>1.2477718360071301E-2</v>
      </c>
      <c r="AL142" t="s">
        <v>96</v>
      </c>
      <c r="AM142" t="s">
        <v>97</v>
      </c>
    </row>
    <row r="143" spans="1:39">
      <c r="A143" s="21">
        <v>44793</v>
      </c>
      <c r="B143" s="17">
        <f>IF(YEAR(Table9[[#This Row],[Date]]) = 2022, WEEKNUM(Table9[[#This Row],[Date]])-13, WEEKNUM(Table9[[#This Row],[Date]])+40)</f>
        <v>21</v>
      </c>
      <c r="C143" s="35" t="s">
        <v>53</v>
      </c>
      <c r="D143" s="35" t="s">
        <v>59</v>
      </c>
      <c r="E143" s="1">
        <v>425</v>
      </c>
      <c r="F143" s="1">
        <v>349</v>
      </c>
      <c r="G143" s="67">
        <v>-0.1014799154334038</v>
      </c>
      <c r="H143" s="67">
        <v>-1.9662921348314606E-2</v>
      </c>
      <c r="I143" s="1">
        <v>14522</v>
      </c>
      <c r="J143" s="1">
        <v>9093</v>
      </c>
      <c r="K143" s="1">
        <v>98755</v>
      </c>
      <c r="L143" s="1">
        <v>70761</v>
      </c>
      <c r="M143" s="18">
        <v>0.55000000000000004</v>
      </c>
      <c r="N143" s="18">
        <v>0.18</v>
      </c>
      <c r="O143" s="18">
        <v>0.82</v>
      </c>
      <c r="P143" s="18">
        <v>0.51</v>
      </c>
      <c r="Q143" s="18">
        <v>0.82</v>
      </c>
      <c r="R143" s="17">
        <v>0</v>
      </c>
      <c r="S143" s="17">
        <v>0</v>
      </c>
      <c r="T143" s="1">
        <v>8</v>
      </c>
      <c r="U143" s="1" t="str">
        <f t="shared" si="9"/>
        <v>Normal</v>
      </c>
      <c r="V143" s="1" t="str">
        <f t="shared" si="10"/>
        <v>Normal</v>
      </c>
      <c r="W143" s="19">
        <f t="shared" si="11"/>
        <v>-0.1014799154334038</v>
      </c>
      <c r="X143" s="19">
        <f t="shared" si="12"/>
        <v>-1.9662921348314606E-2</v>
      </c>
      <c r="AL143" t="s">
        <v>98</v>
      </c>
      <c r="AM143" s="163">
        <v>0</v>
      </c>
    </row>
    <row r="144" spans="1:39">
      <c r="A144" s="21">
        <v>44794</v>
      </c>
      <c r="B144" s="17">
        <f>IF(YEAR(Table9[[#This Row],[Date]]) = 2022, WEEKNUM(Table9[[#This Row],[Date]])-13, WEEKNUM(Table9[[#This Row],[Date]])+40)</f>
        <v>22</v>
      </c>
      <c r="C144" s="35" t="s">
        <v>47</v>
      </c>
      <c r="D144" s="35" t="s">
        <v>59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69">
        <v>0</v>
      </c>
      <c r="Q144" s="1">
        <v>0</v>
      </c>
      <c r="R144" s="17">
        <v>0</v>
      </c>
      <c r="S144" s="17">
        <v>0</v>
      </c>
      <c r="T144" s="224">
        <v>0</v>
      </c>
      <c r="U144" s="1" t="str">
        <f t="shared" si="9"/>
        <v>Normal</v>
      </c>
      <c r="V144" s="1" t="str">
        <f t="shared" si="10"/>
        <v>Normal</v>
      </c>
      <c r="W144" s="19">
        <f t="shared" si="11"/>
        <v>0</v>
      </c>
      <c r="X144" s="19">
        <f t="shared" si="12"/>
        <v>0</v>
      </c>
      <c r="AL144" t="s">
        <v>99</v>
      </c>
      <c r="AM144" s="163">
        <v>0.10416666666666667</v>
      </c>
    </row>
    <row r="145" spans="1:39">
      <c r="A145" s="21">
        <v>44795</v>
      </c>
      <c r="B145" s="17">
        <f>IF(YEAR(Table9[[#This Row],[Date]]) = 2022, WEEKNUM(Table9[[#This Row],[Date]])-13, WEEKNUM(Table9[[#This Row],[Date]])+40)</f>
        <v>22</v>
      </c>
      <c r="C145" s="35" t="s">
        <v>48</v>
      </c>
      <c r="D145" s="35" t="s">
        <v>59</v>
      </c>
      <c r="E145" s="1">
        <v>756</v>
      </c>
      <c r="F145" s="1">
        <v>901</v>
      </c>
      <c r="G145" s="67">
        <v>-0.26315789473684209</v>
      </c>
      <c r="H145" s="67">
        <v>0.47947454844006571</v>
      </c>
      <c r="I145" s="1">
        <v>15278</v>
      </c>
      <c r="J145" s="1">
        <v>9994</v>
      </c>
      <c r="K145" s="1">
        <v>99511</v>
      </c>
      <c r="L145" s="1">
        <v>71662</v>
      </c>
      <c r="M145" s="18">
        <v>0.53</v>
      </c>
      <c r="N145" s="18">
        <v>0.16</v>
      </c>
      <c r="O145" s="18">
        <v>0.84</v>
      </c>
      <c r="P145" s="18">
        <v>0.65</v>
      </c>
      <c r="Q145" s="18">
        <v>0.78</v>
      </c>
      <c r="R145" s="17">
        <v>0</v>
      </c>
      <c r="S145" s="17">
        <v>0</v>
      </c>
      <c r="T145" s="1">
        <v>11</v>
      </c>
      <c r="U145" s="1" t="str">
        <f t="shared" si="9"/>
        <v>Outlier</v>
      </c>
      <c r="V145" s="1" t="str">
        <f t="shared" si="10"/>
        <v>Outlier</v>
      </c>
      <c r="W145" s="19">
        <f t="shared" si="11"/>
        <v>-0.26315789473684209</v>
      </c>
      <c r="X145" s="19">
        <f t="shared" si="12"/>
        <v>0.47947454844006571</v>
      </c>
      <c r="AL145" t="s">
        <v>100</v>
      </c>
      <c r="AM145" s="163">
        <v>0.10416666666666667</v>
      </c>
    </row>
    <row r="146" spans="1:39">
      <c r="A146" s="21">
        <v>44796</v>
      </c>
      <c r="B146" s="17">
        <f>IF(YEAR(Table9[[#This Row],[Date]]) = 2022, WEEKNUM(Table9[[#This Row],[Date]])-13, WEEKNUM(Table9[[#This Row],[Date]])+40)</f>
        <v>22</v>
      </c>
      <c r="C146" s="35" t="s">
        <v>49</v>
      </c>
      <c r="D146" s="35" t="s">
        <v>59</v>
      </c>
      <c r="E146" s="1">
        <v>787</v>
      </c>
      <c r="F146" s="1">
        <v>692</v>
      </c>
      <c r="G146" s="67">
        <v>-0.13706140350877194</v>
      </c>
      <c r="H146" s="67">
        <v>8.9763779527559054E-2</v>
      </c>
      <c r="I146" s="1">
        <v>16065</v>
      </c>
      <c r="J146" s="1">
        <v>10686</v>
      </c>
      <c r="K146" s="1">
        <v>100298</v>
      </c>
      <c r="L146" s="1">
        <v>72354</v>
      </c>
      <c r="M146" s="18">
        <v>0.67</v>
      </c>
      <c r="N146" s="18">
        <v>0.12</v>
      </c>
      <c r="O146" s="18">
        <v>0.88</v>
      </c>
      <c r="P146" s="18">
        <v>0.54</v>
      </c>
      <c r="Q146" s="18">
        <v>0.75</v>
      </c>
      <c r="R146" s="17">
        <v>0</v>
      </c>
      <c r="S146" s="17">
        <v>0</v>
      </c>
      <c r="T146" s="1">
        <v>11</v>
      </c>
      <c r="U146" s="1" t="str">
        <f t="shared" si="9"/>
        <v>Normal</v>
      </c>
      <c r="V146" s="1" t="str">
        <f t="shared" si="10"/>
        <v>Normal</v>
      </c>
      <c r="W146" s="19">
        <f t="shared" si="11"/>
        <v>-0.13706140350877194</v>
      </c>
      <c r="X146" s="19">
        <f t="shared" si="12"/>
        <v>8.9763779527559054E-2</v>
      </c>
      <c r="AL146" t="s">
        <v>101</v>
      </c>
      <c r="AM146" s="163">
        <v>0.20833333333333334</v>
      </c>
    </row>
    <row r="147" spans="1:39">
      <c r="A147" s="21">
        <v>44797</v>
      </c>
      <c r="B147" s="17">
        <f>IF(YEAR(Table9[[#This Row],[Date]]) = 2022, WEEKNUM(Table9[[#This Row],[Date]])-13, WEEKNUM(Table9[[#This Row],[Date]])+40)</f>
        <v>22</v>
      </c>
      <c r="C147" s="35" t="s">
        <v>50</v>
      </c>
      <c r="D147" s="35" t="s">
        <v>59</v>
      </c>
      <c r="E147" s="1">
        <v>989</v>
      </c>
      <c r="F147" s="1">
        <v>652</v>
      </c>
      <c r="G147" s="67">
        <v>0.2440251572327044</v>
      </c>
      <c r="H147" s="67">
        <v>-1.5313935681470138E-3</v>
      </c>
      <c r="I147" s="1">
        <v>17054</v>
      </c>
      <c r="J147" s="1">
        <v>11338</v>
      </c>
      <c r="K147" s="1">
        <v>101287</v>
      </c>
      <c r="L147" s="1">
        <v>73006</v>
      </c>
      <c r="M147" s="18">
        <v>0.28000000000000003</v>
      </c>
      <c r="N147" s="18">
        <v>0.34</v>
      </c>
      <c r="O147" s="18">
        <v>0.66</v>
      </c>
      <c r="P147" s="18">
        <v>0.78</v>
      </c>
      <c r="Q147" s="18">
        <v>0.74</v>
      </c>
      <c r="R147" s="17">
        <v>0</v>
      </c>
      <c r="S147" s="17">
        <v>0</v>
      </c>
      <c r="T147" s="1">
        <v>9</v>
      </c>
      <c r="U147" s="1" t="str">
        <f t="shared" si="9"/>
        <v>Outlier</v>
      </c>
      <c r="V147" s="1" t="str">
        <f t="shared" si="10"/>
        <v>Normal</v>
      </c>
      <c r="W147" s="19">
        <f t="shared" si="11"/>
        <v>0.2440251572327044</v>
      </c>
      <c r="X147" s="19">
        <f t="shared" si="12"/>
        <v>-1.5313935681470138E-3</v>
      </c>
      <c r="AL147" t="s">
        <v>97</v>
      </c>
      <c r="AM147" s="163" cm="1">
        <f t="array" ref="AM147">AVERAGEIF(chart_ATT_TT, "&lt;&gt;0")</f>
        <v>179.84615384615384</v>
      </c>
    </row>
    <row r="148" spans="1:39">
      <c r="A148" s="21">
        <v>44798</v>
      </c>
      <c r="B148" s="17">
        <f>IF(YEAR(Table9[[#This Row],[Date]]) = 2022, WEEKNUM(Table9[[#This Row],[Date]])-13, WEEKNUM(Table9[[#This Row],[Date]])+40)</f>
        <v>22</v>
      </c>
      <c r="C148" s="35" t="s">
        <v>51</v>
      </c>
      <c r="D148" s="35" t="s">
        <v>59</v>
      </c>
      <c r="E148" s="1">
        <v>858</v>
      </c>
      <c r="F148" s="1">
        <v>617</v>
      </c>
      <c r="G148" s="67">
        <v>0.15789473684210525</v>
      </c>
      <c r="H148" s="67">
        <v>4.8859934853420191E-3</v>
      </c>
      <c r="I148" s="1">
        <v>17912</v>
      </c>
      <c r="J148" s="1">
        <v>11955</v>
      </c>
      <c r="K148" s="1">
        <v>102145</v>
      </c>
      <c r="L148" s="1">
        <v>73623</v>
      </c>
      <c r="M148" s="18">
        <v>0.35</v>
      </c>
      <c r="N148" s="18">
        <v>0.28000000000000003</v>
      </c>
      <c r="O148" s="18">
        <v>0.72</v>
      </c>
      <c r="P148" s="18">
        <v>0.65</v>
      </c>
      <c r="Q148" s="18">
        <v>0.77</v>
      </c>
      <c r="R148" s="17">
        <v>0</v>
      </c>
      <c r="S148" s="17">
        <v>0</v>
      </c>
      <c r="T148" s="1">
        <v>9</v>
      </c>
      <c r="U148" s="1" t="str">
        <f t="shared" si="9"/>
        <v>Normal</v>
      </c>
      <c r="V148" s="1" t="str">
        <f t="shared" si="10"/>
        <v>Normal</v>
      </c>
      <c r="W148" s="19">
        <f t="shared" si="11"/>
        <v>0.15789473684210525</v>
      </c>
      <c r="X148" s="19">
        <f t="shared" si="12"/>
        <v>4.8859934853420191E-3</v>
      </c>
    </row>
    <row r="149" spans="1:39">
      <c r="A149" s="21">
        <v>44799</v>
      </c>
      <c r="B149" s="17">
        <f>IF(YEAR(Table9[[#This Row],[Date]]) = 2022, WEEKNUM(Table9[[#This Row],[Date]])-13, WEEKNUM(Table9[[#This Row],[Date]])+40)</f>
        <v>22</v>
      </c>
      <c r="C149" s="35" t="s">
        <v>52</v>
      </c>
      <c r="D149" s="35" t="s">
        <v>59</v>
      </c>
      <c r="E149" s="1">
        <v>818</v>
      </c>
      <c r="F149" s="1">
        <v>593</v>
      </c>
      <c r="G149" s="67">
        <v>0.18895348837209303</v>
      </c>
      <c r="H149" s="67">
        <v>4.401408450704225E-2</v>
      </c>
      <c r="I149" s="1">
        <v>18730</v>
      </c>
      <c r="J149" s="1">
        <v>12548</v>
      </c>
      <c r="K149" s="1">
        <v>102963</v>
      </c>
      <c r="L149" s="1">
        <v>74216</v>
      </c>
      <c r="M149" s="18">
        <v>0.32</v>
      </c>
      <c r="N149" s="18">
        <v>0.28000000000000003</v>
      </c>
      <c r="O149" s="18">
        <v>0.72</v>
      </c>
      <c r="P149" s="18">
        <v>0.71</v>
      </c>
      <c r="Q149" s="18">
        <v>0.75</v>
      </c>
      <c r="R149" s="17">
        <v>0</v>
      </c>
      <c r="S149" s="17">
        <v>0</v>
      </c>
      <c r="T149" s="1">
        <v>8</v>
      </c>
      <c r="U149" s="1" t="str">
        <f t="shared" si="9"/>
        <v>Normal</v>
      </c>
      <c r="V149" s="1" t="str">
        <f t="shared" si="10"/>
        <v>Normal</v>
      </c>
      <c r="W149" s="19">
        <f t="shared" si="11"/>
        <v>0.18895348837209303</v>
      </c>
      <c r="X149" s="19">
        <f t="shared" si="12"/>
        <v>4.401408450704225E-2</v>
      </c>
    </row>
    <row r="150" spans="1:39">
      <c r="A150" s="21">
        <v>44800</v>
      </c>
      <c r="B150" s="17">
        <f>IF(YEAR(Table9[[#This Row],[Date]]) = 2022, WEEKNUM(Table9[[#This Row],[Date]])-13, WEEKNUM(Table9[[#This Row],[Date]])+40)</f>
        <v>22</v>
      </c>
      <c r="C150" s="35" t="s">
        <v>53</v>
      </c>
      <c r="D150" s="35" t="s">
        <v>59</v>
      </c>
      <c r="E150" s="1">
        <v>505</v>
      </c>
      <c r="F150" s="1">
        <v>416</v>
      </c>
      <c r="G150" s="67">
        <v>0.18823529411764706</v>
      </c>
      <c r="H150" s="67">
        <v>0.19197707736389685</v>
      </c>
      <c r="I150" s="1">
        <v>19235</v>
      </c>
      <c r="J150" s="1">
        <v>12964</v>
      </c>
      <c r="K150" s="1">
        <v>103468</v>
      </c>
      <c r="L150" s="1">
        <v>74632</v>
      </c>
      <c r="M150" s="18">
        <v>0.54</v>
      </c>
      <c r="N150" s="18">
        <v>0.18</v>
      </c>
      <c r="O150" s="18">
        <v>0.82</v>
      </c>
      <c r="P150" s="18">
        <v>0.4</v>
      </c>
      <c r="Q150" s="18">
        <v>0.83</v>
      </c>
      <c r="R150" s="17">
        <v>0</v>
      </c>
      <c r="S150" s="17">
        <v>0</v>
      </c>
      <c r="T150" s="1">
        <v>8</v>
      </c>
      <c r="U150" s="1" t="str">
        <f t="shared" si="9"/>
        <v>Normal</v>
      </c>
      <c r="V150" s="1" t="str">
        <f t="shared" si="10"/>
        <v>Normal</v>
      </c>
      <c r="W150" s="19">
        <f t="shared" si="11"/>
        <v>0.18823529411764706</v>
      </c>
      <c r="X150" s="19">
        <f t="shared" si="12"/>
        <v>0.19197707736389685</v>
      </c>
      <c r="AH150">
        <f>AVERAGEIF(T138:T341,"&lt;&gt;0")</f>
        <v>10.251497005988025</v>
      </c>
    </row>
    <row r="151" spans="1:39">
      <c r="A151" s="21">
        <v>44801</v>
      </c>
      <c r="B151" s="17">
        <f>IF(YEAR(Table9[[#This Row],[Date]]) = 2022, WEEKNUM(Table9[[#This Row],[Date]])-13, WEEKNUM(Table9[[#This Row],[Date]])+40)</f>
        <v>23</v>
      </c>
      <c r="C151" s="35" t="s">
        <v>47</v>
      </c>
      <c r="D151" s="35" t="s">
        <v>59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9">
        <v>0</v>
      </c>
      <c r="Q151" s="1">
        <v>0</v>
      </c>
      <c r="R151" s="17">
        <v>0</v>
      </c>
      <c r="S151" s="17">
        <v>0</v>
      </c>
      <c r="T151" s="224">
        <v>0</v>
      </c>
      <c r="U151" s="1" t="str">
        <f t="shared" si="9"/>
        <v>Normal</v>
      </c>
      <c r="V151" s="1" t="str">
        <f t="shared" si="10"/>
        <v>Normal</v>
      </c>
      <c r="W151" s="19">
        <f t="shared" si="11"/>
        <v>0</v>
      </c>
      <c r="X151" s="19">
        <f t="shared" si="12"/>
        <v>0</v>
      </c>
    </row>
    <row r="152" spans="1:39">
      <c r="A152" s="21">
        <v>44802</v>
      </c>
      <c r="B152" s="17">
        <f>IF(YEAR(Table9[[#This Row],[Date]]) = 2022, WEEKNUM(Table9[[#This Row],[Date]])-13, WEEKNUM(Table9[[#This Row],[Date]])+40)</f>
        <v>23</v>
      </c>
      <c r="C152" s="35" t="s">
        <v>48</v>
      </c>
      <c r="D152" s="35" t="s">
        <v>59</v>
      </c>
      <c r="E152" s="1">
        <v>1042</v>
      </c>
      <c r="F152" s="1">
        <v>523</v>
      </c>
      <c r="G152" s="67">
        <v>0.37830687830687831</v>
      </c>
      <c r="H152" s="67">
        <v>-0.41953385127635962</v>
      </c>
      <c r="I152" s="1">
        <v>20277</v>
      </c>
      <c r="J152" s="1">
        <v>13487</v>
      </c>
      <c r="K152" s="1">
        <v>104510</v>
      </c>
      <c r="L152" s="1">
        <v>75155</v>
      </c>
      <c r="M152" s="18">
        <v>0.17</v>
      </c>
      <c r="N152" s="18">
        <v>0.5</v>
      </c>
      <c r="O152" s="18">
        <v>0.5</v>
      </c>
      <c r="P152" s="18">
        <v>0.8</v>
      </c>
      <c r="Q152" s="18">
        <v>0.76</v>
      </c>
      <c r="R152" s="17">
        <v>0</v>
      </c>
      <c r="S152" s="17">
        <v>0</v>
      </c>
      <c r="T152" s="1">
        <v>7</v>
      </c>
      <c r="U152" s="1" t="str">
        <f t="shared" si="9"/>
        <v>Outlier</v>
      </c>
      <c r="V152" s="1" t="str">
        <f t="shared" si="10"/>
        <v>Outlier</v>
      </c>
      <c r="W152" s="19">
        <f t="shared" si="11"/>
        <v>0.37830687830687831</v>
      </c>
      <c r="X152" s="19">
        <f t="shared" si="12"/>
        <v>-0.41953385127635962</v>
      </c>
    </row>
    <row r="153" spans="1:39">
      <c r="A153" s="21">
        <v>44803</v>
      </c>
      <c r="B153" s="17">
        <f>IF(YEAR(Table9[[#This Row],[Date]]) = 2022, WEEKNUM(Table9[[#This Row],[Date]])-13, WEEKNUM(Table9[[#This Row],[Date]])+40)</f>
        <v>23</v>
      </c>
      <c r="C153" s="35" t="s">
        <v>49</v>
      </c>
      <c r="D153" s="35" t="s">
        <v>59</v>
      </c>
      <c r="E153" s="1">
        <v>1239</v>
      </c>
      <c r="F153" s="1">
        <v>387</v>
      </c>
      <c r="G153" s="67">
        <v>0.57433290978398988</v>
      </c>
      <c r="H153" s="67">
        <v>-0.44075144508670522</v>
      </c>
      <c r="I153" s="1">
        <v>21516</v>
      </c>
      <c r="J153" s="1">
        <v>13874</v>
      </c>
      <c r="K153" s="1">
        <v>105749</v>
      </c>
      <c r="L153" s="1">
        <v>75542</v>
      </c>
      <c r="M153" s="18">
        <v>0.15</v>
      </c>
      <c r="N153" s="18">
        <v>0.69</v>
      </c>
      <c r="O153" s="18">
        <v>0.31</v>
      </c>
      <c r="P153" s="18">
        <v>0.65</v>
      </c>
      <c r="Q153" s="18">
        <v>0.76</v>
      </c>
      <c r="R153" s="17">
        <v>0</v>
      </c>
      <c r="S153" s="17">
        <v>0</v>
      </c>
      <c r="T153" s="1">
        <v>7</v>
      </c>
      <c r="U153" s="1" t="str">
        <f t="shared" si="9"/>
        <v>Outlier</v>
      </c>
      <c r="V153" s="1" t="str">
        <f t="shared" si="10"/>
        <v>Outlier</v>
      </c>
      <c r="W153" s="19">
        <f t="shared" si="11"/>
        <v>0.57433290978398988</v>
      </c>
      <c r="X153" s="19">
        <f t="shared" si="12"/>
        <v>-0.44075144508670522</v>
      </c>
    </row>
    <row r="154" spans="1:39">
      <c r="A154" s="21">
        <v>44804</v>
      </c>
      <c r="B154" s="17">
        <f>IF(YEAR(Table9[[#This Row],[Date]]) = 2022, WEEKNUM(Table9[[#This Row],[Date]])-13, WEEKNUM(Table9[[#This Row],[Date]])+40)</f>
        <v>23</v>
      </c>
      <c r="C154" s="35" t="s">
        <v>50</v>
      </c>
      <c r="D154" s="35" t="s">
        <v>59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69">
        <v>0</v>
      </c>
      <c r="Q154" s="1">
        <v>0</v>
      </c>
      <c r="R154" s="17">
        <v>0</v>
      </c>
      <c r="S154" s="17">
        <v>0</v>
      </c>
      <c r="T154" s="1">
        <v>0</v>
      </c>
      <c r="U154" s="1" t="str">
        <f t="shared" si="9"/>
        <v>Normal</v>
      </c>
      <c r="V154" s="1" t="str">
        <f t="shared" si="10"/>
        <v>Normal</v>
      </c>
      <c r="W154" s="19">
        <f t="shared" si="11"/>
        <v>0</v>
      </c>
      <c r="X154" s="19">
        <f t="shared" si="12"/>
        <v>0</v>
      </c>
      <c r="AH154" t="s">
        <v>63</v>
      </c>
    </row>
    <row r="155" spans="1:39">
      <c r="A155" s="21">
        <v>44805</v>
      </c>
      <c r="B155" s="17">
        <f>IF(YEAR(Table9[[#This Row],[Date]]) = 2022, WEEKNUM(Table9[[#This Row],[Date]])-13, WEEKNUM(Table9[[#This Row],[Date]])+40)</f>
        <v>23</v>
      </c>
      <c r="C155" s="35" t="s">
        <v>51</v>
      </c>
      <c r="D155" s="35" t="s">
        <v>59</v>
      </c>
      <c r="E155" s="1">
        <v>1231</v>
      </c>
      <c r="F155" s="1">
        <v>656</v>
      </c>
      <c r="G155" s="67">
        <v>0.43473193473193472</v>
      </c>
      <c r="H155" s="67">
        <v>6.3209076175040513E-2</v>
      </c>
      <c r="I155" s="1">
        <v>1231</v>
      </c>
      <c r="J155" s="1">
        <v>656</v>
      </c>
      <c r="K155" s="1">
        <v>106980</v>
      </c>
      <c r="L155" s="1">
        <v>76198</v>
      </c>
      <c r="M155" s="18">
        <v>0.17</v>
      </c>
      <c r="N155" s="18">
        <v>0.47</v>
      </c>
      <c r="O155" s="18">
        <v>0.53</v>
      </c>
      <c r="P155" s="18">
        <v>0.8</v>
      </c>
      <c r="Q155" s="18">
        <v>0.72</v>
      </c>
      <c r="R155" s="17">
        <v>0</v>
      </c>
      <c r="S155" s="17">
        <v>0</v>
      </c>
      <c r="T155" s="1">
        <v>9</v>
      </c>
      <c r="U155" s="1" t="str">
        <f t="shared" si="9"/>
        <v>Outlier</v>
      </c>
      <c r="V155" s="1" t="str">
        <f t="shared" si="10"/>
        <v>Normal</v>
      </c>
      <c r="W155" s="19">
        <f t="shared" si="11"/>
        <v>0.43473193473193472</v>
      </c>
      <c r="X155" s="19">
        <f t="shared" si="12"/>
        <v>6.3209076175040513E-2</v>
      </c>
    </row>
    <row r="156" spans="1:39">
      <c r="A156" s="21">
        <v>44806</v>
      </c>
      <c r="B156" s="17">
        <f>IF(YEAR(Table9[[#This Row],[Date]]) = 2022, WEEKNUM(Table9[[#This Row],[Date]])-13, WEEKNUM(Table9[[#This Row],[Date]])+40)</f>
        <v>23</v>
      </c>
      <c r="C156" s="35" t="s">
        <v>52</v>
      </c>
      <c r="D156" s="35" t="s">
        <v>59</v>
      </c>
      <c r="E156" s="1">
        <v>1096</v>
      </c>
      <c r="F156" s="1">
        <v>454</v>
      </c>
      <c r="G156" s="67">
        <v>0.33985330073349634</v>
      </c>
      <c r="H156" s="67">
        <v>-0.23440134907251264</v>
      </c>
      <c r="I156" s="1">
        <v>2327</v>
      </c>
      <c r="J156" s="1">
        <v>1110</v>
      </c>
      <c r="K156" s="1">
        <v>108076</v>
      </c>
      <c r="L156" s="1">
        <v>76652</v>
      </c>
      <c r="M156" s="18">
        <v>0.17</v>
      </c>
      <c r="N156" s="18">
        <v>0.59</v>
      </c>
      <c r="O156" s="18">
        <v>0.41</v>
      </c>
      <c r="P156" s="18">
        <v>0.6</v>
      </c>
      <c r="Q156" s="18">
        <v>0.72</v>
      </c>
      <c r="R156" s="17">
        <v>0</v>
      </c>
      <c r="S156" s="17">
        <v>0</v>
      </c>
      <c r="T156" s="1">
        <v>8</v>
      </c>
      <c r="U156" s="1" t="str">
        <f t="shared" si="9"/>
        <v>Outlier</v>
      </c>
      <c r="V156" s="1" t="str">
        <f t="shared" si="10"/>
        <v>Normal</v>
      </c>
      <c r="W156" s="19">
        <f t="shared" si="11"/>
        <v>0.33985330073349634</v>
      </c>
      <c r="X156" s="19">
        <f t="shared" si="12"/>
        <v>-0.23440134907251264</v>
      </c>
    </row>
    <row r="157" spans="1:39">
      <c r="A157" s="21">
        <v>44807</v>
      </c>
      <c r="B157" s="17">
        <f>IF(YEAR(Table9[[#This Row],[Date]]) = 2022, WEEKNUM(Table9[[#This Row],[Date]])-13, WEEKNUM(Table9[[#This Row],[Date]])+40)</f>
        <v>23</v>
      </c>
      <c r="C157" s="35" t="s">
        <v>53</v>
      </c>
      <c r="D157" s="35" t="s">
        <v>59</v>
      </c>
      <c r="E157" s="1">
        <v>663</v>
      </c>
      <c r="F157" s="1">
        <v>175</v>
      </c>
      <c r="G157" s="67">
        <v>0.31287128712871287</v>
      </c>
      <c r="H157" s="67">
        <v>-0.57932692307692313</v>
      </c>
      <c r="I157" s="1">
        <v>2990</v>
      </c>
      <c r="J157" s="1">
        <v>1285</v>
      </c>
      <c r="K157" s="1">
        <v>108739</v>
      </c>
      <c r="L157" s="1">
        <v>76827</v>
      </c>
      <c r="M157" s="18">
        <v>0.16</v>
      </c>
      <c r="N157" s="18">
        <v>0.74</v>
      </c>
      <c r="O157" s="18">
        <v>0.26</v>
      </c>
      <c r="P157" s="18">
        <v>0.55000000000000004</v>
      </c>
      <c r="Q157" s="18">
        <v>0.86</v>
      </c>
      <c r="R157" s="17">
        <v>0</v>
      </c>
      <c r="S157" s="17">
        <v>0</v>
      </c>
      <c r="T157" s="1">
        <v>4</v>
      </c>
      <c r="U157" s="1" t="str">
        <f t="shared" si="9"/>
        <v>Outlier</v>
      </c>
      <c r="V157" s="1" t="str">
        <f t="shared" si="10"/>
        <v>Outlier</v>
      </c>
      <c r="W157" s="19">
        <f t="shared" si="11"/>
        <v>0.31287128712871287</v>
      </c>
      <c r="X157" s="19">
        <f t="shared" si="12"/>
        <v>-0.57932692307692313</v>
      </c>
    </row>
    <row r="158" spans="1:39">
      <c r="A158" s="21">
        <v>44808</v>
      </c>
      <c r="B158" s="17">
        <f>IF(YEAR(Table9[[#This Row],[Date]]) = 2022, WEEKNUM(Table9[[#This Row],[Date]])-13, WEEKNUM(Table9[[#This Row],[Date]])+40)</f>
        <v>24</v>
      </c>
      <c r="C158" s="35" t="s">
        <v>47</v>
      </c>
      <c r="D158" s="35" t="s">
        <v>59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69">
        <v>0</v>
      </c>
      <c r="Q158" s="1">
        <v>0</v>
      </c>
      <c r="R158" s="17">
        <v>0</v>
      </c>
      <c r="S158" s="17">
        <v>0</v>
      </c>
      <c r="T158" s="1">
        <v>0</v>
      </c>
      <c r="U158" s="1" t="str">
        <f t="shared" si="9"/>
        <v>Normal</v>
      </c>
      <c r="V158" s="1" t="str">
        <f t="shared" si="10"/>
        <v>Normal</v>
      </c>
      <c r="W158" s="19">
        <f t="shared" si="11"/>
        <v>0</v>
      </c>
      <c r="X158" s="19">
        <f t="shared" si="12"/>
        <v>0</v>
      </c>
    </row>
    <row r="159" spans="1:39">
      <c r="A159" s="21">
        <v>44809</v>
      </c>
      <c r="B159" s="17">
        <f>IF(YEAR(Table9[[#This Row],[Date]]) = 2022, WEEKNUM(Table9[[#This Row],[Date]])-13, WEEKNUM(Table9[[#This Row],[Date]])+40)</f>
        <v>24</v>
      </c>
      <c r="C159" s="35" t="s">
        <v>48</v>
      </c>
      <c r="D159" s="35" t="s">
        <v>59</v>
      </c>
      <c r="E159" s="1">
        <v>1128</v>
      </c>
      <c r="F159" s="1">
        <v>470</v>
      </c>
      <c r="G159" s="67">
        <v>8.253358925143954E-2</v>
      </c>
      <c r="H159" s="67">
        <v>-0.10133843212237094</v>
      </c>
      <c r="I159" s="1">
        <v>4118</v>
      </c>
      <c r="J159" s="1">
        <v>1755</v>
      </c>
      <c r="K159" s="1">
        <v>109867</v>
      </c>
      <c r="L159" s="1">
        <v>77297</v>
      </c>
      <c r="M159" s="18">
        <v>0.18</v>
      </c>
      <c r="N159" s="18">
        <v>0.57999999999999996</v>
      </c>
      <c r="O159" s="18">
        <v>0.42</v>
      </c>
      <c r="P159" s="18">
        <v>0.67</v>
      </c>
      <c r="Q159" s="18">
        <v>0.78</v>
      </c>
      <c r="R159" s="17">
        <v>0</v>
      </c>
      <c r="S159" s="17">
        <v>0</v>
      </c>
      <c r="T159" s="1">
        <v>8</v>
      </c>
      <c r="U159" s="1" t="str">
        <f t="shared" si="9"/>
        <v>Normal</v>
      </c>
      <c r="V159" s="1" t="str">
        <f t="shared" si="10"/>
        <v>Normal</v>
      </c>
      <c r="W159" s="19">
        <f t="shared" si="11"/>
        <v>8.253358925143954E-2</v>
      </c>
      <c r="X159" s="19">
        <f t="shared" si="12"/>
        <v>-0.10133843212237094</v>
      </c>
    </row>
    <row r="160" spans="1:39">
      <c r="A160" s="21">
        <v>44810</v>
      </c>
      <c r="B160" s="17">
        <f>IF(YEAR(Table9[[#This Row],[Date]]) = 2022, WEEKNUM(Table9[[#This Row],[Date]])-13, WEEKNUM(Table9[[#This Row],[Date]])+40)</f>
        <v>24</v>
      </c>
      <c r="C160" s="35" t="s">
        <v>49</v>
      </c>
      <c r="D160" s="35" t="s">
        <v>59</v>
      </c>
      <c r="E160" s="1">
        <v>1140</v>
      </c>
      <c r="F160" s="1">
        <v>459</v>
      </c>
      <c r="G160" s="67">
        <v>-7.990314769975787E-2</v>
      </c>
      <c r="H160" s="67">
        <v>0.18604651162790697</v>
      </c>
      <c r="I160" s="1">
        <v>5258</v>
      </c>
      <c r="J160" s="1">
        <v>2214</v>
      </c>
      <c r="K160" s="1">
        <v>111007</v>
      </c>
      <c r="L160" s="1">
        <v>77756</v>
      </c>
      <c r="M160" s="18">
        <v>0.12</v>
      </c>
      <c r="N160" s="18">
        <v>0.6</v>
      </c>
      <c r="O160" s="18">
        <v>0.4</v>
      </c>
      <c r="P160" s="18">
        <v>0.65</v>
      </c>
      <c r="Q160" s="18">
        <v>0.77</v>
      </c>
      <c r="R160" s="17">
        <v>0</v>
      </c>
      <c r="S160" s="17">
        <v>0</v>
      </c>
      <c r="T160" s="1">
        <v>8</v>
      </c>
      <c r="U160" s="1" t="str">
        <f t="shared" si="9"/>
        <v>Normal</v>
      </c>
      <c r="V160" s="1" t="str">
        <f t="shared" si="10"/>
        <v>Normal</v>
      </c>
      <c r="W160" s="19">
        <f t="shared" si="11"/>
        <v>-7.990314769975787E-2</v>
      </c>
      <c r="X160" s="19">
        <f t="shared" si="12"/>
        <v>0.18604651162790697</v>
      </c>
    </row>
    <row r="161" spans="1:37">
      <c r="A161" s="21">
        <v>44811</v>
      </c>
      <c r="B161" s="17">
        <f>IF(YEAR(Table9[[#This Row],[Date]]) = 2022, WEEKNUM(Table9[[#This Row],[Date]])-13, WEEKNUM(Table9[[#This Row],[Date]])+40)</f>
        <v>24</v>
      </c>
      <c r="C161" s="35" t="s">
        <v>50</v>
      </c>
      <c r="D161" s="35" t="s">
        <v>59</v>
      </c>
      <c r="E161" s="1">
        <v>967</v>
      </c>
      <c r="F161" s="1">
        <v>548</v>
      </c>
      <c r="G161" s="67">
        <v>0</v>
      </c>
      <c r="H161" s="67">
        <v>0</v>
      </c>
      <c r="I161" s="1">
        <v>6225</v>
      </c>
      <c r="J161" s="1">
        <v>2762</v>
      </c>
      <c r="K161" s="1">
        <v>111974</v>
      </c>
      <c r="L161" s="1">
        <v>78304</v>
      </c>
      <c r="M161" s="18">
        <v>0.18</v>
      </c>
      <c r="N161" s="18">
        <v>0.43</v>
      </c>
      <c r="O161" s="18">
        <v>0.56999999999999995</v>
      </c>
      <c r="P161" s="18">
        <v>0.67</v>
      </c>
      <c r="Q161" s="18">
        <v>0.76</v>
      </c>
      <c r="R161" s="17">
        <v>0</v>
      </c>
      <c r="S161" s="17">
        <v>0</v>
      </c>
      <c r="T161" s="1">
        <v>9</v>
      </c>
      <c r="U161" s="1" t="str">
        <f t="shared" si="9"/>
        <v>Normal</v>
      </c>
      <c r="V161" s="1" t="str">
        <f t="shared" si="10"/>
        <v>Normal</v>
      </c>
      <c r="W161" s="19">
        <f t="shared" si="11"/>
        <v>0</v>
      </c>
      <c r="X161" s="19">
        <f t="shared" si="12"/>
        <v>0</v>
      </c>
      <c r="AH161">
        <f>AVERAGEIF(Table7[Calls Off],"&lt;&gt;0")</f>
        <v>888.00336700336698</v>
      </c>
    </row>
    <row r="162" spans="1:37">
      <c r="A162" s="21">
        <v>44812</v>
      </c>
      <c r="B162" s="17">
        <f>IF(YEAR(Table9[[#This Row],[Date]]) = 2022, WEEKNUM(Table9[[#This Row],[Date]])-13, WEEKNUM(Table9[[#This Row],[Date]])+40)</f>
        <v>24</v>
      </c>
      <c r="C162" s="35" t="s">
        <v>51</v>
      </c>
      <c r="D162" s="35" t="s">
        <v>59</v>
      </c>
      <c r="E162" s="1">
        <v>925</v>
      </c>
      <c r="F162" s="1">
        <v>531</v>
      </c>
      <c r="G162" s="67">
        <v>-0.24857839155158407</v>
      </c>
      <c r="H162" s="67">
        <v>-0.19054878048780488</v>
      </c>
      <c r="I162" s="1">
        <v>7150</v>
      </c>
      <c r="J162" s="1">
        <v>3293</v>
      </c>
      <c r="K162" s="1">
        <v>112899</v>
      </c>
      <c r="L162" s="1">
        <v>78835</v>
      </c>
      <c r="M162" s="18">
        <v>0.16</v>
      </c>
      <c r="N162" s="18">
        <v>0.43</v>
      </c>
      <c r="O162" s="18">
        <v>0.56999999999999995</v>
      </c>
      <c r="P162" s="18">
        <v>0.84</v>
      </c>
      <c r="Q162" s="18">
        <v>0.79</v>
      </c>
      <c r="R162" s="17">
        <v>0</v>
      </c>
      <c r="S162" s="17">
        <v>0</v>
      </c>
      <c r="T162" s="1">
        <v>7</v>
      </c>
      <c r="U162" s="1" t="str">
        <f t="shared" si="9"/>
        <v>Outlier</v>
      </c>
      <c r="V162" s="1" t="str">
        <f t="shared" si="10"/>
        <v>Normal</v>
      </c>
      <c r="W162" s="19">
        <f t="shared" si="11"/>
        <v>-0.24857839155158407</v>
      </c>
      <c r="X162" s="19">
        <f t="shared" si="12"/>
        <v>-0.19054878048780488</v>
      </c>
    </row>
    <row r="163" spans="1:37">
      <c r="A163" s="21">
        <v>44813</v>
      </c>
      <c r="B163" s="17">
        <f>IF(YEAR(Table9[[#This Row],[Date]]) = 2022, WEEKNUM(Table9[[#This Row],[Date]])-13, WEEKNUM(Table9[[#This Row],[Date]])+40)</f>
        <v>24</v>
      </c>
      <c r="C163" s="35" t="s">
        <v>52</v>
      </c>
      <c r="D163" s="35" t="s">
        <v>59</v>
      </c>
      <c r="E163" s="1">
        <v>909</v>
      </c>
      <c r="F163" s="1">
        <v>610</v>
      </c>
      <c r="G163" s="67">
        <v>-0.17062043795620438</v>
      </c>
      <c r="H163" s="67">
        <v>0.34361233480176212</v>
      </c>
      <c r="I163" s="1">
        <v>8059</v>
      </c>
      <c r="J163" s="1">
        <v>3903</v>
      </c>
      <c r="K163" s="1">
        <v>113808</v>
      </c>
      <c r="L163" s="1">
        <v>79445</v>
      </c>
      <c r="M163" s="18">
        <v>0.24</v>
      </c>
      <c r="N163" s="18">
        <v>0.33</v>
      </c>
      <c r="O163" s="18">
        <v>0.67</v>
      </c>
      <c r="P163" s="18">
        <v>0.73</v>
      </c>
      <c r="Q163" s="18">
        <v>0.83</v>
      </c>
      <c r="R163" s="17">
        <v>0</v>
      </c>
      <c r="S163" s="17">
        <v>0</v>
      </c>
      <c r="T163" s="1">
        <v>8</v>
      </c>
      <c r="U163" s="1" t="str">
        <f t="shared" si="9"/>
        <v>Normal</v>
      </c>
      <c r="V163" s="1" t="str">
        <f t="shared" si="10"/>
        <v>Outlier</v>
      </c>
      <c r="W163" s="19">
        <f t="shared" si="11"/>
        <v>-0.17062043795620438</v>
      </c>
      <c r="X163" s="19">
        <f t="shared" si="12"/>
        <v>0.34361233480176212</v>
      </c>
    </row>
    <row r="164" spans="1:37">
      <c r="A164" s="21">
        <v>44814</v>
      </c>
      <c r="B164" s="17">
        <f>IF(YEAR(Table9[[#This Row],[Date]]) = 2022, WEEKNUM(Table9[[#This Row],[Date]])-13, WEEKNUM(Table9[[#This Row],[Date]])+40)</f>
        <v>24</v>
      </c>
      <c r="C164" s="35" t="s">
        <v>53</v>
      </c>
      <c r="D164" s="35" t="s">
        <v>59</v>
      </c>
      <c r="E164" s="1">
        <v>475</v>
      </c>
      <c r="F164" s="1">
        <v>375</v>
      </c>
      <c r="G164" s="67">
        <v>-0.28355957767722473</v>
      </c>
      <c r="H164" s="67">
        <v>1.1428571428571428</v>
      </c>
      <c r="I164" s="1">
        <v>8534</v>
      </c>
      <c r="J164" s="1">
        <v>4278</v>
      </c>
      <c r="K164" s="1">
        <v>114283</v>
      </c>
      <c r="L164" s="1">
        <v>79820</v>
      </c>
      <c r="M164" s="18">
        <v>0.46</v>
      </c>
      <c r="N164" s="18">
        <v>0.33</v>
      </c>
      <c r="O164" s="18">
        <v>0.67</v>
      </c>
      <c r="P164" s="18">
        <v>0.68</v>
      </c>
      <c r="Q164" s="18">
        <v>0.89</v>
      </c>
      <c r="R164" s="17">
        <v>0</v>
      </c>
      <c r="S164" s="17">
        <v>0</v>
      </c>
      <c r="T164" s="1">
        <v>7</v>
      </c>
      <c r="U164" s="1" t="str">
        <f t="shared" si="9"/>
        <v>Outlier</v>
      </c>
      <c r="V164" s="1" t="str">
        <f t="shared" si="10"/>
        <v>Outlier</v>
      </c>
      <c r="W164" s="19">
        <f t="shared" si="11"/>
        <v>-0.28355957767722473</v>
      </c>
      <c r="X164" s="19">
        <f t="shared" si="12"/>
        <v>1.1428571428571428</v>
      </c>
    </row>
    <row r="165" spans="1:37">
      <c r="A165" s="21">
        <v>44815</v>
      </c>
      <c r="B165" s="17">
        <f>IF(YEAR(Table9[[#This Row],[Date]]) = 2022, WEEKNUM(Table9[[#This Row],[Date]])-13, WEEKNUM(Table9[[#This Row],[Date]])+40)</f>
        <v>25</v>
      </c>
      <c r="C165" s="35" t="s">
        <v>47</v>
      </c>
      <c r="D165" s="35" t="s">
        <v>59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9">
        <v>0</v>
      </c>
      <c r="Q165" s="1">
        <v>0</v>
      </c>
      <c r="R165" s="17">
        <v>0</v>
      </c>
      <c r="S165" s="17">
        <v>0</v>
      </c>
      <c r="T165" s="1">
        <v>0</v>
      </c>
      <c r="U165" s="1" t="str">
        <f t="shared" si="9"/>
        <v>Normal</v>
      </c>
      <c r="V165" s="1" t="str">
        <f t="shared" si="10"/>
        <v>Normal</v>
      </c>
      <c r="W165" s="19">
        <f t="shared" si="11"/>
        <v>0</v>
      </c>
      <c r="X165" s="19">
        <f t="shared" si="12"/>
        <v>0</v>
      </c>
    </row>
    <row r="166" spans="1:37">
      <c r="A166" s="21">
        <v>44816</v>
      </c>
      <c r="B166" s="17">
        <f>IF(YEAR(Table9[[#This Row],[Date]]) = 2022, WEEKNUM(Table9[[#This Row],[Date]])-13, WEEKNUM(Table9[[#This Row],[Date]])+40)</f>
        <v>25</v>
      </c>
      <c r="C166" s="35" t="s">
        <v>48</v>
      </c>
      <c r="D166" s="35" t="s">
        <v>59</v>
      </c>
      <c r="E166" s="1">
        <v>1135</v>
      </c>
      <c r="F166" s="1">
        <v>620</v>
      </c>
      <c r="G166" s="67">
        <v>6.2056737588652485E-3</v>
      </c>
      <c r="H166" s="67">
        <v>0.31914893617021278</v>
      </c>
      <c r="I166" s="1">
        <v>9669</v>
      </c>
      <c r="J166" s="1">
        <v>4898</v>
      </c>
      <c r="K166" s="1">
        <v>115418</v>
      </c>
      <c r="L166" s="1">
        <v>80440</v>
      </c>
      <c r="M166" s="18">
        <v>0.15</v>
      </c>
      <c r="N166" s="18">
        <v>0.45</v>
      </c>
      <c r="O166" s="18">
        <v>0.55000000000000004</v>
      </c>
      <c r="P166" s="18">
        <v>0.8</v>
      </c>
      <c r="Q166" s="18">
        <v>0.79</v>
      </c>
      <c r="R166" s="17">
        <v>0</v>
      </c>
      <c r="S166" s="17">
        <v>0</v>
      </c>
      <c r="T166" s="1">
        <v>7</v>
      </c>
      <c r="U166" s="1" t="str">
        <f t="shared" si="9"/>
        <v>Normal</v>
      </c>
      <c r="V166" s="1" t="str">
        <f t="shared" si="10"/>
        <v>Outlier</v>
      </c>
      <c r="W166" s="19">
        <f t="shared" si="11"/>
        <v>6.2056737588652485E-3</v>
      </c>
      <c r="X166" s="19">
        <f t="shared" si="12"/>
        <v>0.31914893617021278</v>
      </c>
    </row>
    <row r="167" spans="1:37">
      <c r="A167" s="21">
        <v>44817</v>
      </c>
      <c r="B167" s="17">
        <f>IF(YEAR(Table9[[#This Row],[Date]]) = 2022, WEEKNUM(Table9[[#This Row],[Date]])-13, WEEKNUM(Table9[[#This Row],[Date]])+40)</f>
        <v>25</v>
      </c>
      <c r="C167" s="35" t="s">
        <v>49</v>
      </c>
      <c r="D167" s="35" t="s">
        <v>59</v>
      </c>
      <c r="E167" s="1">
        <v>1022</v>
      </c>
      <c r="F167" s="1">
        <v>493</v>
      </c>
      <c r="G167" s="67">
        <v>-0.10350877192982456</v>
      </c>
      <c r="H167" s="67">
        <v>7.407407407407407E-2</v>
      </c>
      <c r="I167" s="1">
        <v>10691</v>
      </c>
      <c r="J167" s="1">
        <v>5391</v>
      </c>
      <c r="K167" s="1">
        <v>116440</v>
      </c>
      <c r="L167" s="1">
        <v>80933</v>
      </c>
      <c r="M167" s="18">
        <v>0.15</v>
      </c>
      <c r="N167" s="18">
        <v>0.52</v>
      </c>
      <c r="O167" s="18">
        <v>0.48</v>
      </c>
      <c r="P167" s="18">
        <v>0.81</v>
      </c>
      <c r="Q167" s="18">
        <v>0.79</v>
      </c>
      <c r="R167" s="17">
        <v>0</v>
      </c>
      <c r="S167" s="17">
        <v>0</v>
      </c>
      <c r="T167" s="1">
        <v>7</v>
      </c>
      <c r="U167" s="1" t="str">
        <f t="shared" si="9"/>
        <v>Normal</v>
      </c>
      <c r="V167" s="1" t="str">
        <f t="shared" si="10"/>
        <v>Normal</v>
      </c>
      <c r="W167" s="19">
        <f t="shared" si="11"/>
        <v>-0.10350877192982456</v>
      </c>
      <c r="X167" s="19">
        <f t="shared" si="12"/>
        <v>7.407407407407407E-2</v>
      </c>
      <c r="AK167">
        <f>AVERAGEIF(M349:M355,"&lt;&gt;0")</f>
        <v>0.89999999999999991</v>
      </c>
    </row>
    <row r="168" spans="1:37">
      <c r="A168" s="21">
        <v>44818</v>
      </c>
      <c r="B168" s="17">
        <f>IF(YEAR(Table9[[#This Row],[Date]]) = 2022, WEEKNUM(Table9[[#This Row],[Date]])-13, WEEKNUM(Table9[[#This Row],[Date]])+40)</f>
        <v>25</v>
      </c>
      <c r="C168" s="35" t="s">
        <v>50</v>
      </c>
      <c r="D168" s="35" t="s">
        <v>59</v>
      </c>
      <c r="E168" s="1">
        <v>572</v>
      </c>
      <c r="F168" s="1">
        <v>273</v>
      </c>
      <c r="G168" s="67">
        <v>-0.40847983453981385</v>
      </c>
      <c r="H168" s="67">
        <v>-0.50182481751824815</v>
      </c>
      <c r="I168" s="1">
        <v>11263</v>
      </c>
      <c r="J168" s="1">
        <v>5664</v>
      </c>
      <c r="K168" s="1">
        <v>117012</v>
      </c>
      <c r="L168" s="1">
        <v>81206</v>
      </c>
      <c r="M168" s="18">
        <v>0.23</v>
      </c>
      <c r="N168" s="18">
        <v>0.52</v>
      </c>
      <c r="O168" s="18">
        <v>0.48</v>
      </c>
      <c r="P168" s="18">
        <v>0.43</v>
      </c>
      <c r="Q168" s="18">
        <v>0.79</v>
      </c>
      <c r="R168" s="17">
        <v>0</v>
      </c>
      <c r="S168" s="17">
        <v>0</v>
      </c>
      <c r="T168" s="1">
        <v>7</v>
      </c>
      <c r="U168" s="1" t="str">
        <f t="shared" si="9"/>
        <v>Outlier</v>
      </c>
      <c r="V168" s="1" t="str">
        <f t="shared" si="10"/>
        <v>Outlier</v>
      </c>
      <c r="W168" s="19">
        <f t="shared" si="11"/>
        <v>-0.40847983453981385</v>
      </c>
      <c r="X168" s="19">
        <f t="shared" si="12"/>
        <v>-0.50182481751824815</v>
      </c>
    </row>
    <row r="169" spans="1:37">
      <c r="A169" s="21">
        <v>44819</v>
      </c>
      <c r="B169" s="17">
        <f>IF(YEAR(Table9[[#This Row],[Date]]) = 2022, WEEKNUM(Table9[[#This Row],[Date]])-13, WEEKNUM(Table9[[#This Row],[Date]])+40)</f>
        <v>25</v>
      </c>
      <c r="C169" s="35" t="s">
        <v>51</v>
      </c>
      <c r="D169" s="35" t="s">
        <v>59</v>
      </c>
      <c r="E169" s="1">
        <v>897</v>
      </c>
      <c r="F169" s="1">
        <v>657</v>
      </c>
      <c r="G169" s="67">
        <v>-3.027027027027027E-2</v>
      </c>
      <c r="H169" s="67">
        <v>0.23728813559322035</v>
      </c>
      <c r="I169" s="1">
        <v>12160</v>
      </c>
      <c r="J169" s="1">
        <v>6321</v>
      </c>
      <c r="K169" s="1">
        <v>117909</v>
      </c>
      <c r="L169" s="1">
        <v>81863</v>
      </c>
      <c r="M169" s="18">
        <v>0.33</v>
      </c>
      <c r="N169" s="18">
        <v>0.27</v>
      </c>
      <c r="O169" s="18">
        <v>0.73</v>
      </c>
      <c r="P169" s="18">
        <v>0.67</v>
      </c>
      <c r="Q169" s="18">
        <v>0.78</v>
      </c>
      <c r="R169" s="17">
        <v>0</v>
      </c>
      <c r="S169" s="17">
        <v>0</v>
      </c>
      <c r="T169" s="1">
        <v>9</v>
      </c>
      <c r="U169" s="1" t="str">
        <f t="shared" si="9"/>
        <v>Normal</v>
      </c>
      <c r="V169" s="1" t="str">
        <f t="shared" si="10"/>
        <v>Normal</v>
      </c>
      <c r="W169" s="19">
        <f t="shared" si="11"/>
        <v>-3.027027027027027E-2</v>
      </c>
      <c r="X169" s="19">
        <f t="shared" si="12"/>
        <v>0.23728813559322035</v>
      </c>
    </row>
    <row r="170" spans="1:37">
      <c r="A170" s="21">
        <v>44820</v>
      </c>
      <c r="B170" s="17">
        <f>IF(YEAR(Table9[[#This Row],[Date]]) = 2022, WEEKNUM(Table9[[#This Row],[Date]])-13, WEEKNUM(Table9[[#This Row],[Date]])+40)</f>
        <v>25</v>
      </c>
      <c r="C170" s="35" t="s">
        <v>52</v>
      </c>
      <c r="D170" s="35" t="s">
        <v>59</v>
      </c>
      <c r="E170" s="1">
        <v>884</v>
      </c>
      <c r="F170" s="1">
        <v>691</v>
      </c>
      <c r="G170" s="67">
        <v>-2.7502750275027504E-2</v>
      </c>
      <c r="H170" s="67">
        <v>0.13278688524590163</v>
      </c>
      <c r="I170" s="1">
        <v>13044</v>
      </c>
      <c r="J170" s="1">
        <v>7012</v>
      </c>
      <c r="K170" s="1">
        <v>118793</v>
      </c>
      <c r="L170" s="1">
        <v>82554</v>
      </c>
      <c r="M170" s="18">
        <v>0.42</v>
      </c>
      <c r="N170" s="18">
        <v>0.21</v>
      </c>
      <c r="O170" s="18">
        <v>0.79</v>
      </c>
      <c r="P170" s="18">
        <v>0.7</v>
      </c>
      <c r="Q170" s="18">
        <v>0.8</v>
      </c>
      <c r="R170" s="17">
        <v>0</v>
      </c>
      <c r="S170" s="17">
        <v>0</v>
      </c>
      <c r="T170" s="1">
        <v>9</v>
      </c>
      <c r="U170" s="1" t="str">
        <f t="shared" si="9"/>
        <v>Normal</v>
      </c>
      <c r="V170" s="1" t="str">
        <f t="shared" si="10"/>
        <v>Normal</v>
      </c>
      <c r="W170" s="19">
        <f t="shared" si="11"/>
        <v>-2.7502750275027504E-2</v>
      </c>
      <c r="X170" s="19">
        <f t="shared" si="12"/>
        <v>0.13278688524590163</v>
      </c>
    </row>
    <row r="171" spans="1:37">
      <c r="A171" s="21">
        <v>44821</v>
      </c>
      <c r="B171" s="17">
        <f>IF(YEAR(Table9[[#This Row],[Date]]) = 2022, WEEKNUM(Table9[[#This Row],[Date]])-13, WEEKNUM(Table9[[#This Row],[Date]])+40)</f>
        <v>25</v>
      </c>
      <c r="C171" s="35" t="s">
        <v>53</v>
      </c>
      <c r="D171" s="35" t="s">
        <v>59</v>
      </c>
      <c r="E171" s="1">
        <v>601</v>
      </c>
      <c r="F171" s="1">
        <v>353</v>
      </c>
      <c r="G171" s="67">
        <v>0.26526315789473687</v>
      </c>
      <c r="H171" s="67">
        <v>-5.8666666666666666E-2</v>
      </c>
      <c r="I171" s="1">
        <v>13645</v>
      </c>
      <c r="J171" s="1">
        <v>7365</v>
      </c>
      <c r="K171" s="1">
        <v>119394</v>
      </c>
      <c r="L171" s="1">
        <v>82907</v>
      </c>
      <c r="M171" s="18">
        <v>0.34</v>
      </c>
      <c r="N171" s="18">
        <v>0.41</v>
      </c>
      <c r="O171" s="18">
        <v>0.59000000000000008</v>
      </c>
      <c r="P171" s="18">
        <v>0.77</v>
      </c>
      <c r="Q171" s="18">
        <v>0.88</v>
      </c>
      <c r="R171" s="17">
        <v>0</v>
      </c>
      <c r="S171" s="17">
        <v>0</v>
      </c>
      <c r="T171" s="1">
        <v>7</v>
      </c>
      <c r="U171" s="1" t="str">
        <f t="shared" si="9"/>
        <v>Outlier</v>
      </c>
      <c r="V171" s="1" t="str">
        <f t="shared" si="10"/>
        <v>Normal</v>
      </c>
      <c r="W171" s="19">
        <f t="shared" si="11"/>
        <v>0.26526315789473687</v>
      </c>
      <c r="X171" s="19">
        <f t="shared" si="12"/>
        <v>-5.8666666666666666E-2</v>
      </c>
    </row>
    <row r="172" spans="1:37">
      <c r="A172" s="21">
        <v>44822</v>
      </c>
      <c r="B172" s="17">
        <f>IF(YEAR(Table9[[#This Row],[Date]]) = 2022, WEEKNUM(Table9[[#This Row],[Date]])-13, WEEKNUM(Table9[[#This Row],[Date]])+40)</f>
        <v>26</v>
      </c>
      <c r="C172" s="35" t="s">
        <v>47</v>
      </c>
      <c r="D172" s="35" t="s">
        <v>59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7">
        <v>0</v>
      </c>
      <c r="S172" s="17">
        <v>0</v>
      </c>
      <c r="T172" s="1">
        <v>0</v>
      </c>
      <c r="U172" s="1" t="str">
        <f t="shared" si="9"/>
        <v>Normal</v>
      </c>
      <c r="V172" s="1" t="str">
        <f t="shared" si="10"/>
        <v>Normal</v>
      </c>
      <c r="W172" s="19">
        <f t="shared" si="11"/>
        <v>0</v>
      </c>
      <c r="X172" s="19">
        <f t="shared" si="12"/>
        <v>0</v>
      </c>
    </row>
    <row r="173" spans="1:37">
      <c r="A173" s="21">
        <v>44823</v>
      </c>
      <c r="B173" s="17">
        <f>IF(YEAR(Table9[[#This Row],[Date]]) = 2022, WEEKNUM(Table9[[#This Row],[Date]])-13, WEEKNUM(Table9[[#This Row],[Date]])+40)</f>
        <v>26</v>
      </c>
      <c r="C173" s="35" t="s">
        <v>48</v>
      </c>
      <c r="D173" s="35" t="s">
        <v>59</v>
      </c>
      <c r="E173" s="1">
        <v>1063</v>
      </c>
      <c r="F173" s="1">
        <v>685</v>
      </c>
      <c r="G173" s="67">
        <v>-6.3436123348017626E-2</v>
      </c>
      <c r="H173" s="67">
        <v>0.10483870967741936</v>
      </c>
      <c r="I173" s="1">
        <v>14708</v>
      </c>
      <c r="J173" s="1">
        <v>8050</v>
      </c>
      <c r="K173" s="1">
        <v>120457</v>
      </c>
      <c r="L173" s="1">
        <v>83592</v>
      </c>
      <c r="M173" s="18">
        <v>0.25</v>
      </c>
      <c r="N173" s="18">
        <v>0.36</v>
      </c>
      <c r="O173" s="18">
        <v>0.64</v>
      </c>
      <c r="P173" s="18">
        <v>0.71</v>
      </c>
      <c r="Q173" s="18">
        <v>0.81</v>
      </c>
      <c r="R173" s="17">
        <v>0</v>
      </c>
      <c r="S173" s="17">
        <v>0</v>
      </c>
      <c r="T173" s="1">
        <v>9</v>
      </c>
      <c r="U173" s="1" t="str">
        <f t="shared" si="9"/>
        <v>Normal</v>
      </c>
      <c r="V173" s="1" t="str">
        <f t="shared" si="10"/>
        <v>Normal</v>
      </c>
      <c r="W173" s="19">
        <f t="shared" si="11"/>
        <v>-6.3436123348017626E-2</v>
      </c>
      <c r="X173" s="19">
        <f t="shared" si="12"/>
        <v>0.10483870967741936</v>
      </c>
    </row>
    <row r="174" spans="1:37">
      <c r="A174" s="21">
        <v>44824</v>
      </c>
      <c r="B174" s="17">
        <f>IF(YEAR(Table9[[#This Row],[Date]]) = 2022, WEEKNUM(Table9[[#This Row],[Date]])-13, WEEKNUM(Table9[[#This Row],[Date]])+40)</f>
        <v>26</v>
      </c>
      <c r="C174" s="35" t="s">
        <v>49</v>
      </c>
      <c r="D174" s="35" t="s">
        <v>59</v>
      </c>
      <c r="E174" s="1">
        <v>814</v>
      </c>
      <c r="F174" s="1">
        <v>683</v>
      </c>
      <c r="G174" s="67">
        <v>-0.20352250489236789</v>
      </c>
      <c r="H174" s="67">
        <v>0.38539553752535499</v>
      </c>
      <c r="I174" s="1">
        <v>15522</v>
      </c>
      <c r="J174" s="1">
        <v>8733</v>
      </c>
      <c r="K174" s="1">
        <v>121271</v>
      </c>
      <c r="L174" s="1">
        <v>84275</v>
      </c>
      <c r="M174" s="18">
        <v>0.65</v>
      </c>
      <c r="N174" s="18">
        <v>0.16</v>
      </c>
      <c r="O174" s="18">
        <v>0.84</v>
      </c>
      <c r="P174" s="18">
        <v>0.59</v>
      </c>
      <c r="Q174" s="18">
        <v>0.78</v>
      </c>
      <c r="R174" s="17">
        <v>0</v>
      </c>
      <c r="S174" s="17">
        <v>0</v>
      </c>
      <c r="T174" s="1">
        <v>10</v>
      </c>
      <c r="U174" s="1" t="str">
        <f t="shared" si="9"/>
        <v>Normal</v>
      </c>
      <c r="V174" s="1" t="str">
        <f t="shared" si="10"/>
        <v>Outlier</v>
      </c>
      <c r="W174" s="19">
        <f t="shared" si="11"/>
        <v>-0.20352250489236789</v>
      </c>
      <c r="X174" s="19">
        <f t="shared" si="12"/>
        <v>0.38539553752535499</v>
      </c>
    </row>
    <row r="175" spans="1:37">
      <c r="A175" s="21">
        <v>44825</v>
      </c>
      <c r="B175" s="17">
        <f>IF(YEAR(Table9[[#This Row],[Date]]) = 2022, WEEKNUM(Table9[[#This Row],[Date]])-13, WEEKNUM(Table9[[#This Row],[Date]])+40)</f>
        <v>26</v>
      </c>
      <c r="C175" s="35" t="s">
        <v>50</v>
      </c>
      <c r="D175" s="35" t="s">
        <v>59</v>
      </c>
      <c r="E175" s="1">
        <v>804</v>
      </c>
      <c r="F175" s="1">
        <v>681</v>
      </c>
      <c r="G175" s="67">
        <v>0.40559440559440557</v>
      </c>
      <c r="H175" s="67">
        <v>1.4945054945054945</v>
      </c>
      <c r="I175" s="1">
        <v>16326</v>
      </c>
      <c r="J175" s="1">
        <v>9414</v>
      </c>
      <c r="K175" s="1">
        <v>122075</v>
      </c>
      <c r="L175" s="1">
        <v>84956</v>
      </c>
      <c r="M175" s="18">
        <v>0.5</v>
      </c>
      <c r="N175" s="18">
        <v>0.15</v>
      </c>
      <c r="O175" s="18">
        <v>0.85</v>
      </c>
      <c r="P175" s="18">
        <v>0.66</v>
      </c>
      <c r="Q175" s="18">
        <v>0.8</v>
      </c>
      <c r="R175" s="17">
        <v>0</v>
      </c>
      <c r="S175" s="17">
        <v>0</v>
      </c>
      <c r="T175" s="1">
        <v>9</v>
      </c>
      <c r="U175" s="1" t="str">
        <f t="shared" si="9"/>
        <v>Outlier</v>
      </c>
      <c r="V175" s="1" t="str">
        <f t="shared" si="10"/>
        <v>Outlier</v>
      </c>
      <c r="W175" s="19">
        <f t="shared" si="11"/>
        <v>0.40559440559440557</v>
      </c>
      <c r="X175" s="19">
        <f t="shared" si="12"/>
        <v>1.4945054945054945</v>
      </c>
    </row>
    <row r="176" spans="1:37">
      <c r="A176" s="21">
        <v>44826</v>
      </c>
      <c r="B176" s="17">
        <f>IF(YEAR(Table9[[#This Row],[Date]]) = 2022, WEEKNUM(Table9[[#This Row],[Date]])-13, WEEKNUM(Table9[[#This Row],[Date]])+40)</f>
        <v>26</v>
      </c>
      <c r="C176" s="35" t="s">
        <v>51</v>
      </c>
      <c r="D176" s="35" t="s">
        <v>59</v>
      </c>
      <c r="E176" s="1">
        <v>937</v>
      </c>
      <c r="F176" s="1">
        <v>571</v>
      </c>
      <c r="G176" s="67">
        <v>4.4593088071348944E-2</v>
      </c>
      <c r="H176" s="67">
        <v>-0.13089802130898021</v>
      </c>
      <c r="I176" s="1">
        <v>17263</v>
      </c>
      <c r="J176" s="1">
        <v>9985</v>
      </c>
      <c r="K176" s="1">
        <v>123012</v>
      </c>
      <c r="L176" s="1">
        <v>85527</v>
      </c>
      <c r="M176" s="18">
        <v>0.27</v>
      </c>
      <c r="N176" s="18">
        <v>0.39</v>
      </c>
      <c r="O176" s="18">
        <v>0.61</v>
      </c>
      <c r="P176" s="18">
        <v>0.75</v>
      </c>
      <c r="Q176" s="18">
        <v>0.8</v>
      </c>
      <c r="R176" s="17">
        <v>0</v>
      </c>
      <c r="S176" s="17">
        <v>0</v>
      </c>
      <c r="T176" s="1">
        <v>7</v>
      </c>
      <c r="U176" s="1" t="str">
        <f t="shared" si="9"/>
        <v>Normal</v>
      </c>
      <c r="V176" s="1" t="str">
        <f t="shared" si="10"/>
        <v>Normal</v>
      </c>
      <c r="W176" s="19">
        <f t="shared" si="11"/>
        <v>4.4593088071348944E-2</v>
      </c>
      <c r="X176" s="19">
        <f t="shared" si="12"/>
        <v>-0.13089802130898021</v>
      </c>
    </row>
    <row r="177" spans="1:39">
      <c r="A177" s="21">
        <v>44827</v>
      </c>
      <c r="B177" s="17">
        <f>IF(YEAR(Table9[[#This Row],[Date]]) = 2022, WEEKNUM(Table9[[#This Row],[Date]])-13, WEEKNUM(Table9[[#This Row],[Date]])+40)</f>
        <v>26</v>
      </c>
      <c r="C177" s="35" t="s">
        <v>52</v>
      </c>
      <c r="D177" s="35" t="s">
        <v>59</v>
      </c>
      <c r="E177" s="1">
        <v>1029</v>
      </c>
      <c r="F177" s="1">
        <v>526</v>
      </c>
      <c r="G177" s="67">
        <v>0.16402714932126697</v>
      </c>
      <c r="H177" s="67">
        <v>-0.23878437047756873</v>
      </c>
      <c r="I177" s="1">
        <v>18292</v>
      </c>
      <c r="J177" s="1">
        <v>10511</v>
      </c>
      <c r="K177" s="1">
        <v>124041</v>
      </c>
      <c r="L177" s="1">
        <v>86053</v>
      </c>
      <c r="M177" s="18">
        <v>0.27</v>
      </c>
      <c r="N177" s="18">
        <v>0.49</v>
      </c>
      <c r="O177" s="18">
        <v>0.51</v>
      </c>
      <c r="P177" s="18">
        <v>0.89</v>
      </c>
      <c r="Q177" s="18">
        <v>0.78</v>
      </c>
      <c r="R177" s="17">
        <v>0</v>
      </c>
      <c r="S177" s="17">
        <v>0</v>
      </c>
      <c r="T177" s="1">
        <v>7</v>
      </c>
      <c r="U177" s="1" t="str">
        <f t="shared" si="9"/>
        <v>Normal</v>
      </c>
      <c r="V177" s="1" t="str">
        <f t="shared" si="10"/>
        <v>Normal</v>
      </c>
      <c r="W177" s="19">
        <f t="shared" si="11"/>
        <v>0.16402714932126697</v>
      </c>
      <c r="X177" s="19">
        <f t="shared" si="12"/>
        <v>-0.23878437047756873</v>
      </c>
    </row>
    <row r="178" spans="1:39">
      <c r="A178" s="21">
        <v>44828</v>
      </c>
      <c r="B178" s="17">
        <f>IF(YEAR(Table9[[#This Row],[Date]]) = 2022, WEEKNUM(Table9[[#This Row],[Date]])-13, WEEKNUM(Table9[[#This Row],[Date]])+40)</f>
        <v>26</v>
      </c>
      <c r="C178" s="35" t="s">
        <v>53</v>
      </c>
      <c r="D178" s="35" t="s">
        <v>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7">
        <v>0</v>
      </c>
      <c r="S178" s="17">
        <v>0</v>
      </c>
      <c r="T178" s="1">
        <v>0</v>
      </c>
      <c r="U178" s="1" t="str">
        <f t="shared" si="9"/>
        <v>Normal</v>
      </c>
      <c r="V178" s="1" t="str">
        <f t="shared" si="10"/>
        <v>Normal</v>
      </c>
      <c r="W178" s="19">
        <f t="shared" si="11"/>
        <v>0</v>
      </c>
      <c r="X178" s="19">
        <f t="shared" si="12"/>
        <v>0</v>
      </c>
      <c r="AH178" t="s">
        <v>63</v>
      </c>
    </row>
    <row r="179" spans="1:39">
      <c r="A179" s="21">
        <v>44829</v>
      </c>
      <c r="B179" s="17">
        <f>IF(YEAR(Table9[[#This Row],[Date]]) = 2022, WEEKNUM(Table9[[#This Row],[Date]])-13, WEEKNUM(Table9[[#This Row],[Date]])+40)</f>
        <v>27</v>
      </c>
      <c r="C179" s="35" t="s">
        <v>47</v>
      </c>
      <c r="D179" s="35" t="s">
        <v>59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7">
        <v>0</v>
      </c>
      <c r="S179" s="17">
        <v>0</v>
      </c>
      <c r="T179" s="1">
        <v>0</v>
      </c>
      <c r="U179" s="1" t="str">
        <f t="shared" si="9"/>
        <v>Normal</v>
      </c>
      <c r="V179" s="1" t="str">
        <f t="shared" si="10"/>
        <v>Normal</v>
      </c>
      <c r="W179" s="19">
        <f t="shared" si="11"/>
        <v>0</v>
      </c>
      <c r="X179" s="19">
        <f t="shared" si="12"/>
        <v>0</v>
      </c>
    </row>
    <row r="180" spans="1:39">
      <c r="A180" s="21">
        <v>44830</v>
      </c>
      <c r="B180" s="17">
        <f>IF(YEAR(Table9[[#This Row],[Date]]) = 2022, WEEKNUM(Table9[[#This Row],[Date]])-13, WEEKNUM(Table9[[#This Row],[Date]])+40)</f>
        <v>27</v>
      </c>
      <c r="C180" s="35" t="s">
        <v>48</v>
      </c>
      <c r="D180" s="35" t="s">
        <v>59</v>
      </c>
      <c r="E180" s="1">
        <v>1457</v>
      </c>
      <c r="F180" s="1">
        <v>481</v>
      </c>
      <c r="G180" s="67">
        <v>0.37064910630291625</v>
      </c>
      <c r="H180" s="67">
        <v>-0.29781021897810217</v>
      </c>
      <c r="I180" s="1">
        <v>19749</v>
      </c>
      <c r="J180" s="1">
        <v>10992</v>
      </c>
      <c r="K180" s="1">
        <v>125498</v>
      </c>
      <c r="L180" s="1">
        <v>86534</v>
      </c>
      <c r="M180" s="18">
        <v>0.16</v>
      </c>
      <c r="N180" s="18">
        <v>0.67</v>
      </c>
      <c r="O180" s="18">
        <v>0.33</v>
      </c>
      <c r="P180" s="18">
        <v>0.78</v>
      </c>
      <c r="Q180" s="18">
        <v>0.8</v>
      </c>
      <c r="R180" s="17">
        <v>0</v>
      </c>
      <c r="S180" s="17">
        <v>0</v>
      </c>
      <c r="T180" s="1">
        <v>7</v>
      </c>
      <c r="U180" s="1" t="str">
        <f t="shared" si="9"/>
        <v>Outlier</v>
      </c>
      <c r="V180" s="1" t="str">
        <f t="shared" si="10"/>
        <v>Normal</v>
      </c>
      <c r="W180" s="19">
        <f t="shared" si="11"/>
        <v>0.37064910630291625</v>
      </c>
      <c r="X180" s="19">
        <f t="shared" si="12"/>
        <v>-0.29781021897810217</v>
      </c>
    </row>
    <row r="181" spans="1:39">
      <c r="A181" s="21">
        <v>44831</v>
      </c>
      <c r="B181" s="17">
        <f>IF(YEAR(Table9[[#This Row],[Date]]) = 2022, WEEKNUM(Table9[[#This Row],[Date]])-13, WEEKNUM(Table9[[#This Row],[Date]])+40)</f>
        <v>27</v>
      </c>
      <c r="C181" s="35" t="s">
        <v>49</v>
      </c>
      <c r="D181" s="35" t="s">
        <v>59</v>
      </c>
      <c r="E181" s="1">
        <v>1138</v>
      </c>
      <c r="F181" s="1">
        <v>574</v>
      </c>
      <c r="G181" s="67">
        <v>0.39803439803439805</v>
      </c>
      <c r="H181" s="67">
        <v>-0.1595900439238653</v>
      </c>
      <c r="I181" s="1">
        <v>20887</v>
      </c>
      <c r="J181" s="1">
        <v>11566</v>
      </c>
      <c r="K181" s="1">
        <v>126636</v>
      </c>
      <c r="L181" s="1">
        <v>87108</v>
      </c>
      <c r="M181" s="18">
        <v>0.13</v>
      </c>
      <c r="N181" s="18">
        <v>0.5</v>
      </c>
      <c r="O181" s="18">
        <v>0.5</v>
      </c>
      <c r="P181" s="18">
        <v>0.71</v>
      </c>
      <c r="Q181" s="18">
        <v>0.75</v>
      </c>
      <c r="R181" s="17">
        <v>0</v>
      </c>
      <c r="S181" s="17">
        <v>0</v>
      </c>
      <c r="T181" s="1">
        <v>9</v>
      </c>
      <c r="U181" s="1" t="str">
        <f t="shared" si="9"/>
        <v>Outlier</v>
      </c>
      <c r="V181" s="1" t="str">
        <f t="shared" si="10"/>
        <v>Normal</v>
      </c>
      <c r="W181" s="19">
        <f t="shared" si="11"/>
        <v>0.39803439803439805</v>
      </c>
      <c r="X181" s="19">
        <f t="shared" si="12"/>
        <v>-0.1595900439238653</v>
      </c>
    </row>
    <row r="182" spans="1:39">
      <c r="A182" s="21">
        <v>44832</v>
      </c>
      <c r="B182" s="17">
        <f>IF(YEAR(Table9[[#This Row],[Date]]) = 2022, WEEKNUM(Table9[[#This Row],[Date]])-13, WEEKNUM(Table9[[#This Row],[Date]])+40)</f>
        <v>27</v>
      </c>
      <c r="C182" s="35" t="s">
        <v>50</v>
      </c>
      <c r="D182" s="35" t="s">
        <v>59</v>
      </c>
      <c r="E182" s="1">
        <v>1161</v>
      </c>
      <c r="F182" s="1">
        <v>409</v>
      </c>
      <c r="G182" s="67">
        <v>0.44402985074626866</v>
      </c>
      <c r="H182" s="67">
        <v>-0.39941262848751835</v>
      </c>
      <c r="I182" s="1">
        <v>22048</v>
      </c>
      <c r="J182" s="1">
        <v>11975</v>
      </c>
      <c r="K182" s="1">
        <v>127797</v>
      </c>
      <c r="L182" s="1">
        <v>87517</v>
      </c>
      <c r="M182" s="18">
        <v>0.13</v>
      </c>
      <c r="N182" s="18">
        <v>0.65</v>
      </c>
      <c r="O182" s="18">
        <v>0.35</v>
      </c>
      <c r="P182" s="18">
        <v>0.64</v>
      </c>
      <c r="Q182" s="18">
        <v>0.78</v>
      </c>
      <c r="R182" s="17">
        <v>0</v>
      </c>
      <c r="S182" s="17">
        <v>0</v>
      </c>
      <c r="T182" s="1">
        <v>8</v>
      </c>
      <c r="U182" s="1" t="str">
        <f t="shared" si="9"/>
        <v>Outlier</v>
      </c>
      <c r="V182" s="1" t="str">
        <f t="shared" si="10"/>
        <v>Outlier</v>
      </c>
      <c r="W182" s="19">
        <f t="shared" si="11"/>
        <v>0.44402985074626866</v>
      </c>
      <c r="X182" s="19">
        <f t="shared" si="12"/>
        <v>-0.39941262848751835</v>
      </c>
    </row>
    <row r="183" spans="1:39">
      <c r="A183" s="21">
        <v>44833</v>
      </c>
      <c r="B183" s="17">
        <f>IF(YEAR(Table9[[#This Row],[Date]]) = 2022, WEEKNUM(Table9[[#This Row],[Date]])-13, WEEKNUM(Table9[[#This Row],[Date]])+40)</f>
        <v>27</v>
      </c>
      <c r="C183" s="35" t="s">
        <v>51</v>
      </c>
      <c r="D183" s="35" t="s">
        <v>59</v>
      </c>
      <c r="E183" s="1">
        <v>1057</v>
      </c>
      <c r="F183" s="1">
        <v>644</v>
      </c>
      <c r="G183" s="67">
        <v>0.12806830309498399</v>
      </c>
      <c r="H183" s="67">
        <v>0.12784588441330999</v>
      </c>
      <c r="I183" s="1">
        <v>23105</v>
      </c>
      <c r="J183" s="1">
        <v>12619</v>
      </c>
      <c r="K183" s="1">
        <v>128854</v>
      </c>
      <c r="L183" s="1">
        <v>88161</v>
      </c>
      <c r="M183" s="18">
        <v>0.23</v>
      </c>
      <c r="N183" s="18">
        <v>0.39</v>
      </c>
      <c r="O183" s="18">
        <v>0.61</v>
      </c>
      <c r="P183" s="18">
        <v>0.83</v>
      </c>
      <c r="Q183" s="18">
        <v>0.77</v>
      </c>
      <c r="R183" s="17">
        <v>0</v>
      </c>
      <c r="S183" s="17">
        <v>0</v>
      </c>
      <c r="T183" s="1">
        <v>8</v>
      </c>
      <c r="U183" s="1" t="str">
        <f t="shared" si="9"/>
        <v>Normal</v>
      </c>
      <c r="V183" s="1" t="str">
        <f t="shared" si="10"/>
        <v>Normal</v>
      </c>
      <c r="W183" s="19">
        <f t="shared" si="11"/>
        <v>0.12806830309498399</v>
      </c>
      <c r="X183" s="19">
        <f t="shared" si="12"/>
        <v>0.12784588441330999</v>
      </c>
    </row>
    <row r="184" spans="1:39" s="50" customFormat="1">
      <c r="A184" s="54">
        <v>44834</v>
      </c>
      <c r="B184" s="131">
        <f>IF(YEAR(Table9[[#This Row],[Date]]) = 2022, WEEKNUM(Table9[[#This Row],[Date]])-13, WEEKNUM(Table9[[#This Row],[Date]])+40)</f>
        <v>27</v>
      </c>
      <c r="C184" s="51" t="s">
        <v>52</v>
      </c>
      <c r="D184" s="51" t="s">
        <v>59</v>
      </c>
      <c r="E184" s="52">
        <v>977</v>
      </c>
      <c r="F184" s="52">
        <v>620</v>
      </c>
      <c r="G184" s="81">
        <v>-5.0534499514091349E-2</v>
      </c>
      <c r="H184" s="81">
        <v>0.17870722433460076</v>
      </c>
      <c r="I184" s="52">
        <v>24082</v>
      </c>
      <c r="J184" s="52">
        <v>13239</v>
      </c>
      <c r="K184" s="52">
        <v>129831</v>
      </c>
      <c r="L184" s="52">
        <v>88781</v>
      </c>
      <c r="M184" s="53">
        <v>0.18</v>
      </c>
      <c r="N184" s="53">
        <v>0.37</v>
      </c>
      <c r="O184" s="53">
        <v>0.63</v>
      </c>
      <c r="P184" s="53">
        <v>0.86</v>
      </c>
      <c r="Q184" s="53">
        <v>0.78</v>
      </c>
      <c r="R184" s="131">
        <v>0</v>
      </c>
      <c r="S184" s="131">
        <v>0</v>
      </c>
      <c r="T184" s="52">
        <v>8</v>
      </c>
      <c r="U184" s="52" t="str">
        <f t="shared" si="9"/>
        <v>Normal</v>
      </c>
      <c r="V184" s="52" t="str">
        <f t="shared" si="10"/>
        <v>Normal</v>
      </c>
      <c r="W184" s="143">
        <f t="shared" si="11"/>
        <v>-5.0534499514091349E-2</v>
      </c>
      <c r="X184" s="143">
        <f t="shared" si="12"/>
        <v>0.17870722433460076</v>
      </c>
      <c r="AK184"/>
      <c r="AL184"/>
      <c r="AM184"/>
    </row>
    <row r="185" spans="1:39">
      <c r="A185" s="21">
        <v>44835</v>
      </c>
      <c r="B185" s="17">
        <f>IF(YEAR(Table9[[#This Row],[Date]]) = 2022, WEEKNUM(Table9[[#This Row],[Date]])-13, WEEKNUM(Table9[[#This Row],[Date]])+40)</f>
        <v>27</v>
      </c>
      <c r="C185" s="35" t="s">
        <v>53</v>
      </c>
      <c r="D185" s="35" t="s">
        <v>59</v>
      </c>
      <c r="E185" s="1">
        <v>535</v>
      </c>
      <c r="F185" s="1">
        <v>388</v>
      </c>
      <c r="G185" s="67">
        <v>0</v>
      </c>
      <c r="H185" s="67">
        <v>0</v>
      </c>
      <c r="I185" s="1">
        <v>535</v>
      </c>
      <c r="J185" s="1">
        <v>388</v>
      </c>
      <c r="K185" s="1">
        <v>130366</v>
      </c>
      <c r="L185" s="1">
        <v>89169</v>
      </c>
      <c r="M185" s="18">
        <v>0.33</v>
      </c>
      <c r="N185" s="18">
        <v>0.27</v>
      </c>
      <c r="O185" s="18">
        <v>0.73</v>
      </c>
      <c r="P185" s="18">
        <v>0.76</v>
      </c>
      <c r="Q185" s="18">
        <v>0.86</v>
      </c>
      <c r="R185" s="17">
        <v>0</v>
      </c>
      <c r="S185" s="17">
        <v>0</v>
      </c>
      <c r="T185" s="1">
        <v>7</v>
      </c>
      <c r="U185" s="1" t="str">
        <f t="shared" si="9"/>
        <v>Normal</v>
      </c>
      <c r="V185" s="1" t="str">
        <f t="shared" si="10"/>
        <v>Normal</v>
      </c>
      <c r="W185" s="19">
        <f t="shared" si="11"/>
        <v>0</v>
      </c>
      <c r="X185" s="19">
        <f t="shared" si="12"/>
        <v>0</v>
      </c>
    </row>
    <row r="186" spans="1:39">
      <c r="A186" s="21">
        <v>44836</v>
      </c>
      <c r="B186" s="17">
        <f>IF(YEAR(Table9[[#This Row],[Date]]) = 2022, WEEKNUM(Table9[[#This Row],[Date]])-13, WEEKNUM(Table9[[#This Row],[Date]])+40)</f>
        <v>28</v>
      </c>
      <c r="C186" s="35" t="s">
        <v>47</v>
      </c>
      <c r="D186" s="35" t="s">
        <v>59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7">
        <v>0</v>
      </c>
      <c r="S186" s="17">
        <v>0</v>
      </c>
      <c r="T186" s="1">
        <v>0</v>
      </c>
      <c r="U186" s="1" t="str">
        <f t="shared" si="9"/>
        <v>Normal</v>
      </c>
      <c r="V186" s="1" t="str">
        <f t="shared" si="10"/>
        <v>Normal</v>
      </c>
      <c r="W186" s="19">
        <f t="shared" si="11"/>
        <v>0</v>
      </c>
      <c r="X186" s="19">
        <f t="shared" si="12"/>
        <v>0</v>
      </c>
    </row>
    <row r="187" spans="1:39">
      <c r="A187" s="21">
        <v>44837</v>
      </c>
      <c r="B187" s="17">
        <f>IF(YEAR(Table9[[#This Row],[Date]]) = 2022, WEEKNUM(Table9[[#This Row],[Date]])-13, WEEKNUM(Table9[[#This Row],[Date]])+40)</f>
        <v>28</v>
      </c>
      <c r="C187" s="35" t="s">
        <v>48</v>
      </c>
      <c r="D187" s="35" t="s">
        <v>59</v>
      </c>
      <c r="E187" s="1">
        <v>1149</v>
      </c>
      <c r="F187" s="1">
        <v>417</v>
      </c>
      <c r="G187" s="67">
        <v>-0.21139327385037748</v>
      </c>
      <c r="H187" s="67">
        <v>-0.13305613305613306</v>
      </c>
      <c r="I187" s="1">
        <v>1684</v>
      </c>
      <c r="J187" s="1">
        <v>805</v>
      </c>
      <c r="K187" s="1">
        <v>131515</v>
      </c>
      <c r="L187" s="1">
        <v>89586</v>
      </c>
      <c r="M187" s="18">
        <v>0.15</v>
      </c>
      <c r="N187" s="18">
        <v>0.64</v>
      </c>
      <c r="O187" s="18">
        <v>0.36</v>
      </c>
      <c r="P187" s="18">
        <v>0.69</v>
      </c>
      <c r="Q187" s="18">
        <v>0.77</v>
      </c>
      <c r="R187" s="17">
        <v>0</v>
      </c>
      <c r="S187" s="17">
        <v>0</v>
      </c>
      <c r="T187" s="1">
        <v>8</v>
      </c>
      <c r="U187" s="1" t="str">
        <f t="shared" si="9"/>
        <v>Normal</v>
      </c>
      <c r="V187" s="1" t="str">
        <f t="shared" si="10"/>
        <v>Normal</v>
      </c>
      <c r="W187" s="19">
        <f t="shared" si="11"/>
        <v>-0.21139327385037748</v>
      </c>
      <c r="X187" s="19">
        <f t="shared" si="12"/>
        <v>-0.13305613305613306</v>
      </c>
    </row>
    <row r="188" spans="1:39">
      <c r="A188" s="21">
        <v>44838</v>
      </c>
      <c r="B188" s="17">
        <f>IF(YEAR(Table9[[#This Row],[Date]]) = 2022, WEEKNUM(Table9[[#This Row],[Date]])-13, WEEKNUM(Table9[[#This Row],[Date]])+40)</f>
        <v>28</v>
      </c>
      <c r="C188" s="35" t="s">
        <v>49</v>
      </c>
      <c r="D188" s="35" t="s">
        <v>59</v>
      </c>
      <c r="E188" s="1">
        <v>1209</v>
      </c>
      <c r="F188" s="1">
        <v>436</v>
      </c>
      <c r="G188" s="67">
        <v>6.2390158172231987E-2</v>
      </c>
      <c r="H188" s="67">
        <v>-0.24041811846689895</v>
      </c>
      <c r="I188" s="1">
        <v>2893</v>
      </c>
      <c r="J188" s="1">
        <v>1241</v>
      </c>
      <c r="K188" s="1">
        <v>132724</v>
      </c>
      <c r="L188" s="1">
        <v>90022</v>
      </c>
      <c r="M188" s="18">
        <v>0.17</v>
      </c>
      <c r="N188" s="18">
        <v>0.64</v>
      </c>
      <c r="O188" s="18">
        <v>0.36</v>
      </c>
      <c r="P188" s="18">
        <v>0.74</v>
      </c>
      <c r="Q188" s="18">
        <v>0.77</v>
      </c>
      <c r="R188" s="17">
        <v>0</v>
      </c>
      <c r="S188" s="17">
        <v>0</v>
      </c>
      <c r="T188" s="1">
        <v>8</v>
      </c>
      <c r="U188" s="1" t="str">
        <f t="shared" si="9"/>
        <v>Normal</v>
      </c>
      <c r="V188" s="1" t="str">
        <f t="shared" si="10"/>
        <v>Normal</v>
      </c>
      <c r="W188" s="19">
        <f t="shared" si="11"/>
        <v>6.2390158172231987E-2</v>
      </c>
      <c r="X188" s="19">
        <f t="shared" si="12"/>
        <v>-0.24041811846689895</v>
      </c>
    </row>
    <row r="189" spans="1:39">
      <c r="A189" s="21">
        <v>44839</v>
      </c>
      <c r="B189" s="17">
        <f>IF(YEAR(Table9[[#This Row],[Date]]) = 2022, WEEKNUM(Table9[[#This Row],[Date]])-13, WEEKNUM(Table9[[#This Row],[Date]])+40)</f>
        <v>28</v>
      </c>
      <c r="C189" s="35" t="s">
        <v>50</v>
      </c>
      <c r="D189" s="35" t="s">
        <v>59</v>
      </c>
      <c r="E189" s="1">
        <v>815</v>
      </c>
      <c r="F189" s="1">
        <v>419</v>
      </c>
      <c r="G189" s="67">
        <v>-0.29801894918173988</v>
      </c>
      <c r="H189" s="67">
        <v>2.4449877750611249E-2</v>
      </c>
      <c r="I189" s="1">
        <v>3708</v>
      </c>
      <c r="J189" s="1">
        <v>1660</v>
      </c>
      <c r="K189" s="1">
        <v>133539</v>
      </c>
      <c r="L189" s="1">
        <v>90441</v>
      </c>
      <c r="M189" s="18">
        <v>0.16</v>
      </c>
      <c r="N189" s="18">
        <v>0.49</v>
      </c>
      <c r="O189" s="18">
        <v>0.51</v>
      </c>
      <c r="P189" s="18">
        <v>0.85</v>
      </c>
      <c r="Q189" s="18">
        <v>0.78</v>
      </c>
      <c r="R189" s="17">
        <v>0</v>
      </c>
      <c r="S189" s="17">
        <v>0</v>
      </c>
      <c r="T189" s="1">
        <v>7</v>
      </c>
      <c r="U189" s="1" t="str">
        <f t="shared" si="9"/>
        <v>Outlier</v>
      </c>
      <c r="V189" s="1" t="str">
        <f t="shared" si="10"/>
        <v>Normal</v>
      </c>
      <c r="W189" s="19">
        <f t="shared" si="11"/>
        <v>-0.29801894918173988</v>
      </c>
      <c r="X189" s="19">
        <f t="shared" si="12"/>
        <v>2.4449877750611249E-2</v>
      </c>
    </row>
    <row r="190" spans="1:39">
      <c r="A190" s="21">
        <v>44840</v>
      </c>
      <c r="B190" s="17">
        <f>IF(YEAR(Table9[[#This Row],[Date]]) = 2022, WEEKNUM(Table9[[#This Row],[Date]])-13, WEEKNUM(Table9[[#This Row],[Date]])+40)</f>
        <v>28</v>
      </c>
      <c r="C190" s="35" t="s">
        <v>51</v>
      </c>
      <c r="D190" s="35" t="s">
        <v>59</v>
      </c>
      <c r="E190" s="1">
        <v>1111</v>
      </c>
      <c r="F190" s="1">
        <v>227</v>
      </c>
      <c r="G190" s="67">
        <v>5.1087984862819298E-2</v>
      </c>
      <c r="H190" s="67">
        <v>-0.64751552795031053</v>
      </c>
      <c r="I190" s="1">
        <v>4819</v>
      </c>
      <c r="J190" s="1">
        <v>1887</v>
      </c>
      <c r="K190" s="1">
        <v>134650</v>
      </c>
      <c r="L190" s="1">
        <v>90668</v>
      </c>
      <c r="M190" s="18">
        <v>0.21</v>
      </c>
      <c r="N190" s="18">
        <v>0.8</v>
      </c>
      <c r="O190" s="18">
        <v>0.2</v>
      </c>
      <c r="P190" s="18">
        <v>0.79</v>
      </c>
      <c r="Q190" s="18">
        <v>0.77</v>
      </c>
      <c r="R190" s="17">
        <v>0</v>
      </c>
      <c r="S190" s="17">
        <v>0</v>
      </c>
      <c r="T190" s="1">
        <v>4</v>
      </c>
      <c r="U190" s="1" t="str">
        <f t="shared" si="9"/>
        <v>Normal</v>
      </c>
      <c r="V190" s="1" t="str">
        <f t="shared" si="10"/>
        <v>Outlier</v>
      </c>
      <c r="W190" s="19">
        <f t="shared" si="11"/>
        <v>5.1087984862819298E-2</v>
      </c>
      <c r="X190" s="19">
        <f t="shared" si="12"/>
        <v>-0.64751552795031053</v>
      </c>
    </row>
    <row r="191" spans="1:39">
      <c r="A191" s="21">
        <v>44841</v>
      </c>
      <c r="B191" s="17">
        <f>IF(YEAR(Table9[[#This Row],[Date]]) = 2022, WEEKNUM(Table9[[#This Row],[Date]])-13, WEEKNUM(Table9[[#This Row],[Date]])+40)</f>
        <v>28</v>
      </c>
      <c r="C191" s="35" t="s">
        <v>52</v>
      </c>
      <c r="D191" s="35" t="s">
        <v>59</v>
      </c>
      <c r="E191" s="1">
        <v>1107</v>
      </c>
      <c r="F191" s="1">
        <v>559</v>
      </c>
      <c r="G191" s="67">
        <v>0.13306038894575231</v>
      </c>
      <c r="H191" s="67">
        <v>-9.838709677419355E-2</v>
      </c>
      <c r="I191" s="1">
        <v>5926</v>
      </c>
      <c r="J191" s="1">
        <v>2446</v>
      </c>
      <c r="K191" s="1">
        <v>135757</v>
      </c>
      <c r="L191" s="1">
        <v>91227</v>
      </c>
      <c r="M191" s="18">
        <v>0.2</v>
      </c>
      <c r="N191" s="18">
        <v>0.49</v>
      </c>
      <c r="O191" s="18">
        <v>0.51</v>
      </c>
      <c r="P191" s="18">
        <v>0.83</v>
      </c>
      <c r="Q191" s="18">
        <v>0.8</v>
      </c>
      <c r="R191" s="17">
        <v>0</v>
      </c>
      <c r="S191" s="17">
        <v>0</v>
      </c>
      <c r="T191" s="1">
        <v>8</v>
      </c>
      <c r="U191" s="1" t="str">
        <f t="shared" si="9"/>
        <v>Normal</v>
      </c>
      <c r="V191" s="1" t="str">
        <f t="shared" si="10"/>
        <v>Normal</v>
      </c>
      <c r="W191" s="19">
        <f t="shared" si="11"/>
        <v>0.13306038894575231</v>
      </c>
      <c r="X191" s="19">
        <f t="shared" si="12"/>
        <v>-9.838709677419355E-2</v>
      </c>
    </row>
    <row r="192" spans="1:39">
      <c r="A192" s="21">
        <v>44842</v>
      </c>
      <c r="B192" s="17">
        <f>IF(YEAR(Table9[[#This Row],[Date]]) = 2022, WEEKNUM(Table9[[#This Row],[Date]])-13, WEEKNUM(Table9[[#This Row],[Date]])+40)</f>
        <v>28</v>
      </c>
      <c r="C192" s="35" t="s">
        <v>53</v>
      </c>
      <c r="D192" s="35" t="s">
        <v>59</v>
      </c>
      <c r="E192" s="1">
        <v>581</v>
      </c>
      <c r="F192" s="1">
        <v>314</v>
      </c>
      <c r="G192" s="67">
        <v>8.5981308411214957E-2</v>
      </c>
      <c r="H192" s="67">
        <v>-0.19072164948453607</v>
      </c>
      <c r="I192" s="1">
        <v>6507</v>
      </c>
      <c r="J192" s="1">
        <v>2760</v>
      </c>
      <c r="K192" s="1">
        <v>136338</v>
      </c>
      <c r="L192" s="1">
        <v>91541</v>
      </c>
      <c r="M192" s="18">
        <v>0.22</v>
      </c>
      <c r="N192" s="18">
        <v>0.46</v>
      </c>
      <c r="O192" s="18">
        <v>0.54</v>
      </c>
      <c r="P192" s="18">
        <v>0.85</v>
      </c>
      <c r="Q192" s="18">
        <v>0.88</v>
      </c>
      <c r="R192" s="17">
        <v>0</v>
      </c>
      <c r="S192" s="17">
        <v>0</v>
      </c>
      <c r="T192" s="1">
        <v>7</v>
      </c>
      <c r="U192" s="1" t="str">
        <f t="shared" si="9"/>
        <v>Normal</v>
      </c>
      <c r="V192" s="1" t="str">
        <f t="shared" si="10"/>
        <v>Normal</v>
      </c>
      <c r="W192" s="19">
        <f t="shared" si="11"/>
        <v>8.5981308411214957E-2</v>
      </c>
      <c r="X192" s="19">
        <f t="shared" si="12"/>
        <v>-0.19072164948453607</v>
      </c>
    </row>
    <row r="193" spans="1:24">
      <c r="A193" s="21">
        <v>44843</v>
      </c>
      <c r="B193" s="17">
        <f>IF(YEAR(Table9[[#This Row],[Date]]) = 2022, WEEKNUM(Table9[[#This Row],[Date]])-13, WEEKNUM(Table9[[#This Row],[Date]])+40)</f>
        <v>29</v>
      </c>
      <c r="C193" s="35" t="s">
        <v>47</v>
      </c>
      <c r="D193" s="35" t="s">
        <v>59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7">
        <v>0</v>
      </c>
      <c r="S193" s="17">
        <v>0</v>
      </c>
      <c r="T193" s="1">
        <v>0</v>
      </c>
      <c r="U193" s="1" t="str">
        <f t="shared" si="9"/>
        <v>Normal</v>
      </c>
      <c r="V193" s="1" t="str">
        <f t="shared" si="10"/>
        <v>Normal</v>
      </c>
      <c r="W193" s="19">
        <f t="shared" si="11"/>
        <v>0</v>
      </c>
      <c r="X193" s="19">
        <f t="shared" si="12"/>
        <v>0</v>
      </c>
    </row>
    <row r="194" spans="1:24">
      <c r="A194" s="21">
        <v>44844</v>
      </c>
      <c r="B194" s="17">
        <f>IF(YEAR(Table9[[#This Row],[Date]]) = 2022, WEEKNUM(Table9[[#This Row],[Date]])-13, WEEKNUM(Table9[[#This Row],[Date]])+40)</f>
        <v>29</v>
      </c>
      <c r="C194" s="35" t="s">
        <v>48</v>
      </c>
      <c r="D194" s="35" t="s">
        <v>59</v>
      </c>
      <c r="E194" s="1">
        <v>1102</v>
      </c>
      <c r="F194" s="1">
        <v>751</v>
      </c>
      <c r="G194" s="67">
        <v>-4.0905134899912966E-2</v>
      </c>
      <c r="H194" s="67">
        <v>0.80095923261390889</v>
      </c>
      <c r="I194" s="1">
        <v>7609</v>
      </c>
      <c r="J194" s="1">
        <v>3511</v>
      </c>
      <c r="K194" s="1">
        <v>137440</v>
      </c>
      <c r="L194" s="1">
        <v>92292</v>
      </c>
      <c r="M194" s="18">
        <v>0.25</v>
      </c>
      <c r="N194" s="18">
        <v>0.32</v>
      </c>
      <c r="O194" s="18">
        <v>0.68</v>
      </c>
      <c r="P194" s="18">
        <v>0.74</v>
      </c>
      <c r="Q194" s="18">
        <v>0.78</v>
      </c>
      <c r="R194" s="17">
        <v>0</v>
      </c>
      <c r="S194" s="17">
        <v>0</v>
      </c>
      <c r="T194" s="1">
        <v>11</v>
      </c>
      <c r="U194" s="1" t="str">
        <f t="shared" si="9"/>
        <v>Normal</v>
      </c>
      <c r="V194" s="1" t="str">
        <f t="shared" si="10"/>
        <v>Outlier</v>
      </c>
      <c r="W194" s="19">
        <f t="shared" si="11"/>
        <v>-4.0905134899912966E-2</v>
      </c>
      <c r="X194" s="19">
        <f t="shared" si="12"/>
        <v>0.80095923261390889</v>
      </c>
    </row>
    <row r="195" spans="1:24">
      <c r="A195" s="21">
        <v>44845</v>
      </c>
      <c r="B195" s="17">
        <f>IF(YEAR(Table9[[#This Row],[Date]]) = 2022, WEEKNUM(Table9[[#This Row],[Date]])-13, WEEKNUM(Table9[[#This Row],[Date]])+40)</f>
        <v>29</v>
      </c>
      <c r="C195" s="35" t="s">
        <v>49</v>
      </c>
      <c r="D195" s="35" t="s">
        <v>59</v>
      </c>
      <c r="E195" s="1">
        <v>890</v>
      </c>
      <c r="F195" s="1">
        <v>656</v>
      </c>
      <c r="G195" s="67">
        <v>-0.26385442514474772</v>
      </c>
      <c r="H195" s="67">
        <v>0.50458715596330272</v>
      </c>
      <c r="I195" s="1">
        <v>8499</v>
      </c>
      <c r="J195" s="1">
        <v>4167</v>
      </c>
      <c r="K195" s="1">
        <v>138330</v>
      </c>
      <c r="L195" s="1">
        <v>92948</v>
      </c>
      <c r="M195" s="69">
        <v>0.42</v>
      </c>
      <c r="N195" s="69">
        <v>0.26</v>
      </c>
      <c r="O195" s="69">
        <v>0.74</v>
      </c>
      <c r="P195" s="69">
        <v>0.73</v>
      </c>
      <c r="Q195" s="69">
        <v>0.8</v>
      </c>
      <c r="R195" s="117">
        <v>0</v>
      </c>
      <c r="S195" s="117">
        <v>0</v>
      </c>
      <c r="T195" s="1">
        <v>10</v>
      </c>
      <c r="U195" s="1" t="str">
        <f t="shared" ref="U195:U258" si="13">IF(OR(G195&lt;$AA$5,G195&gt;$AB$5), "Outlier", "Normal")</f>
        <v>Outlier</v>
      </c>
      <c r="V195" s="1" t="str">
        <f t="shared" ref="V195:V258" si="14">IF(OR(H195&lt;$AA$6,H195&gt;$AB$6), "Outlier", "Normal")</f>
        <v>Outlier</v>
      </c>
      <c r="W195" s="19">
        <f t="shared" ref="W195:W258" si="15">IF(U195="Normal",$G195,IF($G195&lt;150%, $G195, $AA$9))</f>
        <v>-0.26385442514474772</v>
      </c>
      <c r="X195" s="19">
        <f t="shared" ref="X195:X258" si="16">IF(V195="Normal",$H195,IF($H195&lt;150%, $H195, $AE$9))</f>
        <v>0.50458715596330272</v>
      </c>
    </row>
    <row r="196" spans="1:24">
      <c r="A196" s="21">
        <v>44846</v>
      </c>
      <c r="B196" s="17">
        <f>IF(YEAR(Table9[[#This Row],[Date]]) = 2022, WEEKNUM(Table9[[#This Row],[Date]])-13, WEEKNUM(Table9[[#This Row],[Date]])+40)</f>
        <v>29</v>
      </c>
      <c r="C196" s="35" t="s">
        <v>50</v>
      </c>
      <c r="D196" s="35" t="s">
        <v>59</v>
      </c>
      <c r="E196" s="1">
        <v>848</v>
      </c>
      <c r="F196" s="1">
        <v>724</v>
      </c>
      <c r="G196" s="67">
        <v>4.0490797546012272E-2</v>
      </c>
      <c r="H196" s="67">
        <v>0.72792362768496421</v>
      </c>
      <c r="I196" s="1">
        <v>9347</v>
      </c>
      <c r="J196" s="1">
        <v>4891</v>
      </c>
      <c r="K196" s="1">
        <v>139178</v>
      </c>
      <c r="L196" s="1">
        <v>93672</v>
      </c>
      <c r="M196" s="18">
        <v>0.85</v>
      </c>
      <c r="N196" s="18">
        <v>0.15</v>
      </c>
      <c r="O196" s="18">
        <v>0.85</v>
      </c>
      <c r="P196" s="18">
        <v>0.65</v>
      </c>
      <c r="Q196" s="18">
        <v>0.79</v>
      </c>
      <c r="R196" s="17">
        <v>0</v>
      </c>
      <c r="S196" s="17">
        <v>0</v>
      </c>
      <c r="T196" s="1">
        <v>12</v>
      </c>
      <c r="U196" s="1" t="str">
        <f t="shared" si="13"/>
        <v>Normal</v>
      </c>
      <c r="V196" s="1" t="str">
        <f t="shared" si="14"/>
        <v>Outlier</v>
      </c>
      <c r="W196" s="19">
        <f t="shared" si="15"/>
        <v>4.0490797546012272E-2</v>
      </c>
      <c r="X196" s="19">
        <f t="shared" si="16"/>
        <v>0.72792362768496421</v>
      </c>
    </row>
    <row r="197" spans="1:24">
      <c r="A197" s="21">
        <v>44847</v>
      </c>
      <c r="B197" s="17">
        <f>IF(YEAR(Table9[[#This Row],[Date]]) = 2022, WEEKNUM(Table9[[#This Row],[Date]])-13, WEEKNUM(Table9[[#This Row],[Date]])+40)</f>
        <v>29</v>
      </c>
      <c r="C197" s="35" t="s">
        <v>51</v>
      </c>
      <c r="D197" s="35" t="s">
        <v>59</v>
      </c>
      <c r="E197" s="1">
        <v>803</v>
      </c>
      <c r="F197" s="1">
        <v>723</v>
      </c>
      <c r="G197" s="67">
        <v>-0.27722772277227725</v>
      </c>
      <c r="H197" s="67">
        <v>2.1850220264317182</v>
      </c>
      <c r="I197" s="1">
        <v>10150</v>
      </c>
      <c r="J197" s="1">
        <v>5614</v>
      </c>
      <c r="K197" s="1">
        <v>139981</v>
      </c>
      <c r="L197" s="1">
        <v>94395</v>
      </c>
      <c r="M197" s="18">
        <v>0.69</v>
      </c>
      <c r="N197" s="18">
        <v>0.1</v>
      </c>
      <c r="O197" s="18">
        <v>0.9</v>
      </c>
      <c r="P197" s="18">
        <v>0.6</v>
      </c>
      <c r="Q197" s="18">
        <v>0.79</v>
      </c>
      <c r="R197" s="17">
        <v>0</v>
      </c>
      <c r="S197" s="17">
        <v>0</v>
      </c>
      <c r="T197" s="1">
        <v>11</v>
      </c>
      <c r="U197" s="1" t="str">
        <f t="shared" si="13"/>
        <v>Outlier</v>
      </c>
      <c r="V197" s="1" t="str">
        <f t="shared" si="14"/>
        <v>Outlier</v>
      </c>
      <c r="W197" s="19">
        <f t="shared" si="15"/>
        <v>-0.27722772277227725</v>
      </c>
      <c r="X197" s="19">
        <f t="shared" si="16"/>
        <v>4.4288000120300104E-2</v>
      </c>
    </row>
    <row r="198" spans="1:24">
      <c r="A198" s="21">
        <v>44848</v>
      </c>
      <c r="B198" s="17">
        <f>IF(YEAR(Table9[[#This Row],[Date]]) = 2022, WEEKNUM(Table9[[#This Row],[Date]])-13, WEEKNUM(Table9[[#This Row],[Date]])+40)</f>
        <v>29</v>
      </c>
      <c r="C198" s="35" t="s">
        <v>52</v>
      </c>
      <c r="D198" s="35" t="s">
        <v>59</v>
      </c>
      <c r="E198" s="1">
        <v>825</v>
      </c>
      <c r="F198" s="1">
        <v>618</v>
      </c>
      <c r="G198" s="67">
        <v>-0.25474254742547425</v>
      </c>
      <c r="H198" s="67">
        <v>0.10554561717352415</v>
      </c>
      <c r="I198" s="1">
        <v>10975</v>
      </c>
      <c r="J198" s="1">
        <v>6232</v>
      </c>
      <c r="K198" s="1">
        <v>140806</v>
      </c>
      <c r="L198" s="1">
        <v>95013</v>
      </c>
      <c r="M198" s="18">
        <v>0.36</v>
      </c>
      <c r="N198" s="18">
        <v>0.25</v>
      </c>
      <c r="O198" s="18">
        <v>0.75</v>
      </c>
      <c r="P198" s="18">
        <v>0.65</v>
      </c>
      <c r="Q198" s="18">
        <v>0.79</v>
      </c>
      <c r="R198" s="17">
        <v>0</v>
      </c>
      <c r="S198" s="17">
        <v>0</v>
      </c>
      <c r="T198" s="1">
        <v>9</v>
      </c>
      <c r="U198" s="1" t="str">
        <f t="shared" si="13"/>
        <v>Outlier</v>
      </c>
      <c r="V198" s="1" t="str">
        <f t="shared" si="14"/>
        <v>Normal</v>
      </c>
      <c r="W198" s="19">
        <f t="shared" si="15"/>
        <v>-0.25474254742547425</v>
      </c>
      <c r="X198" s="19">
        <f t="shared" si="16"/>
        <v>0.10554561717352415</v>
      </c>
    </row>
    <row r="199" spans="1:24">
      <c r="A199" s="21">
        <v>44849</v>
      </c>
      <c r="B199" s="17">
        <f>IF(YEAR(Table9[[#This Row],[Date]]) = 2022, WEEKNUM(Table9[[#This Row],[Date]])-13, WEEKNUM(Table9[[#This Row],[Date]])+40)</f>
        <v>29</v>
      </c>
      <c r="C199" s="35" t="s">
        <v>53</v>
      </c>
      <c r="D199" s="35" t="s">
        <v>59</v>
      </c>
      <c r="E199" s="1">
        <v>571</v>
      </c>
      <c r="F199" s="1">
        <v>501</v>
      </c>
      <c r="G199" s="67">
        <v>-1.7211703958691909E-2</v>
      </c>
      <c r="H199" s="67">
        <v>0.59554140127388533</v>
      </c>
      <c r="I199" s="1">
        <v>11546</v>
      </c>
      <c r="J199" s="1">
        <v>6733</v>
      </c>
      <c r="K199" s="1">
        <v>141377</v>
      </c>
      <c r="L199" s="1">
        <v>95514</v>
      </c>
      <c r="M199" s="18">
        <v>0.74</v>
      </c>
      <c r="N199" s="18">
        <v>0.12</v>
      </c>
      <c r="O199" s="18">
        <v>0.88</v>
      </c>
      <c r="P199" s="18">
        <v>0.55000000000000004</v>
      </c>
      <c r="Q199" s="18">
        <v>0.88</v>
      </c>
      <c r="R199" s="17">
        <v>0</v>
      </c>
      <c r="S199" s="17">
        <v>0</v>
      </c>
      <c r="T199" s="1">
        <v>11</v>
      </c>
      <c r="U199" s="1" t="str">
        <f t="shared" si="13"/>
        <v>Normal</v>
      </c>
      <c r="V199" s="1" t="str">
        <f t="shared" si="14"/>
        <v>Outlier</v>
      </c>
      <c r="W199" s="19">
        <f t="shared" si="15"/>
        <v>-1.7211703958691909E-2</v>
      </c>
      <c r="X199" s="19">
        <f t="shared" si="16"/>
        <v>0.59554140127388533</v>
      </c>
    </row>
    <row r="200" spans="1:24">
      <c r="A200" s="21">
        <v>44850</v>
      </c>
      <c r="B200" s="17">
        <f>IF(YEAR(Table9[[#This Row],[Date]]) = 2022, WEEKNUM(Table9[[#This Row],[Date]])-13, WEEKNUM(Table9[[#This Row],[Date]])+40)</f>
        <v>30</v>
      </c>
      <c r="C200" s="35" t="s">
        <v>47</v>
      </c>
      <c r="D200" s="35" t="s">
        <v>59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7">
        <v>0</v>
      </c>
      <c r="S200" s="17">
        <v>0</v>
      </c>
      <c r="T200" s="1">
        <v>0</v>
      </c>
      <c r="U200" s="1" t="str">
        <f t="shared" si="13"/>
        <v>Normal</v>
      </c>
      <c r="V200" s="1" t="str">
        <f t="shared" si="14"/>
        <v>Normal</v>
      </c>
      <c r="W200" s="19">
        <f t="shared" si="15"/>
        <v>0</v>
      </c>
      <c r="X200" s="19">
        <f t="shared" si="16"/>
        <v>0</v>
      </c>
    </row>
    <row r="201" spans="1:24">
      <c r="A201" s="21">
        <v>44851</v>
      </c>
      <c r="B201" s="17">
        <f>IF(YEAR(Table9[[#This Row],[Date]]) = 2022, WEEKNUM(Table9[[#This Row],[Date]])-13, WEEKNUM(Table9[[#This Row],[Date]])+40)</f>
        <v>30</v>
      </c>
      <c r="C201" s="35" t="s">
        <v>48</v>
      </c>
      <c r="D201" s="35" t="s">
        <v>59</v>
      </c>
      <c r="E201" s="1">
        <v>1114</v>
      </c>
      <c r="F201" s="1">
        <v>923</v>
      </c>
      <c r="G201" s="67">
        <v>1.0889292196007259E-2</v>
      </c>
      <c r="H201" s="67">
        <v>0.22902796271637815</v>
      </c>
      <c r="I201" s="1">
        <v>12660</v>
      </c>
      <c r="J201" s="1">
        <v>7656</v>
      </c>
      <c r="K201" s="1">
        <v>142491</v>
      </c>
      <c r="L201" s="1">
        <v>96437</v>
      </c>
      <c r="M201" s="18">
        <v>0.5</v>
      </c>
      <c r="N201" s="18">
        <v>0.17</v>
      </c>
      <c r="O201" s="18">
        <v>0.83</v>
      </c>
      <c r="P201" s="18">
        <v>0.76</v>
      </c>
      <c r="Q201" s="18">
        <v>0.79</v>
      </c>
      <c r="R201" s="17">
        <v>0</v>
      </c>
      <c r="S201" s="17">
        <v>0</v>
      </c>
      <c r="T201" s="1">
        <v>13</v>
      </c>
      <c r="U201" s="1" t="str">
        <f t="shared" si="13"/>
        <v>Normal</v>
      </c>
      <c r="V201" s="1" t="str">
        <f t="shared" si="14"/>
        <v>Normal</v>
      </c>
      <c r="W201" s="19">
        <f t="shared" si="15"/>
        <v>1.0889292196007259E-2</v>
      </c>
      <c r="X201" s="19">
        <f t="shared" si="16"/>
        <v>0.22902796271637815</v>
      </c>
    </row>
    <row r="202" spans="1:24">
      <c r="A202" s="21">
        <v>44852</v>
      </c>
      <c r="B202" s="17">
        <f>IF(YEAR(Table9[[#This Row],[Date]]) = 2022, WEEKNUM(Table9[[#This Row],[Date]])-13, WEEKNUM(Table9[[#This Row],[Date]])+40)</f>
        <v>30</v>
      </c>
      <c r="C202" s="35" t="s">
        <v>49</v>
      </c>
      <c r="D202" s="35" t="s">
        <v>59</v>
      </c>
      <c r="E202" s="1">
        <v>870</v>
      </c>
      <c r="F202" s="1">
        <v>808</v>
      </c>
      <c r="G202" s="67">
        <v>-2.247191011235955E-2</v>
      </c>
      <c r="H202" s="67">
        <v>0.23170731707317074</v>
      </c>
      <c r="I202" s="1">
        <v>13530</v>
      </c>
      <c r="J202" s="1">
        <v>8464</v>
      </c>
      <c r="K202" s="1">
        <v>143361</v>
      </c>
      <c r="L202" s="1">
        <v>97245</v>
      </c>
      <c r="M202" s="18">
        <v>0.77</v>
      </c>
      <c r="N202" s="18">
        <v>7.0000000000000007E-2</v>
      </c>
      <c r="O202" s="18">
        <v>0.93</v>
      </c>
      <c r="P202" s="18">
        <v>0.57999999999999996</v>
      </c>
      <c r="Q202" s="18">
        <v>0.81</v>
      </c>
      <c r="R202" s="17">
        <v>0</v>
      </c>
      <c r="S202" s="17">
        <v>0</v>
      </c>
      <c r="T202" s="1">
        <v>13</v>
      </c>
      <c r="U202" s="1" t="str">
        <f t="shared" si="13"/>
        <v>Normal</v>
      </c>
      <c r="V202" s="1" t="str">
        <f t="shared" si="14"/>
        <v>Normal</v>
      </c>
      <c r="W202" s="19">
        <f t="shared" si="15"/>
        <v>-2.247191011235955E-2</v>
      </c>
      <c r="X202" s="19">
        <f t="shared" si="16"/>
        <v>0.23170731707317074</v>
      </c>
    </row>
    <row r="203" spans="1:24">
      <c r="A203" s="21">
        <v>44853</v>
      </c>
      <c r="B203" s="17">
        <f>IF(YEAR(Table9[[#This Row],[Date]]) = 2022, WEEKNUM(Table9[[#This Row],[Date]])-13, WEEKNUM(Table9[[#This Row],[Date]])+40)</f>
        <v>30</v>
      </c>
      <c r="C203" s="35" t="s">
        <v>50</v>
      </c>
      <c r="D203" s="35" t="s">
        <v>59</v>
      </c>
      <c r="E203" s="1">
        <v>832</v>
      </c>
      <c r="F203" s="1">
        <v>747</v>
      </c>
      <c r="G203" s="67">
        <v>-1.8867924528301886E-2</v>
      </c>
      <c r="H203" s="67">
        <v>3.1767955801104975E-2</v>
      </c>
      <c r="I203" s="1">
        <v>14362</v>
      </c>
      <c r="J203" s="1">
        <v>9211</v>
      </c>
      <c r="K203" s="1">
        <v>144193</v>
      </c>
      <c r="L203" s="1">
        <v>97992</v>
      </c>
      <c r="M203" s="18">
        <v>0.66</v>
      </c>
      <c r="N203" s="18">
        <v>0.1</v>
      </c>
      <c r="O203" s="18">
        <v>0.9</v>
      </c>
      <c r="P203" s="18">
        <v>0.65</v>
      </c>
      <c r="Q203" s="18">
        <v>0.81</v>
      </c>
      <c r="R203" s="17">
        <v>0</v>
      </c>
      <c r="S203" s="17">
        <v>0</v>
      </c>
      <c r="T203" s="1">
        <v>10</v>
      </c>
      <c r="U203" s="1" t="str">
        <f t="shared" si="13"/>
        <v>Normal</v>
      </c>
      <c r="V203" s="1" t="str">
        <f t="shared" si="14"/>
        <v>Normal</v>
      </c>
      <c r="W203" s="19">
        <f t="shared" si="15"/>
        <v>-1.8867924528301886E-2</v>
      </c>
      <c r="X203" s="19">
        <f t="shared" si="16"/>
        <v>3.1767955801104975E-2</v>
      </c>
    </row>
    <row r="204" spans="1:24">
      <c r="A204" s="21">
        <v>44854</v>
      </c>
      <c r="B204" s="17">
        <f>IF(YEAR(Table9[[#This Row],[Date]]) = 2022, WEEKNUM(Table9[[#This Row],[Date]])-13, WEEKNUM(Table9[[#This Row],[Date]])+40)</f>
        <v>30</v>
      </c>
      <c r="C204" s="35" t="s">
        <v>51</v>
      </c>
      <c r="D204" s="35" t="s">
        <v>59</v>
      </c>
      <c r="E204" s="1">
        <v>869</v>
      </c>
      <c r="F204" s="1">
        <v>707</v>
      </c>
      <c r="G204" s="67">
        <v>8.2191780821917804E-2</v>
      </c>
      <c r="H204" s="67">
        <v>-2.2130013831258646E-2</v>
      </c>
      <c r="I204" s="1">
        <v>15231</v>
      </c>
      <c r="J204" s="1">
        <v>9918</v>
      </c>
      <c r="K204" s="1">
        <v>145062</v>
      </c>
      <c r="L204" s="1">
        <v>98699</v>
      </c>
      <c r="M204" s="18">
        <v>0.49</v>
      </c>
      <c r="N204" s="18">
        <v>0.19</v>
      </c>
      <c r="O204" s="18">
        <v>0.81</v>
      </c>
      <c r="P204" s="18">
        <v>0.65</v>
      </c>
      <c r="Q204" s="18">
        <v>0.8</v>
      </c>
      <c r="R204" s="17">
        <v>0</v>
      </c>
      <c r="S204" s="17">
        <v>0</v>
      </c>
      <c r="T204" s="1">
        <v>10</v>
      </c>
      <c r="U204" s="1" t="str">
        <f t="shared" si="13"/>
        <v>Normal</v>
      </c>
      <c r="V204" s="1" t="str">
        <f t="shared" si="14"/>
        <v>Normal</v>
      </c>
      <c r="W204" s="19">
        <f t="shared" si="15"/>
        <v>8.2191780821917804E-2</v>
      </c>
      <c r="X204" s="19">
        <f t="shared" si="16"/>
        <v>-2.2130013831258646E-2</v>
      </c>
    </row>
    <row r="205" spans="1:24">
      <c r="A205" s="21">
        <v>44855</v>
      </c>
      <c r="B205" s="17">
        <f>IF(YEAR(Table9[[#This Row],[Date]]) = 2022, WEEKNUM(Table9[[#This Row],[Date]])-13, WEEKNUM(Table9[[#This Row],[Date]])+40)</f>
        <v>30</v>
      </c>
      <c r="C205" s="35" t="s">
        <v>52</v>
      </c>
      <c r="D205" s="35" t="s">
        <v>59</v>
      </c>
      <c r="E205" s="1">
        <v>849</v>
      </c>
      <c r="F205" s="1">
        <v>570</v>
      </c>
      <c r="G205" s="67">
        <v>2.9090909090909091E-2</v>
      </c>
      <c r="H205" s="67">
        <v>-7.7669902912621352E-2</v>
      </c>
      <c r="I205" s="1">
        <v>16080</v>
      </c>
      <c r="J205" s="1">
        <v>10488</v>
      </c>
      <c r="K205" s="1">
        <v>145911</v>
      </c>
      <c r="L205" s="1">
        <v>99269</v>
      </c>
      <c r="M205" s="18">
        <v>0.39</v>
      </c>
      <c r="N205" s="18">
        <v>0.32</v>
      </c>
      <c r="O205" s="18">
        <v>0.68</v>
      </c>
      <c r="P205" s="18">
        <v>0.68</v>
      </c>
      <c r="Q205" s="18">
        <v>0.79</v>
      </c>
      <c r="R205" s="17">
        <v>0</v>
      </c>
      <c r="S205" s="17">
        <v>0</v>
      </c>
      <c r="T205" s="1">
        <v>9</v>
      </c>
      <c r="U205" s="1" t="str">
        <f t="shared" si="13"/>
        <v>Normal</v>
      </c>
      <c r="V205" s="1" t="str">
        <f t="shared" si="14"/>
        <v>Normal</v>
      </c>
      <c r="W205" s="19">
        <f t="shared" si="15"/>
        <v>2.9090909090909091E-2</v>
      </c>
      <c r="X205" s="19">
        <f t="shared" si="16"/>
        <v>-7.7669902912621352E-2</v>
      </c>
    </row>
    <row r="206" spans="1:24">
      <c r="A206" s="21">
        <v>44856</v>
      </c>
      <c r="B206" s="17">
        <f>IF(YEAR(Table9[[#This Row],[Date]]) = 2022, WEEKNUM(Table9[[#This Row],[Date]])-13, WEEKNUM(Table9[[#This Row],[Date]])+40)</f>
        <v>30</v>
      </c>
      <c r="C206" s="34" t="s">
        <v>53</v>
      </c>
      <c r="D206" s="35" t="s">
        <v>59</v>
      </c>
      <c r="E206" s="1">
        <v>601</v>
      </c>
      <c r="F206" s="1">
        <v>287</v>
      </c>
      <c r="G206" s="67">
        <v>5.2539404553415062E-2</v>
      </c>
      <c r="H206" s="67">
        <v>-0.42714570858283435</v>
      </c>
      <c r="I206" s="1">
        <v>16681</v>
      </c>
      <c r="J206" s="1">
        <v>10775</v>
      </c>
      <c r="K206" s="1">
        <v>146512</v>
      </c>
      <c r="L206" s="1">
        <v>99556</v>
      </c>
      <c r="M206" s="18">
        <v>0.14000000000000001</v>
      </c>
      <c r="N206" s="18">
        <v>0.52</v>
      </c>
      <c r="O206" s="18">
        <v>0.48</v>
      </c>
      <c r="P206" s="18">
        <v>0.47</v>
      </c>
      <c r="Q206" s="18">
        <v>0.89</v>
      </c>
      <c r="R206" s="17">
        <v>0</v>
      </c>
      <c r="S206" s="17">
        <v>0</v>
      </c>
      <c r="T206" s="1">
        <v>8</v>
      </c>
      <c r="U206" s="1" t="str">
        <f t="shared" si="13"/>
        <v>Normal</v>
      </c>
      <c r="V206" s="1" t="str">
        <f t="shared" si="14"/>
        <v>Outlier</v>
      </c>
      <c r="W206" s="19">
        <f t="shared" si="15"/>
        <v>5.2539404553415062E-2</v>
      </c>
      <c r="X206" s="19">
        <f t="shared" si="16"/>
        <v>-0.42714570858283435</v>
      </c>
    </row>
    <row r="207" spans="1:24">
      <c r="A207" s="21">
        <v>44857</v>
      </c>
      <c r="B207" s="17">
        <f>IF(YEAR(Table9[[#This Row],[Date]]) = 2022, WEEKNUM(Table9[[#This Row],[Date]])-13, WEEKNUM(Table9[[#This Row],[Date]])+40)</f>
        <v>31</v>
      </c>
      <c r="C207" s="35" t="s">
        <v>47</v>
      </c>
      <c r="D207" s="35" t="s">
        <v>59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7">
        <v>0</v>
      </c>
      <c r="S207" s="17">
        <v>0</v>
      </c>
      <c r="T207" s="1">
        <v>0</v>
      </c>
      <c r="U207" s="1" t="str">
        <f t="shared" si="13"/>
        <v>Normal</v>
      </c>
      <c r="V207" s="1" t="str">
        <f t="shared" si="14"/>
        <v>Normal</v>
      </c>
      <c r="W207" s="19">
        <f t="shared" si="15"/>
        <v>0</v>
      </c>
      <c r="X207" s="19">
        <f t="shared" si="16"/>
        <v>0</v>
      </c>
    </row>
    <row r="208" spans="1:24">
      <c r="A208" s="21">
        <v>44858</v>
      </c>
      <c r="B208" s="17">
        <f>IF(YEAR(Table9[[#This Row],[Date]]) = 2022, WEEKNUM(Table9[[#This Row],[Date]])-13, WEEKNUM(Table9[[#This Row],[Date]])+40)</f>
        <v>31</v>
      </c>
      <c r="C208" s="35" t="s">
        <v>48</v>
      </c>
      <c r="D208" s="35" t="s">
        <v>59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7">
        <v>0</v>
      </c>
      <c r="S208" s="17">
        <v>0</v>
      </c>
      <c r="T208" s="1">
        <v>0</v>
      </c>
      <c r="U208" s="1" t="str">
        <f t="shared" si="13"/>
        <v>Normal</v>
      </c>
      <c r="V208" s="1" t="str">
        <f t="shared" si="14"/>
        <v>Normal</v>
      </c>
      <c r="W208" s="19">
        <f t="shared" si="15"/>
        <v>0</v>
      </c>
      <c r="X208" s="19">
        <f t="shared" si="16"/>
        <v>0</v>
      </c>
    </row>
    <row r="209" spans="1:39">
      <c r="A209" s="21">
        <v>44859</v>
      </c>
      <c r="B209" s="17">
        <f>IF(YEAR(Table9[[#This Row],[Date]]) = 2022, WEEKNUM(Table9[[#This Row],[Date]])-13, WEEKNUM(Table9[[#This Row],[Date]])+40)</f>
        <v>31</v>
      </c>
      <c r="C209" s="35" t="s">
        <v>49</v>
      </c>
      <c r="D209" s="35" t="s">
        <v>59</v>
      </c>
      <c r="E209" s="1">
        <v>1325</v>
      </c>
      <c r="F209" s="1">
        <v>321</v>
      </c>
      <c r="G209" s="67">
        <v>0.52298850574712641</v>
      </c>
      <c r="H209" s="67">
        <v>-0.6027227722772277</v>
      </c>
      <c r="I209" s="1">
        <v>18006</v>
      </c>
      <c r="J209" s="1">
        <v>11096</v>
      </c>
      <c r="K209" s="1">
        <v>147837</v>
      </c>
      <c r="L209" s="1">
        <v>99877</v>
      </c>
      <c r="M209" s="18">
        <v>0.14000000000000001</v>
      </c>
      <c r="N209" s="18">
        <v>0.76</v>
      </c>
      <c r="O209" s="18">
        <v>0.24</v>
      </c>
      <c r="P209" s="18">
        <v>0.63</v>
      </c>
      <c r="Q209" s="18">
        <v>0.82</v>
      </c>
      <c r="R209" s="17">
        <v>0</v>
      </c>
      <c r="S209" s="17">
        <v>0</v>
      </c>
      <c r="T209" s="1">
        <v>7</v>
      </c>
      <c r="U209" s="1" t="str">
        <f t="shared" si="13"/>
        <v>Outlier</v>
      </c>
      <c r="V209" s="1" t="str">
        <f t="shared" si="14"/>
        <v>Outlier</v>
      </c>
      <c r="W209" s="19">
        <f t="shared" si="15"/>
        <v>0.52298850574712641</v>
      </c>
      <c r="X209" s="19">
        <f t="shared" si="16"/>
        <v>-0.6027227722772277</v>
      </c>
    </row>
    <row r="210" spans="1:39">
      <c r="A210" s="21">
        <v>44860</v>
      </c>
      <c r="B210" s="17">
        <f>IF(YEAR(Table9[[#This Row],[Date]]) = 2022, WEEKNUM(Table9[[#This Row],[Date]])-13, WEEKNUM(Table9[[#This Row],[Date]])+40)</f>
        <v>31</v>
      </c>
      <c r="C210" s="35" t="s">
        <v>50</v>
      </c>
      <c r="D210" s="35" t="s">
        <v>59</v>
      </c>
      <c r="E210" s="1">
        <v>1345</v>
      </c>
      <c r="F210" s="1">
        <v>412</v>
      </c>
      <c r="G210" s="67">
        <v>0.61658653846153844</v>
      </c>
      <c r="H210" s="67">
        <v>-0.44846050870147258</v>
      </c>
      <c r="I210" s="1">
        <v>19351</v>
      </c>
      <c r="J210" s="1">
        <v>11508</v>
      </c>
      <c r="K210" s="1">
        <v>149182</v>
      </c>
      <c r="L210" s="1">
        <v>100289</v>
      </c>
      <c r="M210" s="18">
        <v>0.16</v>
      </c>
      <c r="N210" s="18">
        <v>0.69</v>
      </c>
      <c r="O210" s="18">
        <v>0.31</v>
      </c>
      <c r="P210" s="18">
        <v>0.84</v>
      </c>
      <c r="Q210" s="18">
        <v>0.78</v>
      </c>
      <c r="R210" s="17">
        <v>0</v>
      </c>
      <c r="S210" s="17">
        <v>0</v>
      </c>
      <c r="T210" s="1">
        <v>6</v>
      </c>
      <c r="U210" s="1" t="str">
        <f t="shared" si="13"/>
        <v>Outlier</v>
      </c>
      <c r="V210" s="1" t="str">
        <f t="shared" si="14"/>
        <v>Outlier</v>
      </c>
      <c r="W210" s="19">
        <f t="shared" si="15"/>
        <v>0.61658653846153844</v>
      </c>
      <c r="X210" s="19">
        <f t="shared" si="16"/>
        <v>-0.44846050870147258</v>
      </c>
    </row>
    <row r="211" spans="1:39">
      <c r="A211" s="21">
        <v>44861</v>
      </c>
      <c r="B211" s="17">
        <f>IF(YEAR(Table9[[#This Row],[Date]]) = 2022, WEEKNUM(Table9[[#This Row],[Date]])-13, WEEKNUM(Table9[[#This Row],[Date]])+40)</f>
        <v>31</v>
      </c>
      <c r="C211" s="35" t="s">
        <v>51</v>
      </c>
      <c r="D211" s="35" t="s">
        <v>59</v>
      </c>
      <c r="E211" s="1">
        <v>1151</v>
      </c>
      <c r="F211" s="1">
        <v>430</v>
      </c>
      <c r="G211" s="67">
        <v>0.32451093210586879</v>
      </c>
      <c r="H211" s="67">
        <v>-0.39179632248939178</v>
      </c>
      <c r="I211" s="1">
        <v>20502</v>
      </c>
      <c r="J211" s="1">
        <v>11938</v>
      </c>
      <c r="K211" s="1">
        <v>150333</v>
      </c>
      <c r="L211" s="1">
        <v>100719</v>
      </c>
      <c r="M211" s="18">
        <v>0.14000000000000001</v>
      </c>
      <c r="N211" s="18">
        <v>0.63</v>
      </c>
      <c r="O211" s="18">
        <v>0.37</v>
      </c>
      <c r="P211" s="18">
        <v>0.8</v>
      </c>
      <c r="Q211" s="18">
        <v>0.74</v>
      </c>
      <c r="R211" s="17">
        <v>0</v>
      </c>
      <c r="S211" s="17">
        <v>0</v>
      </c>
      <c r="T211" s="1">
        <v>8</v>
      </c>
      <c r="U211" s="1" t="str">
        <f t="shared" si="13"/>
        <v>Outlier</v>
      </c>
      <c r="V211" s="1" t="str">
        <f t="shared" si="14"/>
        <v>Outlier</v>
      </c>
      <c r="W211" s="19">
        <f t="shared" si="15"/>
        <v>0.32451093210586879</v>
      </c>
      <c r="X211" s="19">
        <f t="shared" si="16"/>
        <v>-0.39179632248939178</v>
      </c>
    </row>
    <row r="212" spans="1:39">
      <c r="A212" s="21">
        <v>44862</v>
      </c>
      <c r="B212" s="17">
        <f>IF(YEAR(Table9[[#This Row],[Date]]) = 2022, WEEKNUM(Table9[[#This Row],[Date]])-13, WEEKNUM(Table9[[#This Row],[Date]])+40)</f>
        <v>31</v>
      </c>
      <c r="C212" s="35" t="s">
        <v>52</v>
      </c>
      <c r="D212" s="35" t="s">
        <v>59</v>
      </c>
      <c r="E212" s="1">
        <v>1169</v>
      </c>
      <c r="F212" s="1">
        <v>353</v>
      </c>
      <c r="G212" s="67">
        <v>0.37691401648998824</v>
      </c>
      <c r="H212" s="67">
        <v>-0.38070175438596493</v>
      </c>
      <c r="I212" s="1">
        <v>21671</v>
      </c>
      <c r="J212" s="1">
        <v>12291</v>
      </c>
      <c r="K212" s="1">
        <v>151502</v>
      </c>
      <c r="L212" s="1">
        <v>101072</v>
      </c>
      <c r="M212" s="18">
        <v>0.15</v>
      </c>
      <c r="N212" s="18">
        <v>0.7</v>
      </c>
      <c r="O212" s="18">
        <v>0.3</v>
      </c>
      <c r="P212" s="18">
        <v>0.81</v>
      </c>
      <c r="Q212" s="18">
        <v>0.8</v>
      </c>
      <c r="R212" s="17">
        <v>0</v>
      </c>
      <c r="S212" s="17">
        <v>0</v>
      </c>
      <c r="T212" s="1">
        <v>6</v>
      </c>
      <c r="U212" s="1" t="str">
        <f t="shared" si="13"/>
        <v>Outlier</v>
      </c>
      <c r="V212" s="1" t="str">
        <f t="shared" si="14"/>
        <v>Outlier</v>
      </c>
      <c r="W212" s="19">
        <f t="shared" si="15"/>
        <v>0.37691401648998824</v>
      </c>
      <c r="X212" s="19">
        <f t="shared" si="16"/>
        <v>-0.38070175438596493</v>
      </c>
      <c r="AK212" s="50"/>
      <c r="AL212" s="50"/>
      <c r="AM212" s="50"/>
    </row>
    <row r="213" spans="1:39">
      <c r="A213" s="21">
        <v>44863</v>
      </c>
      <c r="B213" s="17">
        <f>IF(YEAR(Table9[[#This Row],[Date]]) = 2022, WEEKNUM(Table9[[#This Row],[Date]])-13, WEEKNUM(Table9[[#This Row],[Date]])+40)</f>
        <v>31</v>
      </c>
      <c r="C213" s="35" t="s">
        <v>53</v>
      </c>
      <c r="D213" s="35" t="s">
        <v>59</v>
      </c>
      <c r="E213" s="1">
        <v>723</v>
      </c>
      <c r="F213" s="1">
        <v>397</v>
      </c>
      <c r="G213" s="67">
        <v>0.20299500831946754</v>
      </c>
      <c r="H213" s="67">
        <v>0.38327526132404183</v>
      </c>
      <c r="I213" s="1">
        <v>22394</v>
      </c>
      <c r="J213" s="1">
        <v>12688</v>
      </c>
      <c r="K213" s="1">
        <v>152225</v>
      </c>
      <c r="L213" s="1">
        <v>101469</v>
      </c>
      <c r="M213" s="18">
        <v>0.23</v>
      </c>
      <c r="N213" s="18">
        <v>0.45</v>
      </c>
      <c r="O213" s="18">
        <v>0.55000000000000004</v>
      </c>
      <c r="P213" s="18">
        <v>0.7</v>
      </c>
      <c r="Q213" s="18">
        <v>0.83</v>
      </c>
      <c r="R213" s="17">
        <v>0</v>
      </c>
      <c r="S213" s="17">
        <v>0</v>
      </c>
      <c r="T213" s="1">
        <v>9</v>
      </c>
      <c r="U213" s="1" t="str">
        <f t="shared" si="13"/>
        <v>Normal</v>
      </c>
      <c r="V213" s="1" t="str">
        <f t="shared" si="14"/>
        <v>Outlier</v>
      </c>
      <c r="W213" s="19">
        <f t="shared" si="15"/>
        <v>0.20299500831946754</v>
      </c>
      <c r="X213" s="19">
        <f t="shared" si="16"/>
        <v>0.38327526132404183</v>
      </c>
    </row>
    <row r="214" spans="1:39">
      <c r="A214" s="21">
        <v>44864</v>
      </c>
      <c r="B214" s="17">
        <f>IF(YEAR(Table9[[#This Row],[Date]]) = 2022, WEEKNUM(Table9[[#This Row],[Date]])-13, WEEKNUM(Table9[[#This Row],[Date]])+40)</f>
        <v>32</v>
      </c>
      <c r="C214" s="35" t="s">
        <v>47</v>
      </c>
      <c r="D214" s="35" t="s">
        <v>59</v>
      </c>
      <c r="E214" s="1">
        <v>0</v>
      </c>
      <c r="F214" s="1">
        <v>0</v>
      </c>
      <c r="G214" s="67">
        <v>0</v>
      </c>
      <c r="H214" s="67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69">
        <v>0</v>
      </c>
      <c r="Q214" s="1">
        <v>0</v>
      </c>
      <c r="R214" s="17">
        <v>0</v>
      </c>
      <c r="S214" s="17">
        <v>0</v>
      </c>
      <c r="T214" s="1">
        <v>0</v>
      </c>
      <c r="U214" s="1" t="str">
        <f t="shared" si="13"/>
        <v>Normal</v>
      </c>
      <c r="V214" s="1" t="str">
        <f t="shared" si="14"/>
        <v>Normal</v>
      </c>
      <c r="W214" s="19">
        <f t="shared" si="15"/>
        <v>0</v>
      </c>
      <c r="X214" s="19">
        <f t="shared" si="16"/>
        <v>0</v>
      </c>
    </row>
    <row r="215" spans="1:39" s="50" customFormat="1">
      <c r="A215" s="54">
        <v>44865</v>
      </c>
      <c r="B215" s="131">
        <f>IF(YEAR(Table9[[#This Row],[Date]]) = 2022, WEEKNUM(Table9[[#This Row],[Date]])-13, WEEKNUM(Table9[[#This Row],[Date]])+40)</f>
        <v>32</v>
      </c>
      <c r="C215" s="51" t="s">
        <v>48</v>
      </c>
      <c r="D215" s="51" t="s">
        <v>59</v>
      </c>
      <c r="E215" s="52">
        <v>1283</v>
      </c>
      <c r="F215" s="52">
        <v>649</v>
      </c>
      <c r="G215" s="81">
        <v>0</v>
      </c>
      <c r="H215" s="81">
        <v>0</v>
      </c>
      <c r="I215" s="52">
        <v>23677</v>
      </c>
      <c r="J215" s="52">
        <v>13337</v>
      </c>
      <c r="K215" s="52">
        <v>153508</v>
      </c>
      <c r="L215" s="52">
        <v>102118</v>
      </c>
      <c r="M215" s="53">
        <v>0.15</v>
      </c>
      <c r="N215" s="53">
        <v>0.49</v>
      </c>
      <c r="O215" s="53">
        <v>0.51</v>
      </c>
      <c r="P215" s="53">
        <v>0.77</v>
      </c>
      <c r="Q215" s="53">
        <v>0.77</v>
      </c>
      <c r="R215" s="131">
        <v>0</v>
      </c>
      <c r="S215" s="131">
        <v>0</v>
      </c>
      <c r="T215" s="52">
        <v>9</v>
      </c>
      <c r="U215" s="52" t="str">
        <f t="shared" si="13"/>
        <v>Normal</v>
      </c>
      <c r="V215" s="52" t="str">
        <f t="shared" si="14"/>
        <v>Normal</v>
      </c>
      <c r="W215" s="143">
        <f t="shared" si="15"/>
        <v>0</v>
      </c>
      <c r="X215" s="143">
        <f t="shared" si="16"/>
        <v>0</v>
      </c>
      <c r="AK215"/>
      <c r="AL215"/>
      <c r="AM215"/>
    </row>
    <row r="216" spans="1:39">
      <c r="A216" s="21">
        <v>44866</v>
      </c>
      <c r="B216" s="17">
        <f>IF(YEAR(Table9[[#This Row],[Date]]) = 2022, WEEKNUM(Table9[[#This Row],[Date]])-13, WEEKNUM(Table9[[#This Row],[Date]])+40)</f>
        <v>32</v>
      </c>
      <c r="C216" s="34" t="s">
        <v>49</v>
      </c>
      <c r="D216" s="35" t="s">
        <v>59</v>
      </c>
      <c r="E216" s="1">
        <v>1034</v>
      </c>
      <c r="F216" s="1">
        <v>549</v>
      </c>
      <c r="G216" s="67">
        <v>-0.21962264150943397</v>
      </c>
      <c r="H216" s="67">
        <v>0.71028037383177567</v>
      </c>
      <c r="I216" s="1">
        <v>1034</v>
      </c>
      <c r="J216" s="1">
        <v>549</v>
      </c>
      <c r="K216" s="1">
        <v>154542</v>
      </c>
      <c r="L216" s="1">
        <v>102667</v>
      </c>
      <c r="M216" s="18">
        <v>0.16</v>
      </c>
      <c r="N216" s="18">
        <v>0.47</v>
      </c>
      <c r="O216" s="18">
        <v>0.53</v>
      </c>
      <c r="P216" s="18">
        <v>0.89</v>
      </c>
      <c r="Q216" s="18">
        <v>0.79</v>
      </c>
      <c r="R216" s="17">
        <v>0</v>
      </c>
      <c r="S216" s="17">
        <v>0</v>
      </c>
      <c r="T216" s="1">
        <v>8</v>
      </c>
      <c r="U216" s="1" t="str">
        <f t="shared" si="13"/>
        <v>Normal</v>
      </c>
      <c r="V216" s="1" t="str">
        <f t="shared" si="14"/>
        <v>Outlier</v>
      </c>
      <c r="W216" s="19">
        <f t="shared" si="15"/>
        <v>-0.21962264150943397</v>
      </c>
      <c r="X216" s="19">
        <f t="shared" si="16"/>
        <v>0.71028037383177567</v>
      </c>
    </row>
    <row r="217" spans="1:39">
      <c r="A217" s="21">
        <v>44867</v>
      </c>
      <c r="B217" s="17">
        <f>IF(YEAR(Table9[[#This Row],[Date]]) = 2022, WEEKNUM(Table9[[#This Row],[Date]])-13, WEEKNUM(Table9[[#This Row],[Date]])+40)</f>
        <v>32</v>
      </c>
      <c r="C217" s="35" t="s">
        <v>50</v>
      </c>
      <c r="D217" s="35" t="s">
        <v>59</v>
      </c>
      <c r="E217" s="1">
        <v>979</v>
      </c>
      <c r="F217" s="1">
        <v>742</v>
      </c>
      <c r="G217" s="67">
        <v>-0.2721189591078067</v>
      </c>
      <c r="H217" s="67">
        <v>0.80097087378640774</v>
      </c>
      <c r="I217" s="1">
        <v>2013</v>
      </c>
      <c r="J217" s="1">
        <v>1291</v>
      </c>
      <c r="K217" s="1">
        <v>155521</v>
      </c>
      <c r="L217" s="1">
        <v>103409</v>
      </c>
      <c r="M217" s="18">
        <v>0.41</v>
      </c>
      <c r="N217" s="18">
        <v>0.24</v>
      </c>
      <c r="O217" s="18">
        <v>0.76</v>
      </c>
      <c r="P217" s="18">
        <v>0.57999999999999996</v>
      </c>
      <c r="Q217" s="18">
        <v>0.78</v>
      </c>
      <c r="R217" s="17">
        <v>0</v>
      </c>
      <c r="S217" s="17">
        <v>0</v>
      </c>
      <c r="T217" s="1">
        <v>12</v>
      </c>
      <c r="U217" s="1" t="str">
        <f t="shared" si="13"/>
        <v>Outlier</v>
      </c>
      <c r="V217" s="1" t="str">
        <f t="shared" si="14"/>
        <v>Outlier</v>
      </c>
      <c r="W217" s="19">
        <f t="shared" si="15"/>
        <v>-0.2721189591078067</v>
      </c>
      <c r="X217" s="19">
        <f t="shared" si="16"/>
        <v>0.80097087378640774</v>
      </c>
    </row>
    <row r="218" spans="1:39">
      <c r="A218" s="21">
        <v>44868</v>
      </c>
      <c r="B218" s="17">
        <f>IF(YEAR(Table9[[#This Row],[Date]]) = 2022, WEEKNUM(Table9[[#This Row],[Date]])-13, WEEKNUM(Table9[[#This Row],[Date]])+40)</f>
        <v>32</v>
      </c>
      <c r="C218" s="35" t="s">
        <v>51</v>
      </c>
      <c r="D218" s="35" t="s">
        <v>59</v>
      </c>
      <c r="E218" s="1">
        <v>961</v>
      </c>
      <c r="F218" s="1">
        <v>701</v>
      </c>
      <c r="G218" s="67">
        <v>-0.16507384882710685</v>
      </c>
      <c r="H218" s="67">
        <v>0.63023255813953494</v>
      </c>
      <c r="I218" s="1">
        <v>2974</v>
      </c>
      <c r="J218" s="1">
        <v>1992</v>
      </c>
      <c r="K218" s="1">
        <v>156482</v>
      </c>
      <c r="L218" s="1">
        <v>104110</v>
      </c>
      <c r="M218" s="18">
        <v>0.26</v>
      </c>
      <c r="N218" s="18">
        <v>0.27</v>
      </c>
      <c r="O218" s="18">
        <v>0.73</v>
      </c>
      <c r="P218" s="18">
        <v>0.75</v>
      </c>
      <c r="Q218" s="18">
        <v>0.78</v>
      </c>
      <c r="R218" s="17">
        <v>0</v>
      </c>
      <c r="S218" s="17">
        <v>0</v>
      </c>
      <c r="T218" s="1">
        <v>11</v>
      </c>
      <c r="U218" s="1" t="str">
        <f t="shared" si="13"/>
        <v>Normal</v>
      </c>
      <c r="V218" s="1" t="str">
        <f t="shared" si="14"/>
        <v>Outlier</v>
      </c>
      <c r="W218" s="19">
        <f t="shared" si="15"/>
        <v>-0.16507384882710685</v>
      </c>
      <c r="X218" s="19">
        <f t="shared" si="16"/>
        <v>0.63023255813953494</v>
      </c>
    </row>
    <row r="219" spans="1:39">
      <c r="A219" s="21">
        <v>44869</v>
      </c>
      <c r="B219" s="17">
        <f>IF(YEAR(Table9[[#This Row],[Date]]) = 2022, WEEKNUM(Table9[[#This Row],[Date]])-13, WEEKNUM(Table9[[#This Row],[Date]])+40)</f>
        <v>32</v>
      </c>
      <c r="C219" s="35" t="s">
        <v>52</v>
      </c>
      <c r="D219" s="35" t="s">
        <v>59</v>
      </c>
      <c r="E219" s="1">
        <v>927</v>
      </c>
      <c r="F219" s="1">
        <v>729</v>
      </c>
      <c r="G219" s="67">
        <v>-0.20701454234388367</v>
      </c>
      <c r="H219" s="67">
        <v>1.065155807365439</v>
      </c>
      <c r="I219" s="1">
        <v>3901</v>
      </c>
      <c r="J219" s="1">
        <v>2721</v>
      </c>
      <c r="K219" s="1">
        <v>157409</v>
      </c>
      <c r="L219" s="1">
        <v>104839</v>
      </c>
      <c r="M219" s="18">
        <v>0.43</v>
      </c>
      <c r="N219" s="18">
        <v>0.21</v>
      </c>
      <c r="O219" s="18">
        <v>0.79</v>
      </c>
      <c r="P219" s="18">
        <v>0.73</v>
      </c>
      <c r="Q219" s="18">
        <v>0.78</v>
      </c>
      <c r="R219" s="17">
        <v>0</v>
      </c>
      <c r="S219" s="17">
        <v>0</v>
      </c>
      <c r="T219" s="1">
        <v>9</v>
      </c>
      <c r="U219" s="1" t="str">
        <f t="shared" si="13"/>
        <v>Normal</v>
      </c>
      <c r="V219" s="1" t="str">
        <f t="shared" si="14"/>
        <v>Outlier</v>
      </c>
      <c r="W219" s="19">
        <f t="shared" si="15"/>
        <v>-0.20701454234388367</v>
      </c>
      <c r="X219" s="19">
        <f t="shared" si="16"/>
        <v>1.065155807365439</v>
      </c>
    </row>
    <row r="220" spans="1:39">
      <c r="A220" s="21">
        <v>44870</v>
      </c>
      <c r="B220" s="17">
        <f>IF(YEAR(Table9[[#This Row],[Date]]) = 2022, WEEKNUM(Table9[[#This Row],[Date]])-13, WEEKNUM(Table9[[#This Row],[Date]])+40)</f>
        <v>32</v>
      </c>
      <c r="C220" s="35" t="s">
        <v>53</v>
      </c>
      <c r="D220" s="35" t="s">
        <v>59</v>
      </c>
      <c r="E220" s="1">
        <v>543</v>
      </c>
      <c r="F220" s="1">
        <v>326</v>
      </c>
      <c r="G220" s="67">
        <v>-0.24896265560165975</v>
      </c>
      <c r="H220" s="67">
        <v>-0.17884130982367757</v>
      </c>
      <c r="I220" s="1">
        <v>4444</v>
      </c>
      <c r="J220" s="1">
        <v>3047</v>
      </c>
      <c r="K220" s="1">
        <v>157952</v>
      </c>
      <c r="L220" s="1">
        <v>105165</v>
      </c>
      <c r="M220" s="18">
        <v>0.28000000000000003</v>
      </c>
      <c r="N220" s="18">
        <v>0.4</v>
      </c>
      <c r="O220" s="18">
        <v>0.6</v>
      </c>
      <c r="P220" s="18">
        <v>0.61</v>
      </c>
      <c r="Q220" s="18">
        <v>0.81</v>
      </c>
      <c r="R220" s="17">
        <v>0</v>
      </c>
      <c r="S220" s="17">
        <v>0</v>
      </c>
      <c r="T220" s="1">
        <v>8</v>
      </c>
      <c r="U220" s="1" t="str">
        <f t="shared" si="13"/>
        <v>Outlier</v>
      </c>
      <c r="V220" s="1" t="str">
        <f t="shared" si="14"/>
        <v>Normal</v>
      </c>
      <c r="W220" s="19">
        <f t="shared" si="15"/>
        <v>-0.24896265560165975</v>
      </c>
      <c r="X220" s="19">
        <f t="shared" si="16"/>
        <v>-0.17884130982367757</v>
      </c>
    </row>
    <row r="221" spans="1:39">
      <c r="A221" s="21">
        <v>44871</v>
      </c>
      <c r="B221" s="17">
        <f>IF(YEAR(Table9[[#This Row],[Date]]) = 2022, WEEKNUM(Table9[[#This Row],[Date]])-13, WEEKNUM(Table9[[#This Row],[Date]])+40)</f>
        <v>33</v>
      </c>
      <c r="C221" s="35" t="s">
        <v>47</v>
      </c>
      <c r="D221" s="3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69">
        <v>0</v>
      </c>
      <c r="Q221" s="1">
        <v>0</v>
      </c>
      <c r="R221" s="17">
        <v>0</v>
      </c>
      <c r="S221" s="17">
        <v>0</v>
      </c>
      <c r="T221" s="1">
        <v>0</v>
      </c>
      <c r="U221" s="1" t="str">
        <f t="shared" si="13"/>
        <v>Normal</v>
      </c>
      <c r="V221" s="1" t="str">
        <f t="shared" si="14"/>
        <v>Normal</v>
      </c>
      <c r="W221" s="19">
        <f t="shared" si="15"/>
        <v>0</v>
      </c>
      <c r="X221" s="19">
        <f t="shared" si="16"/>
        <v>0</v>
      </c>
    </row>
    <row r="222" spans="1:39">
      <c r="A222" s="21">
        <v>44872</v>
      </c>
      <c r="B222" s="17">
        <f>IF(YEAR(Table9[[#This Row],[Date]]) = 2022, WEEKNUM(Table9[[#This Row],[Date]])-13, WEEKNUM(Table9[[#This Row],[Date]])+40)</f>
        <v>33</v>
      </c>
      <c r="C222" s="35" t="s">
        <v>48</v>
      </c>
      <c r="D222" s="35" t="s">
        <v>59</v>
      </c>
      <c r="E222" s="1">
        <v>1109</v>
      </c>
      <c r="F222" s="1">
        <v>619</v>
      </c>
      <c r="G222" s="19">
        <v>-0.13561964146531566</v>
      </c>
      <c r="H222" s="69">
        <v>-4.6224961479198766E-2</v>
      </c>
      <c r="I222" s="1">
        <v>5553</v>
      </c>
      <c r="J222" s="1">
        <v>3666</v>
      </c>
      <c r="K222" s="1">
        <v>159061</v>
      </c>
      <c r="L222" s="1">
        <v>105784</v>
      </c>
      <c r="M222" s="18">
        <v>0.17</v>
      </c>
      <c r="N222" s="18">
        <v>0.44</v>
      </c>
      <c r="O222" s="18">
        <v>0.56000000000000005</v>
      </c>
      <c r="P222" s="18">
        <v>0.68</v>
      </c>
      <c r="Q222" s="18">
        <v>0.81</v>
      </c>
      <c r="R222" s="17">
        <v>0</v>
      </c>
      <c r="S222" s="17">
        <v>0</v>
      </c>
      <c r="T222" s="1">
        <v>8</v>
      </c>
      <c r="U222" s="1" t="str">
        <f t="shared" si="13"/>
        <v>Normal</v>
      </c>
      <c r="V222" s="1" t="str">
        <f t="shared" si="14"/>
        <v>Normal</v>
      </c>
      <c r="W222" s="19">
        <f t="shared" si="15"/>
        <v>-0.13561964146531566</v>
      </c>
      <c r="X222" s="19">
        <f t="shared" si="16"/>
        <v>-4.6224961479198766E-2</v>
      </c>
    </row>
    <row r="223" spans="1:39">
      <c r="A223" s="21">
        <v>44873</v>
      </c>
      <c r="B223" s="17">
        <f>IF(YEAR(Table9[[#This Row],[Date]]) = 2022, WEEKNUM(Table9[[#This Row],[Date]])-13, WEEKNUM(Table9[[#This Row],[Date]])+40)</f>
        <v>33</v>
      </c>
      <c r="C223" s="35" t="s">
        <v>49</v>
      </c>
      <c r="D223" s="35" t="s">
        <v>59</v>
      </c>
      <c r="E223" s="1">
        <v>1082</v>
      </c>
      <c r="F223" s="1">
        <v>740</v>
      </c>
      <c r="G223" s="19">
        <v>4.6421663442940041E-2</v>
      </c>
      <c r="H223" s="69">
        <v>0.34790528233151186</v>
      </c>
      <c r="I223" s="1">
        <v>6635</v>
      </c>
      <c r="J223" s="1">
        <v>4406</v>
      </c>
      <c r="K223" s="1">
        <v>160143</v>
      </c>
      <c r="L223" s="1">
        <v>106524</v>
      </c>
      <c r="M223" s="18">
        <v>0.28999999999999998</v>
      </c>
      <c r="N223" s="18">
        <v>0.32</v>
      </c>
      <c r="O223" s="18">
        <v>0.68</v>
      </c>
      <c r="P223" s="18">
        <v>0.7</v>
      </c>
      <c r="Q223" s="18">
        <v>0.77</v>
      </c>
      <c r="R223" s="17">
        <v>0</v>
      </c>
      <c r="S223" s="17">
        <v>0</v>
      </c>
      <c r="T223" s="1">
        <v>10</v>
      </c>
      <c r="U223" s="1" t="str">
        <f t="shared" si="13"/>
        <v>Normal</v>
      </c>
      <c r="V223" s="1" t="str">
        <f t="shared" si="14"/>
        <v>Outlier</v>
      </c>
      <c r="W223" s="19">
        <f t="shared" si="15"/>
        <v>4.6421663442940041E-2</v>
      </c>
      <c r="X223" s="19">
        <f t="shared" si="16"/>
        <v>0.34790528233151186</v>
      </c>
    </row>
    <row r="224" spans="1:39">
      <c r="A224" s="21">
        <v>44874</v>
      </c>
      <c r="B224" s="17">
        <f>IF(YEAR(Table9[[#This Row],[Date]]) = 2022, WEEKNUM(Table9[[#This Row],[Date]])-13, WEEKNUM(Table9[[#This Row],[Date]])+40)</f>
        <v>33</v>
      </c>
      <c r="C224" s="35" t="s">
        <v>50</v>
      </c>
      <c r="D224" s="35" t="s">
        <v>59</v>
      </c>
      <c r="E224" s="1">
        <v>906</v>
      </c>
      <c r="F224" s="1">
        <v>631</v>
      </c>
      <c r="G224" s="19">
        <v>-7.4565883554647605E-2</v>
      </c>
      <c r="H224" s="69">
        <v>-0.14959568733153639</v>
      </c>
      <c r="I224" s="1">
        <v>7541</v>
      </c>
      <c r="J224" s="1">
        <v>5037</v>
      </c>
      <c r="K224" s="1">
        <v>161049</v>
      </c>
      <c r="L224" s="1">
        <v>107155</v>
      </c>
      <c r="M224" s="69">
        <v>0.28000000000000003</v>
      </c>
      <c r="N224" s="69">
        <v>0.3</v>
      </c>
      <c r="O224" s="69">
        <v>0.7</v>
      </c>
      <c r="P224" s="69">
        <v>0.73</v>
      </c>
      <c r="Q224" s="69">
        <v>0.77</v>
      </c>
      <c r="R224" s="117">
        <v>0</v>
      </c>
      <c r="S224" s="117">
        <v>0</v>
      </c>
      <c r="T224" s="1">
        <v>10</v>
      </c>
      <c r="U224" s="1" t="str">
        <f t="shared" si="13"/>
        <v>Normal</v>
      </c>
      <c r="V224" s="1" t="str">
        <f t="shared" si="14"/>
        <v>Normal</v>
      </c>
      <c r="W224" s="19">
        <f t="shared" si="15"/>
        <v>-7.4565883554647605E-2</v>
      </c>
      <c r="X224" s="19">
        <f t="shared" si="16"/>
        <v>-0.14959568733153639</v>
      </c>
      <c r="Y224" s="249"/>
      <c r="Z224" s="249"/>
      <c r="AA224" s="249"/>
      <c r="AB224" s="249"/>
      <c r="AC224" s="249"/>
      <c r="AD224" s="249"/>
      <c r="AE224" s="249"/>
      <c r="AF224" s="249"/>
      <c r="AG224" s="249"/>
    </row>
    <row r="225" spans="1:39">
      <c r="A225" s="21">
        <v>44875</v>
      </c>
      <c r="B225" s="17">
        <f>IF(YEAR(Table9[[#This Row],[Date]]) = 2022, WEEKNUM(Table9[[#This Row],[Date]])-13, WEEKNUM(Table9[[#This Row],[Date]])+40)</f>
        <v>33</v>
      </c>
      <c r="C225" s="35" t="s">
        <v>51</v>
      </c>
      <c r="D225" s="35" t="s">
        <v>59</v>
      </c>
      <c r="E225" s="1">
        <v>958</v>
      </c>
      <c r="F225" s="1">
        <v>562</v>
      </c>
      <c r="G225" s="19">
        <v>-3.1217481789802288E-3</v>
      </c>
      <c r="H225" s="69">
        <v>-0.19828815977175462</v>
      </c>
      <c r="I225" s="1">
        <v>8499</v>
      </c>
      <c r="J225" s="1">
        <v>5599</v>
      </c>
      <c r="K225" s="1">
        <v>162007</v>
      </c>
      <c r="L225" s="1">
        <v>107717</v>
      </c>
      <c r="M225" s="69">
        <v>0.21</v>
      </c>
      <c r="N225" s="69">
        <v>0.41</v>
      </c>
      <c r="O225" s="69">
        <v>0.59</v>
      </c>
      <c r="P225" s="69">
        <v>0.73</v>
      </c>
      <c r="Q225" s="69">
        <v>0.79</v>
      </c>
      <c r="R225" s="117">
        <v>0</v>
      </c>
      <c r="S225" s="117">
        <v>0</v>
      </c>
      <c r="T225" s="1">
        <v>9</v>
      </c>
      <c r="U225" s="1" t="str">
        <f t="shared" si="13"/>
        <v>Normal</v>
      </c>
      <c r="V225" s="1" t="str">
        <f t="shared" si="14"/>
        <v>Normal</v>
      </c>
      <c r="W225" s="19">
        <f t="shared" si="15"/>
        <v>-3.1217481789802288E-3</v>
      </c>
      <c r="X225" s="19">
        <f t="shared" si="16"/>
        <v>-0.19828815977175462</v>
      </c>
    </row>
    <row r="226" spans="1:39">
      <c r="A226" s="21">
        <v>44876</v>
      </c>
      <c r="B226" s="17">
        <f>IF(YEAR(Table9[[#This Row],[Date]]) = 2022, WEEKNUM(Table9[[#This Row],[Date]])-13, WEEKNUM(Table9[[#This Row],[Date]])+40)</f>
        <v>33</v>
      </c>
      <c r="C226" s="35" t="s">
        <v>52</v>
      </c>
      <c r="D226" s="35" t="s">
        <v>59</v>
      </c>
      <c r="E226" s="1">
        <v>949</v>
      </c>
      <c r="F226" s="1">
        <v>581</v>
      </c>
      <c r="G226" s="19">
        <v>2.3732470334412083E-2</v>
      </c>
      <c r="H226" s="19">
        <v>-0.20301783264746229</v>
      </c>
      <c r="I226" s="1">
        <v>9448</v>
      </c>
      <c r="J226" s="1">
        <v>6180</v>
      </c>
      <c r="K226" s="1">
        <v>162956</v>
      </c>
      <c r="L226" s="1">
        <v>108298</v>
      </c>
      <c r="M226" s="69">
        <v>0.25</v>
      </c>
      <c r="N226" s="69">
        <v>0.39</v>
      </c>
      <c r="O226" s="69">
        <v>0.61</v>
      </c>
      <c r="P226" s="69">
        <v>0.71</v>
      </c>
      <c r="Q226" s="69">
        <v>0.81</v>
      </c>
      <c r="R226" s="117">
        <v>0</v>
      </c>
      <c r="S226" s="117">
        <v>0</v>
      </c>
      <c r="T226" s="1">
        <v>9</v>
      </c>
      <c r="U226" s="1" t="str">
        <f t="shared" si="13"/>
        <v>Normal</v>
      </c>
      <c r="V226" s="1" t="str">
        <f t="shared" si="14"/>
        <v>Normal</v>
      </c>
      <c r="W226" s="19">
        <f t="shared" si="15"/>
        <v>2.3732470334412083E-2</v>
      </c>
      <c r="X226" s="19">
        <f t="shared" si="16"/>
        <v>-0.20301783264746229</v>
      </c>
    </row>
    <row r="227" spans="1:39">
      <c r="A227" s="21">
        <v>44877</v>
      </c>
      <c r="B227" s="17">
        <f>IF(YEAR(Table9[[#This Row],[Date]]) = 2022, WEEKNUM(Table9[[#This Row],[Date]])-13, WEEKNUM(Table9[[#This Row],[Date]])+40)</f>
        <v>33</v>
      </c>
      <c r="C227" s="35" t="s">
        <v>53</v>
      </c>
      <c r="D227" s="35" t="s">
        <v>59</v>
      </c>
      <c r="E227" s="1">
        <v>589</v>
      </c>
      <c r="F227" s="1">
        <v>439</v>
      </c>
      <c r="G227" s="19">
        <v>8.4714548802946599E-2</v>
      </c>
      <c r="H227" s="19">
        <v>0.34662576687116564</v>
      </c>
      <c r="I227" s="1">
        <v>10037</v>
      </c>
      <c r="J227" s="1">
        <v>6619</v>
      </c>
      <c r="K227" s="1">
        <v>163545</v>
      </c>
      <c r="L227" s="1">
        <v>108737</v>
      </c>
      <c r="M227" s="69">
        <v>0.39</v>
      </c>
      <c r="N227" s="69">
        <v>0.25</v>
      </c>
      <c r="O227" s="69">
        <v>0.75</v>
      </c>
      <c r="P227" s="69">
        <v>0.64</v>
      </c>
      <c r="Q227" s="69">
        <v>0.8</v>
      </c>
      <c r="R227" s="117">
        <v>0</v>
      </c>
      <c r="S227" s="117">
        <v>0</v>
      </c>
      <c r="T227" s="1">
        <v>11</v>
      </c>
      <c r="U227" s="1" t="str">
        <f t="shared" si="13"/>
        <v>Normal</v>
      </c>
      <c r="V227" s="1" t="str">
        <f t="shared" si="14"/>
        <v>Outlier</v>
      </c>
      <c r="W227" s="19">
        <f t="shared" si="15"/>
        <v>8.4714548802946599E-2</v>
      </c>
      <c r="X227" s="19">
        <f t="shared" si="16"/>
        <v>0.34662576687116564</v>
      </c>
    </row>
    <row r="228" spans="1:39">
      <c r="A228" s="21">
        <v>44878</v>
      </c>
      <c r="B228" s="17">
        <f>IF(YEAR(Table9[[#This Row],[Date]]) = 2022, WEEKNUM(Table9[[#This Row],[Date]])-13, WEEKNUM(Table9[[#This Row],[Date]])+40)</f>
        <v>34</v>
      </c>
      <c r="C228" s="35" t="s">
        <v>47</v>
      </c>
      <c r="D228" s="35" t="s">
        <v>59</v>
      </c>
      <c r="E228" s="1">
        <v>0</v>
      </c>
      <c r="F228" s="1">
        <v>0</v>
      </c>
      <c r="G228" s="69">
        <v>0</v>
      </c>
      <c r="H228" s="69">
        <v>0</v>
      </c>
      <c r="I228" s="1">
        <v>0</v>
      </c>
      <c r="J228" s="1">
        <v>0</v>
      </c>
      <c r="K228" s="1">
        <v>0</v>
      </c>
      <c r="L228" s="1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117">
        <v>0</v>
      </c>
      <c r="S228" s="117">
        <v>0</v>
      </c>
      <c r="T228" s="1">
        <v>0</v>
      </c>
      <c r="U228" s="1" t="str">
        <f t="shared" si="13"/>
        <v>Normal</v>
      </c>
      <c r="V228" s="1" t="str">
        <f t="shared" si="14"/>
        <v>Normal</v>
      </c>
      <c r="W228" s="19">
        <f t="shared" si="15"/>
        <v>0</v>
      </c>
      <c r="X228" s="19">
        <f t="shared" si="16"/>
        <v>0</v>
      </c>
    </row>
    <row r="229" spans="1:39">
      <c r="A229" s="21">
        <v>44879</v>
      </c>
      <c r="B229" s="17">
        <f>IF(YEAR(Table9[[#This Row],[Date]]) = 2022, WEEKNUM(Table9[[#This Row],[Date]])-13, WEEKNUM(Table9[[#This Row],[Date]])+40)</f>
        <v>34</v>
      </c>
      <c r="C229" s="35" t="s">
        <v>48</v>
      </c>
      <c r="D229" s="35" t="s">
        <v>59</v>
      </c>
      <c r="E229" s="1">
        <v>1164</v>
      </c>
      <c r="F229" s="1">
        <v>555</v>
      </c>
      <c r="G229" s="19">
        <v>4.9594229035166817E-2</v>
      </c>
      <c r="H229" s="69">
        <v>-0.10339256865912763</v>
      </c>
      <c r="I229" s="1">
        <v>11201</v>
      </c>
      <c r="J229" s="1">
        <v>7174</v>
      </c>
      <c r="K229" s="1">
        <v>164709</v>
      </c>
      <c r="L229" s="1">
        <v>109292</v>
      </c>
      <c r="M229" s="18">
        <v>0.16</v>
      </c>
      <c r="N229" s="18">
        <v>0.52</v>
      </c>
      <c r="O229" s="18">
        <v>0.48</v>
      </c>
      <c r="P229" s="18">
        <v>0.8</v>
      </c>
      <c r="Q229" s="18">
        <v>0.78</v>
      </c>
      <c r="R229" s="17">
        <v>0</v>
      </c>
      <c r="S229" s="17">
        <v>0</v>
      </c>
      <c r="T229" s="1">
        <v>10</v>
      </c>
      <c r="U229" s="1" t="str">
        <f t="shared" si="13"/>
        <v>Normal</v>
      </c>
      <c r="V229" s="1" t="str">
        <f t="shared" si="14"/>
        <v>Normal</v>
      </c>
      <c r="W229" s="19">
        <f t="shared" si="15"/>
        <v>4.9594229035166817E-2</v>
      </c>
      <c r="X229" s="19">
        <f t="shared" si="16"/>
        <v>-0.10339256865912763</v>
      </c>
    </row>
    <row r="230" spans="1:39">
      <c r="A230" s="21">
        <v>44880</v>
      </c>
      <c r="B230" s="17">
        <f>IF(YEAR(Table9[[#This Row],[Date]]) = 2022, WEEKNUM(Table9[[#This Row],[Date]])-13, WEEKNUM(Table9[[#This Row],[Date]])+40)</f>
        <v>34</v>
      </c>
      <c r="C230" s="34" t="s">
        <v>49</v>
      </c>
      <c r="D230" s="35" t="s">
        <v>59</v>
      </c>
      <c r="E230" s="1">
        <v>954</v>
      </c>
      <c r="F230" s="1">
        <v>822</v>
      </c>
      <c r="G230" s="19">
        <v>-0.11829944547134935</v>
      </c>
      <c r="H230" s="69">
        <v>0.11081081081081082</v>
      </c>
      <c r="I230" s="1">
        <v>12155</v>
      </c>
      <c r="J230" s="1">
        <v>7996</v>
      </c>
      <c r="K230" s="1">
        <v>165663</v>
      </c>
      <c r="L230" s="1">
        <v>110114</v>
      </c>
      <c r="M230" s="18">
        <v>0.67</v>
      </c>
      <c r="N230" s="18">
        <v>0.14000000000000001</v>
      </c>
      <c r="O230" s="18">
        <v>0.86</v>
      </c>
      <c r="P230" s="18">
        <v>0.74</v>
      </c>
      <c r="Q230" s="18">
        <v>0.81</v>
      </c>
      <c r="R230" s="17">
        <v>0</v>
      </c>
      <c r="S230" s="17">
        <v>0</v>
      </c>
      <c r="T230" s="1">
        <v>12</v>
      </c>
      <c r="U230" s="1" t="str">
        <f t="shared" si="13"/>
        <v>Normal</v>
      </c>
      <c r="V230" s="1" t="str">
        <f t="shared" si="14"/>
        <v>Normal</v>
      </c>
      <c r="W230" s="19">
        <f t="shared" si="15"/>
        <v>-0.11829944547134935</v>
      </c>
      <c r="X230" s="19">
        <f t="shared" si="16"/>
        <v>0.11081081081081082</v>
      </c>
    </row>
    <row r="231" spans="1:39">
      <c r="A231" s="21">
        <v>44881</v>
      </c>
      <c r="B231" s="17">
        <f>IF(YEAR(Table9[[#This Row],[Date]]) = 2022, WEEKNUM(Table9[[#This Row],[Date]])-13, WEEKNUM(Table9[[#This Row],[Date]])+40)</f>
        <v>34</v>
      </c>
      <c r="C231" s="35" t="s">
        <v>50</v>
      </c>
      <c r="D231" s="35" t="s">
        <v>59</v>
      </c>
      <c r="E231" s="1">
        <v>1008</v>
      </c>
      <c r="F231" s="1">
        <v>875</v>
      </c>
      <c r="G231" s="19">
        <v>0.11258278145695365</v>
      </c>
      <c r="H231" s="69">
        <v>0.3866877971473851</v>
      </c>
      <c r="I231" s="1">
        <v>13163</v>
      </c>
      <c r="J231" s="1">
        <v>8871</v>
      </c>
      <c r="K231" s="1">
        <v>166671</v>
      </c>
      <c r="L231" s="1">
        <v>110989</v>
      </c>
      <c r="M231" s="18">
        <v>0.61</v>
      </c>
      <c r="N231" s="18">
        <v>0.13</v>
      </c>
      <c r="O231" s="18">
        <v>0.87</v>
      </c>
      <c r="P231" s="18">
        <v>0.74</v>
      </c>
      <c r="Q231" s="18">
        <v>0.72</v>
      </c>
      <c r="R231" s="17">
        <v>0</v>
      </c>
      <c r="S231" s="17">
        <v>0</v>
      </c>
      <c r="T231" s="1">
        <v>13</v>
      </c>
      <c r="U231" s="1" t="str">
        <f t="shared" si="13"/>
        <v>Normal</v>
      </c>
      <c r="V231" s="1" t="str">
        <f t="shared" si="14"/>
        <v>Outlier</v>
      </c>
      <c r="W231" s="19">
        <f t="shared" si="15"/>
        <v>0.11258278145695365</v>
      </c>
      <c r="X231" s="19">
        <f t="shared" si="16"/>
        <v>0.3866877971473851</v>
      </c>
    </row>
    <row r="232" spans="1:39">
      <c r="A232" s="21">
        <v>44882</v>
      </c>
      <c r="B232" s="17">
        <f>IF(YEAR(Table9[[#This Row],[Date]]) = 2022, WEEKNUM(Table9[[#This Row],[Date]])-13, WEEKNUM(Table9[[#This Row],[Date]])+40)</f>
        <v>34</v>
      </c>
      <c r="C232" s="35" t="s">
        <v>51</v>
      </c>
      <c r="D232" s="35" t="s">
        <v>59</v>
      </c>
      <c r="E232" s="1">
        <v>976</v>
      </c>
      <c r="F232" s="1">
        <v>839</v>
      </c>
      <c r="G232" s="19">
        <v>1.8789144050104383E-2</v>
      </c>
      <c r="H232" s="69">
        <v>0.49288256227758009</v>
      </c>
      <c r="I232" s="1">
        <v>14139</v>
      </c>
      <c r="J232" s="1">
        <v>9710</v>
      </c>
      <c r="K232" s="1">
        <v>167647</v>
      </c>
      <c r="L232" s="1">
        <v>111828</v>
      </c>
      <c r="M232" s="18">
        <v>0.56000000000000005</v>
      </c>
      <c r="N232" s="18">
        <v>0.14000000000000001</v>
      </c>
      <c r="O232" s="18">
        <v>0.86</v>
      </c>
      <c r="P232" s="18">
        <v>0.74</v>
      </c>
      <c r="Q232" s="18">
        <v>0.82</v>
      </c>
      <c r="R232" s="17">
        <v>0</v>
      </c>
      <c r="S232" s="17">
        <v>0</v>
      </c>
      <c r="T232" s="1">
        <v>12</v>
      </c>
      <c r="U232" s="1" t="str">
        <f t="shared" si="13"/>
        <v>Normal</v>
      </c>
      <c r="V232" s="1" t="str">
        <f t="shared" si="14"/>
        <v>Outlier</v>
      </c>
      <c r="W232" s="19">
        <f t="shared" si="15"/>
        <v>1.8789144050104383E-2</v>
      </c>
      <c r="X232" s="19">
        <f t="shared" si="16"/>
        <v>0.49288256227758009</v>
      </c>
    </row>
    <row r="233" spans="1:39">
      <c r="A233" s="21">
        <v>44883</v>
      </c>
      <c r="B233" s="17">
        <f>IF(YEAR(Table9[[#This Row],[Date]]) = 2022, WEEKNUM(Table9[[#This Row],[Date]])-13, WEEKNUM(Table9[[#This Row],[Date]])+40)</f>
        <v>34</v>
      </c>
      <c r="C233" s="35" t="s">
        <v>52</v>
      </c>
      <c r="D233" s="35" t="s">
        <v>59</v>
      </c>
      <c r="E233" s="1">
        <v>965</v>
      </c>
      <c r="F233" s="1">
        <v>787</v>
      </c>
      <c r="G233" s="19">
        <v>1.6859852476290831E-2</v>
      </c>
      <c r="H233" s="19">
        <v>0.35456110154905335</v>
      </c>
      <c r="I233" s="1">
        <v>15104</v>
      </c>
      <c r="J233" s="1">
        <v>10497</v>
      </c>
      <c r="K233" s="1">
        <v>168612</v>
      </c>
      <c r="L233" s="1">
        <v>112615</v>
      </c>
      <c r="M233" s="18">
        <v>0.46</v>
      </c>
      <c r="N233" s="18">
        <v>0.18</v>
      </c>
      <c r="O233" s="18">
        <v>0.82</v>
      </c>
      <c r="P233" s="18">
        <v>0.75</v>
      </c>
      <c r="Q233" s="18">
        <v>0.79</v>
      </c>
      <c r="R233" s="17">
        <v>0</v>
      </c>
      <c r="S233" s="17">
        <v>0</v>
      </c>
      <c r="T233" s="1">
        <v>11</v>
      </c>
      <c r="U233" s="1" t="str">
        <f t="shared" si="13"/>
        <v>Normal</v>
      </c>
      <c r="V233" s="1" t="str">
        <f t="shared" si="14"/>
        <v>Outlier</v>
      </c>
      <c r="W233" s="19">
        <f t="shared" si="15"/>
        <v>1.6859852476290831E-2</v>
      </c>
      <c r="X233" s="19">
        <f t="shared" si="16"/>
        <v>0.35456110154905335</v>
      </c>
    </row>
    <row r="234" spans="1:39">
      <c r="A234" s="21">
        <v>44884</v>
      </c>
      <c r="B234" s="17">
        <f>IF(YEAR(Table9[[#This Row],[Date]]) = 2022, WEEKNUM(Table9[[#This Row],[Date]])-13, WEEKNUM(Table9[[#This Row],[Date]])+40)</f>
        <v>34</v>
      </c>
      <c r="C234" s="35" t="s">
        <v>53</v>
      </c>
      <c r="D234" s="35" t="s">
        <v>59</v>
      </c>
      <c r="E234" s="1">
        <v>708</v>
      </c>
      <c r="F234" s="1">
        <v>325</v>
      </c>
      <c r="G234" s="19">
        <v>0.20203735144312393</v>
      </c>
      <c r="H234" s="19">
        <v>-0.25968109339407747</v>
      </c>
      <c r="I234" s="1">
        <v>15812</v>
      </c>
      <c r="J234" s="1">
        <v>10822</v>
      </c>
      <c r="K234" s="1">
        <v>169320</v>
      </c>
      <c r="L234" s="1">
        <v>112940</v>
      </c>
      <c r="M234" s="18">
        <v>0.19</v>
      </c>
      <c r="N234" s="18">
        <v>0.54</v>
      </c>
      <c r="O234" s="18">
        <v>0.46</v>
      </c>
      <c r="P234" s="18">
        <v>0.83</v>
      </c>
      <c r="Q234" s="18">
        <v>0.92</v>
      </c>
      <c r="R234" s="17">
        <v>0</v>
      </c>
      <c r="S234" s="17">
        <v>0</v>
      </c>
      <c r="T234" s="1">
        <v>6</v>
      </c>
      <c r="U234" s="1" t="str">
        <f t="shared" si="13"/>
        <v>Normal</v>
      </c>
      <c r="V234" s="1" t="str">
        <f t="shared" si="14"/>
        <v>Normal</v>
      </c>
      <c r="W234" s="19">
        <f t="shared" si="15"/>
        <v>0.20203735144312393</v>
      </c>
      <c r="X234" s="19">
        <f t="shared" si="16"/>
        <v>-0.25968109339407747</v>
      </c>
    </row>
    <row r="235" spans="1:39">
      <c r="A235" s="21">
        <v>44885</v>
      </c>
      <c r="B235" s="17">
        <f>IF(YEAR(Table9[[#This Row],[Date]]) = 2022, WEEKNUM(Table9[[#This Row],[Date]])-13, WEEKNUM(Table9[[#This Row],[Date]])+40)</f>
        <v>35</v>
      </c>
      <c r="C235" s="35" t="s">
        <v>47</v>
      </c>
      <c r="D235" s="35" t="s">
        <v>59</v>
      </c>
      <c r="E235" s="1">
        <v>0</v>
      </c>
      <c r="F235" s="1">
        <v>0</v>
      </c>
      <c r="G235" s="69">
        <v>0</v>
      </c>
      <c r="H235" s="69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69">
        <v>0</v>
      </c>
      <c r="Q235" s="1">
        <v>0</v>
      </c>
      <c r="R235" s="17">
        <v>0</v>
      </c>
      <c r="S235" s="17">
        <v>0</v>
      </c>
      <c r="T235" s="1">
        <v>0</v>
      </c>
      <c r="U235" s="1" t="str">
        <f t="shared" si="13"/>
        <v>Normal</v>
      </c>
      <c r="V235" s="1" t="str">
        <f t="shared" si="14"/>
        <v>Normal</v>
      </c>
      <c r="W235" s="19">
        <f t="shared" si="15"/>
        <v>0</v>
      </c>
      <c r="X235" s="19">
        <f t="shared" si="16"/>
        <v>0</v>
      </c>
    </row>
    <row r="236" spans="1:39">
      <c r="A236" s="21">
        <v>44886</v>
      </c>
      <c r="B236" s="17">
        <f>IF(YEAR(Table9[[#This Row],[Date]]) = 2022, WEEKNUM(Table9[[#This Row],[Date]])-13, WEEKNUM(Table9[[#This Row],[Date]])+40)</f>
        <v>35</v>
      </c>
      <c r="C236" s="35" t="s">
        <v>48</v>
      </c>
      <c r="D236" s="35" t="s">
        <v>59</v>
      </c>
      <c r="E236" s="1">
        <v>1429</v>
      </c>
      <c r="F236" s="1">
        <v>589</v>
      </c>
      <c r="G236" s="19">
        <v>0.22766323024054982</v>
      </c>
      <c r="H236" s="69">
        <v>6.126126126126126E-2</v>
      </c>
      <c r="I236" s="1">
        <v>17241</v>
      </c>
      <c r="J236" s="1">
        <v>11411</v>
      </c>
      <c r="K236" s="1">
        <v>170749</v>
      </c>
      <c r="L236" s="1">
        <v>113529</v>
      </c>
      <c r="M236" s="18">
        <v>0.15</v>
      </c>
      <c r="N236" s="18">
        <v>0.59</v>
      </c>
      <c r="O236" s="18">
        <v>0.41</v>
      </c>
      <c r="P236" s="18">
        <v>0.71</v>
      </c>
      <c r="Q236" s="18">
        <v>0.79</v>
      </c>
      <c r="R236" s="17">
        <v>0</v>
      </c>
      <c r="S236" s="17">
        <v>0</v>
      </c>
      <c r="T236" s="1">
        <v>9</v>
      </c>
      <c r="U236" s="1" t="str">
        <f t="shared" si="13"/>
        <v>Normal</v>
      </c>
      <c r="V236" s="1" t="str">
        <f t="shared" si="14"/>
        <v>Normal</v>
      </c>
      <c r="W236" s="19">
        <f t="shared" si="15"/>
        <v>0.22766323024054982</v>
      </c>
      <c r="X236" s="19">
        <f t="shared" si="16"/>
        <v>6.126126126126126E-2</v>
      </c>
      <c r="AK236" s="50"/>
      <c r="AL236" s="50"/>
      <c r="AM236" s="50"/>
    </row>
    <row r="237" spans="1:39">
      <c r="A237" s="21">
        <v>44887</v>
      </c>
      <c r="B237" s="17">
        <f>IF(YEAR(Table9[[#This Row],[Date]]) = 2022, WEEKNUM(Table9[[#This Row],[Date]])-13, WEEKNUM(Table9[[#This Row],[Date]])+40)</f>
        <v>35</v>
      </c>
      <c r="C237" s="35" t="s">
        <v>49</v>
      </c>
      <c r="D237" s="35" t="s">
        <v>59</v>
      </c>
      <c r="E237" s="1">
        <v>1222</v>
      </c>
      <c r="F237" s="1">
        <v>863</v>
      </c>
      <c r="G237" s="19">
        <v>0.2809224318658281</v>
      </c>
      <c r="H237" s="69">
        <v>4.9878345498783457E-2</v>
      </c>
      <c r="I237" s="1">
        <v>18463</v>
      </c>
      <c r="J237" s="1">
        <v>12274</v>
      </c>
      <c r="K237" s="1">
        <v>171971</v>
      </c>
      <c r="L237" s="1">
        <v>114392</v>
      </c>
      <c r="M237" s="18">
        <v>0.27</v>
      </c>
      <c r="N237" s="18">
        <v>0.28999999999999998</v>
      </c>
      <c r="O237" s="18">
        <v>0.71</v>
      </c>
      <c r="P237" s="18">
        <v>0.77</v>
      </c>
      <c r="Q237" s="18">
        <v>0.78</v>
      </c>
      <c r="R237" s="17">
        <v>0</v>
      </c>
      <c r="S237" s="17">
        <v>0</v>
      </c>
      <c r="T237" s="1">
        <v>12</v>
      </c>
      <c r="U237" s="1" t="str">
        <f t="shared" si="13"/>
        <v>Outlier</v>
      </c>
      <c r="V237" s="1" t="str">
        <f t="shared" si="14"/>
        <v>Normal</v>
      </c>
      <c r="W237" s="19">
        <f t="shared" si="15"/>
        <v>0.2809224318658281</v>
      </c>
      <c r="X237" s="19">
        <f t="shared" si="16"/>
        <v>4.9878345498783457E-2</v>
      </c>
    </row>
    <row r="238" spans="1:39">
      <c r="A238" s="21">
        <v>44888</v>
      </c>
      <c r="B238" s="17">
        <f>IF(YEAR(Table9[[#This Row],[Date]]) = 2022, WEEKNUM(Table9[[#This Row],[Date]])-13, WEEKNUM(Table9[[#This Row],[Date]])+40)</f>
        <v>35</v>
      </c>
      <c r="C238" s="35" t="s">
        <v>50</v>
      </c>
      <c r="D238" s="35" t="s">
        <v>59</v>
      </c>
      <c r="E238" s="1">
        <v>1078</v>
      </c>
      <c r="F238" s="1">
        <v>859</v>
      </c>
      <c r="G238" s="19">
        <v>6.9444444444444448E-2</v>
      </c>
      <c r="H238" s="69">
        <v>-1.8285714285714287E-2</v>
      </c>
      <c r="I238" s="1">
        <v>19541</v>
      </c>
      <c r="J238" s="1">
        <v>13133</v>
      </c>
      <c r="K238" s="1">
        <v>173049</v>
      </c>
      <c r="L238" s="1">
        <v>115251</v>
      </c>
      <c r="M238" s="18">
        <v>0.39</v>
      </c>
      <c r="N238" s="18">
        <v>0.2</v>
      </c>
      <c r="O238" s="18">
        <v>0.8</v>
      </c>
      <c r="P238" s="18">
        <v>0.82</v>
      </c>
      <c r="Q238" s="18">
        <v>0.8</v>
      </c>
      <c r="R238" s="17">
        <v>0</v>
      </c>
      <c r="S238" s="17">
        <v>0</v>
      </c>
      <c r="T238" s="1">
        <v>10</v>
      </c>
      <c r="U238" s="1" t="str">
        <f t="shared" si="13"/>
        <v>Normal</v>
      </c>
      <c r="V238" s="1" t="str">
        <f t="shared" si="14"/>
        <v>Normal</v>
      </c>
      <c r="W238" s="19">
        <f t="shared" si="15"/>
        <v>6.9444444444444448E-2</v>
      </c>
      <c r="X238" s="19">
        <f t="shared" si="16"/>
        <v>-1.8285714285714287E-2</v>
      </c>
    </row>
    <row r="239" spans="1:39">
      <c r="A239" s="21">
        <v>44889</v>
      </c>
      <c r="B239" s="17">
        <f>IF(YEAR(Table9[[#This Row],[Date]]) = 2022, WEEKNUM(Table9[[#This Row],[Date]])-13, WEEKNUM(Table9[[#This Row],[Date]])+40)</f>
        <v>35</v>
      </c>
      <c r="C239" s="35" t="s">
        <v>51</v>
      </c>
      <c r="D239" s="35" t="s">
        <v>59</v>
      </c>
      <c r="E239" s="1">
        <v>1249</v>
      </c>
      <c r="F239" s="1">
        <v>798</v>
      </c>
      <c r="G239" s="19">
        <v>0.27971311475409838</v>
      </c>
      <c r="H239" s="69">
        <v>-4.8867699642431463E-2</v>
      </c>
      <c r="I239" s="1">
        <v>20790</v>
      </c>
      <c r="J239" s="1">
        <v>13931</v>
      </c>
      <c r="K239" s="1">
        <v>174298</v>
      </c>
      <c r="L239" s="1">
        <v>116049</v>
      </c>
      <c r="M239" s="18">
        <v>0.21</v>
      </c>
      <c r="N239" s="18">
        <v>0.36</v>
      </c>
      <c r="O239" s="18">
        <v>0.64</v>
      </c>
      <c r="P239" s="18">
        <v>0.82</v>
      </c>
      <c r="Q239" s="18">
        <v>0.79</v>
      </c>
      <c r="R239" s="17">
        <v>0</v>
      </c>
      <c r="S239" s="17">
        <v>0</v>
      </c>
      <c r="T239" s="1">
        <v>11</v>
      </c>
      <c r="U239" s="1" t="str">
        <f t="shared" si="13"/>
        <v>Outlier</v>
      </c>
      <c r="V239" s="1" t="str">
        <f t="shared" si="14"/>
        <v>Normal</v>
      </c>
      <c r="W239" s="19">
        <f t="shared" si="15"/>
        <v>0.27971311475409838</v>
      </c>
      <c r="X239" s="19">
        <f t="shared" si="16"/>
        <v>-4.8867699642431463E-2</v>
      </c>
      <c r="AH239">
        <f>AVERAGEIF(M1:M366,"&lt;&gt;0")</f>
        <v>0.47730639730639735</v>
      </c>
    </row>
    <row r="240" spans="1:39">
      <c r="A240" s="21">
        <v>44890</v>
      </c>
      <c r="B240" s="17">
        <f>IF(YEAR(Table9[[#This Row],[Date]]) = 2022, WEEKNUM(Table9[[#This Row],[Date]])-13, WEEKNUM(Table9[[#This Row],[Date]])+40)</f>
        <v>35</v>
      </c>
      <c r="C240" s="35" t="s">
        <v>52</v>
      </c>
      <c r="D240" s="35" t="s">
        <v>59</v>
      </c>
      <c r="E240" s="1">
        <v>1519</v>
      </c>
      <c r="F240" s="1">
        <v>936</v>
      </c>
      <c r="G240" s="19">
        <v>0.57409326424870466</v>
      </c>
      <c r="H240" s="19">
        <v>0.18932655654383734</v>
      </c>
      <c r="I240" s="1">
        <v>22309</v>
      </c>
      <c r="J240" s="1">
        <v>14867</v>
      </c>
      <c r="K240" s="1">
        <v>175817</v>
      </c>
      <c r="L240" s="1">
        <v>116985</v>
      </c>
      <c r="M240" s="18">
        <v>0.2</v>
      </c>
      <c r="N240" s="18">
        <v>0.38</v>
      </c>
      <c r="O240" s="18">
        <v>0.62</v>
      </c>
      <c r="P240" s="18">
        <v>0.81</v>
      </c>
      <c r="Q240" s="18">
        <v>0.77</v>
      </c>
      <c r="R240" s="17">
        <v>0</v>
      </c>
      <c r="S240" s="17">
        <v>0</v>
      </c>
      <c r="T240" s="1">
        <v>13</v>
      </c>
      <c r="U240" s="1" t="str">
        <f t="shared" si="13"/>
        <v>Outlier</v>
      </c>
      <c r="V240" s="1" t="str">
        <f t="shared" si="14"/>
        <v>Normal</v>
      </c>
      <c r="W240" s="19">
        <f t="shared" si="15"/>
        <v>0.57409326424870466</v>
      </c>
      <c r="X240" s="19">
        <f t="shared" si="16"/>
        <v>0.18932655654383734</v>
      </c>
    </row>
    <row r="241" spans="1:39">
      <c r="A241" s="21">
        <v>44891</v>
      </c>
      <c r="B241" s="17">
        <f>IF(YEAR(Table9[[#This Row],[Date]]) = 2022, WEEKNUM(Table9[[#This Row],[Date]])-13, WEEKNUM(Table9[[#This Row],[Date]])+40)</f>
        <v>35</v>
      </c>
      <c r="C241" s="35" t="s">
        <v>53</v>
      </c>
      <c r="D241" s="35" t="s">
        <v>59</v>
      </c>
      <c r="E241" s="1">
        <v>858</v>
      </c>
      <c r="F241" s="1">
        <v>575</v>
      </c>
      <c r="G241" s="19">
        <v>0.21186440677966101</v>
      </c>
      <c r="H241" s="19">
        <v>0.76923076923076927</v>
      </c>
      <c r="I241" s="1">
        <v>23167</v>
      </c>
      <c r="J241" s="1">
        <v>15442</v>
      </c>
      <c r="K241" s="1">
        <v>176675</v>
      </c>
      <c r="L241" s="1">
        <v>117560</v>
      </c>
      <c r="M241" s="18">
        <v>0.4</v>
      </c>
      <c r="N241" s="18">
        <v>0.33</v>
      </c>
      <c r="O241" s="18">
        <v>0.67</v>
      </c>
      <c r="P241" s="18">
        <v>0.75</v>
      </c>
      <c r="Q241" s="18">
        <v>0.87</v>
      </c>
      <c r="R241" s="17">
        <v>0</v>
      </c>
      <c r="S241" s="17">
        <v>0</v>
      </c>
      <c r="T241" s="1">
        <v>12</v>
      </c>
      <c r="U241" s="1" t="str">
        <f t="shared" si="13"/>
        <v>Normal</v>
      </c>
      <c r="V241" s="1" t="str">
        <f t="shared" si="14"/>
        <v>Outlier</v>
      </c>
      <c r="W241" s="19">
        <f t="shared" si="15"/>
        <v>0.21186440677966101</v>
      </c>
      <c r="X241" s="19">
        <f t="shared" si="16"/>
        <v>0.76923076923076927</v>
      </c>
    </row>
    <row r="242" spans="1:39">
      <c r="A242" s="21">
        <v>44892</v>
      </c>
      <c r="B242" s="17">
        <f>IF(YEAR(Table9[[#This Row],[Date]]) = 2022, WEEKNUM(Table9[[#This Row],[Date]])-13, WEEKNUM(Table9[[#This Row],[Date]])+40)</f>
        <v>36</v>
      </c>
      <c r="C242" s="35" t="s">
        <v>47</v>
      </c>
      <c r="D242" s="35" t="s">
        <v>59</v>
      </c>
      <c r="E242" s="1">
        <v>0</v>
      </c>
      <c r="F242" s="1">
        <v>0</v>
      </c>
      <c r="G242" s="69">
        <v>0</v>
      </c>
      <c r="H242" s="69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9">
        <v>0</v>
      </c>
      <c r="Q242" s="1">
        <v>0</v>
      </c>
      <c r="R242" s="17">
        <v>0</v>
      </c>
      <c r="S242" s="17">
        <v>0</v>
      </c>
      <c r="T242" s="1">
        <v>0</v>
      </c>
      <c r="U242" s="1" t="str">
        <f t="shared" si="13"/>
        <v>Normal</v>
      </c>
      <c r="V242" s="1" t="str">
        <f t="shared" si="14"/>
        <v>Normal</v>
      </c>
      <c r="W242" s="19">
        <f t="shared" si="15"/>
        <v>0</v>
      </c>
      <c r="X242" s="19">
        <f t="shared" si="16"/>
        <v>0</v>
      </c>
    </row>
    <row r="243" spans="1:39">
      <c r="A243" s="21">
        <v>44893</v>
      </c>
      <c r="B243" s="17">
        <f>IF(YEAR(Table9[[#This Row],[Date]]) = 2022, WEEKNUM(Table9[[#This Row],[Date]])-13, WEEKNUM(Table9[[#This Row],[Date]])+40)</f>
        <v>36</v>
      </c>
      <c r="C243" s="35" t="s">
        <v>48</v>
      </c>
      <c r="D243" s="35" t="s">
        <v>59</v>
      </c>
      <c r="E243" s="1">
        <v>1845</v>
      </c>
      <c r="F243" s="1">
        <v>747</v>
      </c>
      <c r="G243" s="19">
        <v>0.29111266620013998</v>
      </c>
      <c r="H243" s="69">
        <v>0.26825127334465193</v>
      </c>
      <c r="I243" s="1">
        <v>25012</v>
      </c>
      <c r="J243" s="1">
        <v>16189</v>
      </c>
      <c r="K243" s="1">
        <v>178520</v>
      </c>
      <c r="L243" s="1">
        <v>118307</v>
      </c>
      <c r="M243" s="18">
        <v>0.14000000000000001</v>
      </c>
      <c r="N243" s="18">
        <v>0.6</v>
      </c>
      <c r="O243" s="18">
        <v>0.4</v>
      </c>
      <c r="P243" s="18">
        <v>0.7</v>
      </c>
      <c r="Q243" s="18">
        <v>0.77</v>
      </c>
      <c r="R243" s="17">
        <v>0</v>
      </c>
      <c r="S243" s="17">
        <v>0</v>
      </c>
      <c r="T243" s="1">
        <v>12</v>
      </c>
      <c r="U243" s="1" t="str">
        <f t="shared" si="13"/>
        <v>Outlier</v>
      </c>
      <c r="V243" s="1" t="str">
        <f t="shared" si="14"/>
        <v>Normal</v>
      </c>
      <c r="W243" s="19">
        <f t="shared" si="15"/>
        <v>0.29111266620013998</v>
      </c>
      <c r="X243" s="19">
        <f t="shared" si="16"/>
        <v>0.26825127334465193</v>
      </c>
    </row>
    <row r="244" spans="1:39">
      <c r="A244" s="21">
        <v>44894</v>
      </c>
      <c r="B244" s="17">
        <f>IF(YEAR(Table9[[#This Row],[Date]]) = 2022, WEEKNUM(Table9[[#This Row],[Date]])-13, WEEKNUM(Table9[[#This Row],[Date]])+40)</f>
        <v>36</v>
      </c>
      <c r="C244" s="35" t="s">
        <v>49</v>
      </c>
      <c r="D244" s="35" t="s">
        <v>59</v>
      </c>
      <c r="E244" s="1">
        <v>1561</v>
      </c>
      <c r="F244" s="1">
        <v>767</v>
      </c>
      <c r="G244" s="19">
        <v>0.27741407528641571</v>
      </c>
      <c r="H244" s="69">
        <v>-0.11123986095017381</v>
      </c>
      <c r="I244" s="1">
        <v>26573</v>
      </c>
      <c r="J244" s="1">
        <v>16956</v>
      </c>
      <c r="K244" s="1">
        <v>180081</v>
      </c>
      <c r="L244" s="1">
        <v>119074</v>
      </c>
      <c r="M244" s="18">
        <v>0.12</v>
      </c>
      <c r="N244" s="18">
        <v>0.51</v>
      </c>
      <c r="O244" s="18">
        <v>0.49</v>
      </c>
      <c r="P244" s="18">
        <v>0.66</v>
      </c>
      <c r="Q244" s="18">
        <v>0.78</v>
      </c>
      <c r="R244" s="17">
        <v>0</v>
      </c>
      <c r="S244" s="17">
        <v>0</v>
      </c>
      <c r="T244" s="1">
        <v>13</v>
      </c>
      <c r="U244" s="1" t="str">
        <f t="shared" si="13"/>
        <v>Outlier</v>
      </c>
      <c r="V244" s="1" t="str">
        <f t="shared" si="14"/>
        <v>Normal</v>
      </c>
      <c r="W244" s="19">
        <f t="shared" si="15"/>
        <v>0.27741407528641571</v>
      </c>
      <c r="X244" s="19">
        <f t="shared" si="16"/>
        <v>-0.11123986095017381</v>
      </c>
    </row>
    <row r="245" spans="1:39">
      <c r="A245" s="21">
        <v>44895</v>
      </c>
      <c r="B245" s="17">
        <f>IF(YEAR(Table9[[#This Row],[Date]]) = 2022, WEEKNUM(Table9[[#This Row],[Date]])-13, WEEKNUM(Table9[[#This Row],[Date]])+40)</f>
        <v>36</v>
      </c>
      <c r="C245" s="35" t="s">
        <v>50</v>
      </c>
      <c r="D245" s="35" t="s">
        <v>59</v>
      </c>
      <c r="E245" s="1">
        <v>1522</v>
      </c>
      <c r="F245" s="1">
        <v>850</v>
      </c>
      <c r="G245" s="19">
        <v>0.41187384044526903</v>
      </c>
      <c r="H245" s="69">
        <v>-1.0477299185098952E-2</v>
      </c>
      <c r="I245" s="1">
        <v>28095</v>
      </c>
      <c r="J245" s="1">
        <v>17806</v>
      </c>
      <c r="K245" s="1">
        <v>181603</v>
      </c>
      <c r="L245" s="1">
        <v>119924</v>
      </c>
      <c r="M245" s="18">
        <v>0.15</v>
      </c>
      <c r="N245" s="18">
        <v>0.44</v>
      </c>
      <c r="O245" s="18">
        <v>0.56000000000000005</v>
      </c>
      <c r="P245" s="18">
        <v>0.76</v>
      </c>
      <c r="Q245" s="18">
        <v>0.79</v>
      </c>
      <c r="R245" s="17">
        <v>0</v>
      </c>
      <c r="S245" s="17">
        <v>0</v>
      </c>
      <c r="T245" s="1">
        <v>13</v>
      </c>
      <c r="U245" s="1" t="str">
        <f t="shared" si="13"/>
        <v>Outlier</v>
      </c>
      <c r="V245" s="1" t="str">
        <f t="shared" si="14"/>
        <v>Normal</v>
      </c>
      <c r="W245" s="19">
        <f t="shared" si="15"/>
        <v>0.41187384044526903</v>
      </c>
      <c r="X245" s="19">
        <f t="shared" si="16"/>
        <v>-1.0477299185098952E-2</v>
      </c>
    </row>
    <row r="246" spans="1:39" s="50" customFormat="1">
      <c r="A246" s="54">
        <v>44896</v>
      </c>
      <c r="B246" s="131">
        <f>IF(YEAR(Table9[[#This Row],[Date]]) = 2022, WEEKNUM(Table9[[#This Row],[Date]])-13, WEEKNUM(Table9[[#This Row],[Date]])+40)</f>
        <v>36</v>
      </c>
      <c r="C246" s="51" t="s">
        <v>51</v>
      </c>
      <c r="D246" s="51" t="s">
        <v>59</v>
      </c>
      <c r="E246" s="52">
        <v>1376</v>
      </c>
      <c r="F246" s="52">
        <v>792</v>
      </c>
      <c r="G246" s="143">
        <v>0.10168134507606084</v>
      </c>
      <c r="H246" s="106">
        <v>-7.5187969924812026E-3</v>
      </c>
      <c r="I246" s="52">
        <v>1376</v>
      </c>
      <c r="J246" s="52">
        <v>792</v>
      </c>
      <c r="K246" s="52">
        <v>182979</v>
      </c>
      <c r="L246" s="52">
        <v>120716</v>
      </c>
      <c r="M246" s="53">
        <v>0.16</v>
      </c>
      <c r="N246" s="53">
        <v>0.42</v>
      </c>
      <c r="O246" s="53">
        <v>0.57999999999999996</v>
      </c>
      <c r="P246" s="53">
        <v>0.78</v>
      </c>
      <c r="Q246" s="53">
        <v>0.78</v>
      </c>
      <c r="R246" s="131">
        <v>0</v>
      </c>
      <c r="S246" s="131">
        <v>0</v>
      </c>
      <c r="T246" s="52">
        <v>12</v>
      </c>
      <c r="U246" s="52" t="str">
        <f t="shared" si="13"/>
        <v>Normal</v>
      </c>
      <c r="V246" s="52" t="str">
        <f t="shared" si="14"/>
        <v>Normal</v>
      </c>
      <c r="W246" s="143">
        <f t="shared" si="15"/>
        <v>0.10168134507606084</v>
      </c>
      <c r="X246" s="143">
        <f t="shared" si="16"/>
        <v>-7.5187969924812026E-3</v>
      </c>
      <c r="AK246"/>
      <c r="AL246"/>
      <c r="AM246"/>
    </row>
    <row r="247" spans="1:39">
      <c r="A247" s="21">
        <v>44897</v>
      </c>
      <c r="B247" s="17">
        <f>IF(YEAR(Table9[[#This Row],[Date]]) = 2022, WEEKNUM(Table9[[#This Row],[Date]])-13, WEEKNUM(Table9[[#This Row],[Date]])+40)</f>
        <v>36</v>
      </c>
      <c r="C247" s="35" t="s">
        <v>52</v>
      </c>
      <c r="D247" s="35" t="s">
        <v>59</v>
      </c>
      <c r="E247" s="1">
        <v>1350</v>
      </c>
      <c r="F247" s="1">
        <v>832</v>
      </c>
      <c r="G247" s="19">
        <v>-0.11125740618828177</v>
      </c>
      <c r="H247" s="19">
        <v>-0.1111111111111111</v>
      </c>
      <c r="I247" s="1">
        <v>2726</v>
      </c>
      <c r="J247" s="1">
        <v>1624</v>
      </c>
      <c r="K247" s="1">
        <v>184329</v>
      </c>
      <c r="L247" s="1">
        <v>121548</v>
      </c>
      <c r="M247" s="18">
        <v>0.16</v>
      </c>
      <c r="N247" s="18">
        <v>0.38</v>
      </c>
      <c r="O247" s="18">
        <v>0.62</v>
      </c>
      <c r="P247" s="18">
        <v>0.77</v>
      </c>
      <c r="Q247" s="18">
        <v>0.77</v>
      </c>
      <c r="R247" s="17">
        <v>0</v>
      </c>
      <c r="S247" s="17">
        <v>0</v>
      </c>
      <c r="T247" s="1">
        <v>13</v>
      </c>
      <c r="U247" s="1" t="str">
        <f t="shared" si="13"/>
        <v>Normal</v>
      </c>
      <c r="V247" s="1" t="str">
        <f t="shared" si="14"/>
        <v>Normal</v>
      </c>
      <c r="W247" s="19">
        <f t="shared" si="15"/>
        <v>-0.11125740618828177</v>
      </c>
      <c r="X247" s="19">
        <f t="shared" si="16"/>
        <v>-0.1111111111111111</v>
      </c>
    </row>
    <row r="248" spans="1:39">
      <c r="A248" s="21">
        <v>44898</v>
      </c>
      <c r="B248" s="17">
        <f>IF(YEAR(Table9[[#This Row],[Date]]) = 2022, WEEKNUM(Table9[[#This Row],[Date]])-13, WEEKNUM(Table9[[#This Row],[Date]])+40)</f>
        <v>36</v>
      </c>
      <c r="C248" s="35" t="s">
        <v>53</v>
      </c>
      <c r="D248" s="35" t="s">
        <v>59</v>
      </c>
      <c r="E248" s="1">
        <v>862</v>
      </c>
      <c r="F248" s="1">
        <v>619</v>
      </c>
      <c r="G248" s="19">
        <v>4.662004662004662E-3</v>
      </c>
      <c r="H248" s="19">
        <v>7.6521739130434779E-2</v>
      </c>
      <c r="I248" s="1">
        <v>3588</v>
      </c>
      <c r="J248" s="1">
        <v>2243</v>
      </c>
      <c r="K248" s="1">
        <v>185191</v>
      </c>
      <c r="L248" s="1">
        <v>122167</v>
      </c>
      <c r="M248" s="18">
        <v>0.3</v>
      </c>
      <c r="N248" s="18">
        <v>0.28000000000000003</v>
      </c>
      <c r="O248" s="18">
        <v>0.72</v>
      </c>
      <c r="P248" s="18">
        <v>0.72</v>
      </c>
      <c r="Q248" s="18">
        <v>0.83</v>
      </c>
      <c r="R248" s="17">
        <v>0</v>
      </c>
      <c r="S248" s="17">
        <v>0</v>
      </c>
      <c r="T248" s="1">
        <v>14</v>
      </c>
      <c r="U248" s="1" t="str">
        <f t="shared" si="13"/>
        <v>Normal</v>
      </c>
      <c r="V248" s="1" t="str">
        <f t="shared" si="14"/>
        <v>Normal</v>
      </c>
      <c r="W248" s="19">
        <f t="shared" si="15"/>
        <v>4.662004662004662E-3</v>
      </c>
      <c r="X248" s="19">
        <f t="shared" si="16"/>
        <v>7.6521739130434779E-2</v>
      </c>
    </row>
    <row r="249" spans="1:39">
      <c r="A249" s="21">
        <v>44899</v>
      </c>
      <c r="B249" s="17">
        <f>IF(YEAR(Table9[[#This Row],[Date]]) = 2022, WEEKNUM(Table9[[#This Row],[Date]])-13, WEEKNUM(Table9[[#This Row],[Date]])+40)</f>
        <v>37</v>
      </c>
      <c r="C249" s="35" t="s">
        <v>47</v>
      </c>
      <c r="D249" s="35" t="s">
        <v>59</v>
      </c>
      <c r="E249" s="1">
        <v>0</v>
      </c>
      <c r="F249" s="1">
        <v>0</v>
      </c>
      <c r="G249" s="69">
        <v>0</v>
      </c>
      <c r="H249" s="69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69">
        <v>0</v>
      </c>
      <c r="Q249" s="1">
        <v>0</v>
      </c>
      <c r="R249" s="17">
        <v>0</v>
      </c>
      <c r="S249" s="17">
        <v>0</v>
      </c>
      <c r="T249" s="1">
        <v>0</v>
      </c>
      <c r="U249" s="1" t="str">
        <f t="shared" si="13"/>
        <v>Normal</v>
      </c>
      <c r="V249" s="1" t="str">
        <f t="shared" si="14"/>
        <v>Normal</v>
      </c>
      <c r="W249" s="19">
        <f t="shared" si="15"/>
        <v>0</v>
      </c>
      <c r="X249" s="19">
        <f t="shared" si="16"/>
        <v>0</v>
      </c>
    </row>
    <row r="250" spans="1:39">
      <c r="A250" s="21">
        <v>44900</v>
      </c>
      <c r="B250" s="17">
        <f>IF(YEAR(Table9[[#This Row],[Date]]) = 2022, WEEKNUM(Table9[[#This Row],[Date]])-13, WEEKNUM(Table9[[#This Row],[Date]])+40)</f>
        <v>37</v>
      </c>
      <c r="C250" s="35" t="s">
        <v>48</v>
      </c>
      <c r="D250" s="35" t="s">
        <v>59</v>
      </c>
      <c r="E250" s="1">
        <v>1492</v>
      </c>
      <c r="F250" s="1">
        <v>923</v>
      </c>
      <c r="G250" s="19">
        <v>-0.19132791327913279</v>
      </c>
      <c r="H250" s="19">
        <v>0.23560910307898258</v>
      </c>
      <c r="I250" s="1">
        <v>5080</v>
      </c>
      <c r="J250" s="1">
        <v>3166</v>
      </c>
      <c r="K250" s="1">
        <v>186683</v>
      </c>
      <c r="L250" s="1">
        <v>123090</v>
      </c>
      <c r="M250" s="18">
        <v>0.25</v>
      </c>
      <c r="N250" s="18">
        <v>0.38</v>
      </c>
      <c r="O250" s="18">
        <v>0.62</v>
      </c>
      <c r="P250" s="18">
        <v>0.78</v>
      </c>
      <c r="Q250" s="18">
        <v>0.78</v>
      </c>
      <c r="R250" s="17">
        <v>0</v>
      </c>
      <c r="S250" s="17">
        <v>0</v>
      </c>
      <c r="T250" s="1">
        <v>13</v>
      </c>
      <c r="U250" s="1" t="str">
        <f t="shared" si="13"/>
        <v>Normal</v>
      </c>
      <c r="V250" s="1" t="str">
        <f t="shared" si="14"/>
        <v>Normal</v>
      </c>
      <c r="W250" s="19">
        <f t="shared" si="15"/>
        <v>-0.19132791327913279</v>
      </c>
      <c r="X250" s="19">
        <f t="shared" si="16"/>
        <v>0.23560910307898258</v>
      </c>
    </row>
    <row r="251" spans="1:39">
      <c r="A251" s="21">
        <v>44901</v>
      </c>
      <c r="B251" s="17">
        <f>IF(YEAR(Table9[[#This Row],[Date]]) = 2022, WEEKNUM(Table9[[#This Row],[Date]])-13, WEEKNUM(Table9[[#This Row],[Date]])+40)</f>
        <v>37</v>
      </c>
      <c r="C251" s="35" t="s">
        <v>49</v>
      </c>
      <c r="D251" s="35" t="s">
        <v>59</v>
      </c>
      <c r="E251" s="1">
        <v>1341</v>
      </c>
      <c r="F251" s="1">
        <v>879</v>
      </c>
      <c r="G251" s="19">
        <v>-0.14093529788597053</v>
      </c>
      <c r="H251" s="19">
        <v>0.14602346805736635</v>
      </c>
      <c r="I251" s="1">
        <v>6421</v>
      </c>
      <c r="J251" s="1">
        <v>4045</v>
      </c>
      <c r="K251" s="1">
        <v>188024</v>
      </c>
      <c r="L251" s="1">
        <v>123969</v>
      </c>
      <c r="M251" s="18">
        <v>0.27</v>
      </c>
      <c r="N251" s="18">
        <v>0.34</v>
      </c>
      <c r="O251" s="18">
        <v>0.66</v>
      </c>
      <c r="P251" s="18">
        <v>0.74</v>
      </c>
      <c r="Q251" s="18">
        <v>0.77</v>
      </c>
      <c r="R251" s="17">
        <v>0</v>
      </c>
      <c r="S251" s="17">
        <v>0</v>
      </c>
      <c r="T251" s="1">
        <v>14</v>
      </c>
      <c r="U251" s="1" t="str">
        <f t="shared" si="13"/>
        <v>Normal</v>
      </c>
      <c r="V251" s="1" t="str">
        <f t="shared" si="14"/>
        <v>Normal</v>
      </c>
      <c r="W251" s="19">
        <f t="shared" si="15"/>
        <v>-0.14093529788597053</v>
      </c>
      <c r="X251" s="19">
        <f t="shared" si="16"/>
        <v>0.14602346805736635</v>
      </c>
    </row>
    <row r="252" spans="1:39">
      <c r="A252" s="21">
        <v>44902</v>
      </c>
      <c r="B252" s="17">
        <f>IF(YEAR(Table9[[#This Row],[Date]]) = 2022, WEEKNUM(Table9[[#This Row],[Date]])-13, WEEKNUM(Table9[[#This Row],[Date]])+40)</f>
        <v>37</v>
      </c>
      <c r="C252" s="35" t="s">
        <v>50</v>
      </c>
      <c r="D252" s="35" t="s">
        <v>59</v>
      </c>
      <c r="E252" s="1">
        <v>1277</v>
      </c>
      <c r="F252" s="1">
        <v>921</v>
      </c>
      <c r="G252" s="19">
        <v>-0.16097240473061761</v>
      </c>
      <c r="H252" s="19">
        <v>8.352941176470588E-2</v>
      </c>
      <c r="I252" s="1">
        <v>7698</v>
      </c>
      <c r="J252" s="1">
        <v>4966</v>
      </c>
      <c r="K252" s="1">
        <v>189301</v>
      </c>
      <c r="L252" s="1">
        <v>124890</v>
      </c>
      <c r="M252" s="18">
        <v>0.36</v>
      </c>
      <c r="N252" s="18">
        <v>0.28000000000000003</v>
      </c>
      <c r="O252" s="18">
        <v>0.72</v>
      </c>
      <c r="P252" s="18">
        <v>0.81</v>
      </c>
      <c r="Q252" s="18">
        <v>0.76</v>
      </c>
      <c r="R252" s="17">
        <v>0</v>
      </c>
      <c r="S252" s="17">
        <v>0</v>
      </c>
      <c r="T252" s="1">
        <v>13</v>
      </c>
      <c r="U252" s="1" t="str">
        <f t="shared" si="13"/>
        <v>Normal</v>
      </c>
      <c r="V252" s="1" t="str">
        <f t="shared" si="14"/>
        <v>Normal</v>
      </c>
      <c r="W252" s="19">
        <f t="shared" si="15"/>
        <v>-0.16097240473061761</v>
      </c>
      <c r="X252" s="19">
        <f t="shared" si="16"/>
        <v>8.352941176470588E-2</v>
      </c>
    </row>
    <row r="253" spans="1:39">
      <c r="A253" s="21">
        <v>44903</v>
      </c>
      <c r="B253" s="17">
        <f>IF(YEAR(Table9[[#This Row],[Date]]) = 2022, WEEKNUM(Table9[[#This Row],[Date]])-13, WEEKNUM(Table9[[#This Row],[Date]])+40)</f>
        <v>37</v>
      </c>
      <c r="C253" s="35" t="s">
        <v>51</v>
      </c>
      <c r="D253" s="35" t="s">
        <v>59</v>
      </c>
      <c r="E253" s="1">
        <v>1409</v>
      </c>
      <c r="F253" s="1">
        <v>765</v>
      </c>
      <c r="G253" s="19">
        <v>2.3982558139534885E-2</v>
      </c>
      <c r="H253" s="19">
        <v>-3.4090909090909088E-2</v>
      </c>
      <c r="I253" s="1">
        <v>9107</v>
      </c>
      <c r="J253" s="1">
        <v>5731</v>
      </c>
      <c r="K253" s="1">
        <v>190710</v>
      </c>
      <c r="L253" s="1">
        <v>125655</v>
      </c>
      <c r="M253" s="18">
        <v>0.19</v>
      </c>
      <c r="N253" s="18">
        <v>0.46</v>
      </c>
      <c r="O253" s="18">
        <v>0.54</v>
      </c>
      <c r="P253" s="18">
        <v>0.8</v>
      </c>
      <c r="Q253" s="18">
        <v>0.78</v>
      </c>
      <c r="R253" s="17">
        <v>0</v>
      </c>
      <c r="S253" s="17">
        <v>0</v>
      </c>
      <c r="T253" s="1">
        <v>13</v>
      </c>
      <c r="U253" s="1" t="str">
        <f t="shared" si="13"/>
        <v>Normal</v>
      </c>
      <c r="V253" s="1" t="str">
        <f t="shared" si="14"/>
        <v>Normal</v>
      </c>
      <c r="W253" s="19">
        <f t="shared" si="15"/>
        <v>2.3982558139534885E-2</v>
      </c>
      <c r="X253" s="19">
        <f t="shared" si="16"/>
        <v>-3.4090909090909088E-2</v>
      </c>
    </row>
    <row r="254" spans="1:39">
      <c r="A254" s="21">
        <v>44904</v>
      </c>
      <c r="B254" s="17">
        <f>IF(YEAR(Table9[[#This Row],[Date]]) = 2022, WEEKNUM(Table9[[#This Row],[Date]])-13, WEEKNUM(Table9[[#This Row],[Date]])+40)</f>
        <v>37</v>
      </c>
      <c r="C254" s="35" t="s">
        <v>52</v>
      </c>
      <c r="D254" s="35" t="s">
        <v>59</v>
      </c>
      <c r="E254" s="1">
        <v>1143</v>
      </c>
      <c r="F254" s="1">
        <v>879</v>
      </c>
      <c r="G254" s="19">
        <v>-0.15333333333333332</v>
      </c>
      <c r="H254" s="19">
        <v>5.6490384615384616E-2</v>
      </c>
      <c r="I254" s="1">
        <v>10250</v>
      </c>
      <c r="J254" s="1">
        <v>6610</v>
      </c>
      <c r="K254" s="1">
        <v>191853</v>
      </c>
      <c r="L254" s="1">
        <v>126534</v>
      </c>
      <c r="M254" s="18">
        <v>0.39</v>
      </c>
      <c r="N254" s="18">
        <v>0.23</v>
      </c>
      <c r="O254" s="18">
        <v>0.77</v>
      </c>
      <c r="P254" s="18">
        <v>0.74</v>
      </c>
      <c r="Q254" s="18">
        <v>0.79</v>
      </c>
      <c r="R254" s="17">
        <v>0</v>
      </c>
      <c r="S254" s="17">
        <v>0</v>
      </c>
      <c r="T254" s="1">
        <v>12</v>
      </c>
      <c r="U254" s="1" t="str">
        <f t="shared" si="13"/>
        <v>Normal</v>
      </c>
      <c r="V254" s="1" t="str">
        <f t="shared" si="14"/>
        <v>Normal</v>
      </c>
      <c r="W254" s="19">
        <f t="shared" si="15"/>
        <v>-0.15333333333333332</v>
      </c>
      <c r="X254" s="19">
        <f t="shared" si="16"/>
        <v>5.6490384615384616E-2</v>
      </c>
    </row>
    <row r="255" spans="1:39">
      <c r="A255" s="21">
        <v>44905</v>
      </c>
      <c r="B255" s="17">
        <f>IF(YEAR(Table9[[#This Row],[Date]]) = 2022, WEEKNUM(Table9[[#This Row],[Date]])-13, WEEKNUM(Table9[[#This Row],[Date]])+40)</f>
        <v>37</v>
      </c>
      <c r="C255" s="35" t="s">
        <v>53</v>
      </c>
      <c r="D255" s="35" t="s">
        <v>59</v>
      </c>
      <c r="E255" s="1">
        <v>804</v>
      </c>
      <c r="F255" s="1">
        <v>656</v>
      </c>
      <c r="G255" s="19">
        <v>-6.7285382830626447E-2</v>
      </c>
      <c r="H255" s="19">
        <v>5.9773828756058162E-2</v>
      </c>
      <c r="I255" s="1">
        <v>11054</v>
      </c>
      <c r="J255" s="1">
        <v>7266</v>
      </c>
      <c r="K255" s="1">
        <v>192657</v>
      </c>
      <c r="L255" s="1">
        <v>127190</v>
      </c>
      <c r="M255" s="18">
        <v>0.47</v>
      </c>
      <c r="N255" s="18">
        <v>0.23</v>
      </c>
      <c r="O255" s="18">
        <v>0.77</v>
      </c>
      <c r="P255" s="18">
        <v>0.72</v>
      </c>
      <c r="Q255" s="18">
        <v>0.86</v>
      </c>
      <c r="R255" s="17">
        <v>0</v>
      </c>
      <c r="S255" s="17">
        <v>0</v>
      </c>
      <c r="T255" s="1">
        <v>15</v>
      </c>
      <c r="U255" s="1" t="str">
        <f t="shared" si="13"/>
        <v>Normal</v>
      </c>
      <c r="V255" s="1" t="str">
        <f t="shared" si="14"/>
        <v>Normal</v>
      </c>
      <c r="W255" s="19">
        <f t="shared" si="15"/>
        <v>-6.7285382830626447E-2</v>
      </c>
      <c r="X255" s="19">
        <f t="shared" si="16"/>
        <v>5.9773828756058162E-2</v>
      </c>
    </row>
    <row r="256" spans="1:39">
      <c r="A256" s="21">
        <v>44906</v>
      </c>
      <c r="B256" s="17">
        <f>IF(YEAR(Table9[[#This Row],[Date]]) = 2022, WEEKNUM(Table9[[#This Row],[Date]])-13, WEEKNUM(Table9[[#This Row],[Date]])+40)</f>
        <v>38</v>
      </c>
      <c r="C256" s="35" t="s">
        <v>47</v>
      </c>
      <c r="D256" s="35" t="s">
        <v>59</v>
      </c>
      <c r="E256" s="1">
        <v>0</v>
      </c>
      <c r="F256" s="1">
        <v>0</v>
      </c>
      <c r="G256" s="19">
        <v>0</v>
      </c>
      <c r="H256" s="19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9">
        <v>0</v>
      </c>
      <c r="Q256" s="1">
        <v>0</v>
      </c>
      <c r="R256" s="17">
        <v>0</v>
      </c>
      <c r="S256" s="17">
        <v>0</v>
      </c>
      <c r="T256" s="1">
        <v>0</v>
      </c>
      <c r="U256" s="1" t="str">
        <f t="shared" si="13"/>
        <v>Normal</v>
      </c>
      <c r="V256" s="1" t="str">
        <f t="shared" si="14"/>
        <v>Normal</v>
      </c>
      <c r="W256" s="19">
        <f t="shared" si="15"/>
        <v>0</v>
      </c>
      <c r="X256" s="19">
        <f t="shared" si="16"/>
        <v>0</v>
      </c>
    </row>
    <row r="257" spans="1:39">
      <c r="A257" s="21">
        <v>44907</v>
      </c>
      <c r="B257" s="17">
        <f>IF(YEAR(Table9[[#This Row],[Date]]) = 2022, WEEKNUM(Table9[[#This Row],[Date]])-13, WEEKNUM(Table9[[#This Row],[Date]])+40)</f>
        <v>38</v>
      </c>
      <c r="C257" s="35" t="s">
        <v>48</v>
      </c>
      <c r="D257" s="35" t="s">
        <v>59</v>
      </c>
      <c r="E257" s="1">
        <v>1382</v>
      </c>
      <c r="F257" s="1">
        <v>1035</v>
      </c>
      <c r="G257" s="19">
        <v>-7.3726541554959779E-2</v>
      </c>
      <c r="H257" s="19">
        <v>0.12134344528710726</v>
      </c>
      <c r="I257" s="1">
        <v>12436</v>
      </c>
      <c r="J257" s="1">
        <v>8301</v>
      </c>
      <c r="K257" s="1">
        <v>194039</v>
      </c>
      <c r="L257" s="1">
        <v>128225</v>
      </c>
      <c r="M257" s="18">
        <v>0.28000000000000003</v>
      </c>
      <c r="N257" s="18">
        <v>0.25</v>
      </c>
      <c r="O257" s="18">
        <v>0.75</v>
      </c>
      <c r="P257" s="18">
        <v>0.83</v>
      </c>
      <c r="Q257" s="18">
        <v>0.86</v>
      </c>
      <c r="R257" s="17">
        <v>0</v>
      </c>
      <c r="S257" s="17">
        <v>0</v>
      </c>
      <c r="T257" s="1">
        <v>14</v>
      </c>
      <c r="U257" s="1" t="str">
        <f t="shared" si="13"/>
        <v>Normal</v>
      </c>
      <c r="V257" s="1" t="str">
        <f t="shared" si="14"/>
        <v>Normal</v>
      </c>
      <c r="W257" s="19">
        <f t="shared" si="15"/>
        <v>-7.3726541554959779E-2</v>
      </c>
      <c r="X257" s="19">
        <f t="shared" si="16"/>
        <v>0.12134344528710726</v>
      </c>
    </row>
    <row r="258" spans="1:39">
      <c r="A258" s="21">
        <v>44908</v>
      </c>
      <c r="B258" s="17">
        <f>IF(YEAR(Table9[[#This Row],[Date]]) = 2022, WEEKNUM(Table9[[#This Row],[Date]])-13, WEEKNUM(Table9[[#This Row],[Date]])+40)</f>
        <v>38</v>
      </c>
      <c r="C258" s="35" t="s">
        <v>49</v>
      </c>
      <c r="D258" s="35" t="s">
        <v>59</v>
      </c>
      <c r="E258" s="1">
        <v>1311</v>
      </c>
      <c r="F258" s="1">
        <v>887</v>
      </c>
      <c r="G258" s="19">
        <v>-2.2371364653243849E-2</v>
      </c>
      <c r="H258" s="19">
        <v>9.1012514220705342E-3</v>
      </c>
      <c r="I258" s="1">
        <v>13747</v>
      </c>
      <c r="J258" s="1">
        <v>9188</v>
      </c>
      <c r="K258" s="1">
        <v>195350</v>
      </c>
      <c r="L258" s="1">
        <v>129112</v>
      </c>
      <c r="M258" s="18">
        <v>0.27</v>
      </c>
      <c r="N258" s="18">
        <v>0.32</v>
      </c>
      <c r="O258" s="18">
        <v>0.68</v>
      </c>
      <c r="P258" s="18">
        <v>0.75</v>
      </c>
      <c r="Q258" s="18">
        <v>0.77</v>
      </c>
      <c r="R258" s="17">
        <v>0</v>
      </c>
      <c r="S258" s="17">
        <v>0</v>
      </c>
      <c r="T258" s="1">
        <v>13</v>
      </c>
      <c r="U258" s="1" t="str">
        <f t="shared" si="13"/>
        <v>Normal</v>
      </c>
      <c r="V258" s="1" t="str">
        <f t="shared" si="14"/>
        <v>Normal</v>
      </c>
      <c r="W258" s="19">
        <f t="shared" si="15"/>
        <v>-2.2371364653243849E-2</v>
      </c>
      <c r="X258" s="19">
        <f t="shared" si="16"/>
        <v>9.1012514220705342E-3</v>
      </c>
    </row>
    <row r="259" spans="1:39">
      <c r="A259" s="21">
        <v>44909</v>
      </c>
      <c r="B259" s="17">
        <f>IF(YEAR(Table9[[#This Row],[Date]]) = 2022, WEEKNUM(Table9[[#This Row],[Date]])-13, WEEKNUM(Table9[[#This Row],[Date]])+40)</f>
        <v>38</v>
      </c>
      <c r="C259" s="35" t="s">
        <v>50</v>
      </c>
      <c r="D259" s="35" t="s">
        <v>59</v>
      </c>
      <c r="E259" s="1">
        <v>1340</v>
      </c>
      <c r="F259" s="1">
        <v>901</v>
      </c>
      <c r="G259" s="19">
        <v>4.9334377447141739E-2</v>
      </c>
      <c r="H259" s="19">
        <v>-2.1715526601520086E-2</v>
      </c>
      <c r="I259" s="1">
        <v>15087</v>
      </c>
      <c r="J259" s="1">
        <v>10089</v>
      </c>
      <c r="K259" s="1">
        <v>196690</v>
      </c>
      <c r="L259" s="1">
        <v>130013</v>
      </c>
      <c r="M259" s="18">
        <v>0.25</v>
      </c>
      <c r="N259" s="18">
        <v>0.33</v>
      </c>
      <c r="O259" s="18">
        <v>0.67</v>
      </c>
      <c r="P259" s="18">
        <v>0.75</v>
      </c>
      <c r="Q259" s="18">
        <v>0.76</v>
      </c>
      <c r="R259" s="17">
        <v>0</v>
      </c>
      <c r="S259" s="17">
        <v>0</v>
      </c>
      <c r="T259" s="1">
        <v>14</v>
      </c>
      <c r="U259" s="1" t="str">
        <f t="shared" ref="U259:U322" si="17">IF(OR(G259&lt;$AA$5,G259&gt;$AB$5), "Outlier", "Normal")</f>
        <v>Normal</v>
      </c>
      <c r="V259" s="1" t="str">
        <f t="shared" ref="V259:V322" si="18">IF(OR(H259&lt;$AA$6,H259&gt;$AB$6), "Outlier", "Normal")</f>
        <v>Normal</v>
      </c>
      <c r="W259" s="19">
        <f t="shared" ref="W259:W322" si="19">IF(U259="Normal",$G259,IF($G259&lt;150%, $G259, $AA$9))</f>
        <v>4.9334377447141739E-2</v>
      </c>
      <c r="X259" s="19">
        <f t="shared" ref="X259:X322" si="20">IF(V259="Normal",$H259,IF($H259&lt;150%, $H259, $AE$9))</f>
        <v>-2.1715526601520086E-2</v>
      </c>
    </row>
    <row r="260" spans="1:39">
      <c r="A260" s="21">
        <v>44910</v>
      </c>
      <c r="B260" s="17">
        <f>IF(YEAR(Table9[[#This Row],[Date]]) = 2022, WEEKNUM(Table9[[#This Row],[Date]])-13, WEEKNUM(Table9[[#This Row],[Date]])+40)</f>
        <v>38</v>
      </c>
      <c r="C260" s="35" t="s">
        <v>51</v>
      </c>
      <c r="D260" s="35" t="s">
        <v>59</v>
      </c>
      <c r="E260" s="1">
        <v>1353</v>
      </c>
      <c r="F260" s="1">
        <v>915</v>
      </c>
      <c r="G260" s="19">
        <v>-3.9744499645138397E-2</v>
      </c>
      <c r="H260" s="19">
        <v>0.19607843137254902</v>
      </c>
      <c r="I260" s="1">
        <v>16440</v>
      </c>
      <c r="J260" s="1">
        <v>11004</v>
      </c>
      <c r="K260" s="1">
        <v>198043</v>
      </c>
      <c r="L260" s="1">
        <v>130928</v>
      </c>
      <c r="M260" s="18">
        <v>0.28000000000000003</v>
      </c>
      <c r="N260" s="18">
        <v>0.32</v>
      </c>
      <c r="O260" s="18">
        <v>0.68</v>
      </c>
      <c r="P260" s="18">
        <v>0.79</v>
      </c>
      <c r="Q260" s="18">
        <v>0.79</v>
      </c>
      <c r="R260" s="17">
        <v>0</v>
      </c>
      <c r="S260" s="17">
        <v>0</v>
      </c>
      <c r="T260" s="1">
        <v>14</v>
      </c>
      <c r="U260" s="1" t="str">
        <f t="shared" si="17"/>
        <v>Normal</v>
      </c>
      <c r="V260" s="1" t="str">
        <f t="shared" si="18"/>
        <v>Normal</v>
      </c>
      <c r="W260" s="19">
        <f t="shared" si="19"/>
        <v>-3.9744499645138397E-2</v>
      </c>
      <c r="X260" s="19">
        <f t="shared" si="20"/>
        <v>0.19607843137254902</v>
      </c>
    </row>
    <row r="261" spans="1:39">
      <c r="A261" s="21">
        <v>44911</v>
      </c>
      <c r="B261" s="17">
        <f>IF(YEAR(Table9[[#This Row],[Date]]) = 2022, WEEKNUM(Table9[[#This Row],[Date]])-13, WEEKNUM(Table9[[#This Row],[Date]])+40)</f>
        <v>38</v>
      </c>
      <c r="C261" s="35" t="s">
        <v>52</v>
      </c>
      <c r="D261" s="35" t="s">
        <v>59</v>
      </c>
      <c r="E261" s="1">
        <v>1269</v>
      </c>
      <c r="F261" s="1">
        <v>913</v>
      </c>
      <c r="G261" s="19">
        <v>0.11023622047244094</v>
      </c>
      <c r="H261" s="19">
        <v>3.8680318543799774E-2</v>
      </c>
      <c r="I261" s="1">
        <v>17709</v>
      </c>
      <c r="J261" s="1">
        <v>11917</v>
      </c>
      <c r="K261" s="1">
        <v>199312</v>
      </c>
      <c r="L261" s="1">
        <v>131841</v>
      </c>
      <c r="M261" s="18">
        <v>0.23</v>
      </c>
      <c r="N261" s="18">
        <v>0.28000000000000003</v>
      </c>
      <c r="O261" s="18">
        <v>0.72</v>
      </c>
      <c r="P261" s="18">
        <v>0.72</v>
      </c>
      <c r="Q261" s="18">
        <v>0.79</v>
      </c>
      <c r="R261" s="17">
        <v>0</v>
      </c>
      <c r="S261" s="17">
        <v>0</v>
      </c>
      <c r="T261" s="1">
        <v>15</v>
      </c>
      <c r="U261" s="1" t="str">
        <f t="shared" si="17"/>
        <v>Normal</v>
      </c>
      <c r="V261" s="1" t="str">
        <f t="shared" si="18"/>
        <v>Normal</v>
      </c>
      <c r="W261" s="19">
        <f t="shared" si="19"/>
        <v>0.11023622047244094</v>
      </c>
      <c r="X261" s="19">
        <f t="shared" si="20"/>
        <v>3.8680318543799774E-2</v>
      </c>
    </row>
    <row r="262" spans="1:39">
      <c r="A262" s="21">
        <v>44912</v>
      </c>
      <c r="B262" s="17">
        <f>IF(YEAR(Table9[[#This Row],[Date]]) = 2022, WEEKNUM(Table9[[#This Row],[Date]])-13, WEEKNUM(Table9[[#This Row],[Date]])+40)</f>
        <v>38</v>
      </c>
      <c r="C262" s="35" t="s">
        <v>53</v>
      </c>
      <c r="D262" s="35" t="s">
        <v>59</v>
      </c>
      <c r="E262" s="1">
        <v>837</v>
      </c>
      <c r="F262" s="1">
        <v>682</v>
      </c>
      <c r="G262" s="19">
        <v>4.1044776119402986E-2</v>
      </c>
      <c r="H262" s="19">
        <v>3.9634146341463415E-2</v>
      </c>
      <c r="I262" s="1">
        <v>18546</v>
      </c>
      <c r="J262" s="1">
        <v>12599</v>
      </c>
      <c r="K262" s="1">
        <v>200149</v>
      </c>
      <c r="L262" s="1">
        <v>132523</v>
      </c>
      <c r="M262" s="18">
        <v>0.43</v>
      </c>
      <c r="N262" s="18">
        <v>0.19</v>
      </c>
      <c r="O262" s="18">
        <v>0.81</v>
      </c>
      <c r="P262" s="18">
        <v>0.8</v>
      </c>
      <c r="Q262" s="18">
        <v>0.88</v>
      </c>
      <c r="R262" s="17">
        <v>0</v>
      </c>
      <c r="S262" s="17">
        <v>0</v>
      </c>
      <c r="T262" s="1">
        <v>14</v>
      </c>
      <c r="U262" s="1" t="str">
        <f t="shared" si="17"/>
        <v>Normal</v>
      </c>
      <c r="V262" s="1" t="str">
        <f t="shared" si="18"/>
        <v>Normal</v>
      </c>
      <c r="W262" s="19">
        <f t="shared" si="19"/>
        <v>4.1044776119402986E-2</v>
      </c>
      <c r="X262" s="19">
        <f t="shared" si="20"/>
        <v>3.9634146341463415E-2</v>
      </c>
    </row>
    <row r="263" spans="1:39">
      <c r="A263" s="21">
        <v>44913</v>
      </c>
      <c r="B263" s="17">
        <f>IF(YEAR(Table9[[#This Row],[Date]]) = 2022, WEEKNUM(Table9[[#This Row],[Date]])-13, WEEKNUM(Table9[[#This Row],[Date]])+40)</f>
        <v>39</v>
      </c>
      <c r="C263" s="35" t="s">
        <v>47</v>
      </c>
      <c r="D263" s="35" t="s">
        <v>59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69">
        <v>0</v>
      </c>
      <c r="Q263" s="1">
        <v>0</v>
      </c>
      <c r="R263" s="17">
        <v>0</v>
      </c>
      <c r="S263" s="17">
        <v>0</v>
      </c>
      <c r="T263" s="1">
        <v>0</v>
      </c>
      <c r="U263" s="1" t="str">
        <f t="shared" si="17"/>
        <v>Normal</v>
      </c>
      <c r="V263" s="1" t="str">
        <f t="shared" si="18"/>
        <v>Normal</v>
      </c>
      <c r="W263" s="19">
        <f t="shared" si="19"/>
        <v>0</v>
      </c>
      <c r="X263" s="19">
        <f t="shared" si="20"/>
        <v>0</v>
      </c>
      <c r="AK263" s="50"/>
      <c r="AL263" s="50"/>
      <c r="AM263" s="50"/>
    </row>
    <row r="264" spans="1:39">
      <c r="A264" s="21">
        <v>44914</v>
      </c>
      <c r="B264" s="17">
        <f>IF(YEAR(Table9[[#This Row],[Date]]) = 2022, WEEKNUM(Table9[[#This Row],[Date]])-13, WEEKNUM(Table9[[#This Row],[Date]])+40)</f>
        <v>39</v>
      </c>
      <c r="C264" s="35" t="s">
        <v>48</v>
      </c>
      <c r="D264" s="35" t="s">
        <v>59</v>
      </c>
      <c r="E264" s="1">
        <v>1623</v>
      </c>
      <c r="F264" s="1">
        <v>870</v>
      </c>
      <c r="G264" s="19">
        <f t="shared" ref="G264:H269" si="21">(E264-E257)/E257</f>
        <v>0.17438494934876989</v>
      </c>
      <c r="H264" s="19">
        <f t="shared" si="21"/>
        <v>-0.15942028985507245</v>
      </c>
      <c r="I264" s="1">
        <f>I262+E264</f>
        <v>20169</v>
      </c>
      <c r="J264" s="1">
        <f>J262+F264</f>
        <v>13469</v>
      </c>
      <c r="K264" s="1">
        <f>K262+E264</f>
        <v>201772</v>
      </c>
      <c r="L264" s="1">
        <f>L262+F264</f>
        <v>133393</v>
      </c>
      <c r="M264" s="18">
        <v>0.17</v>
      </c>
      <c r="N264" s="18">
        <v>0.46</v>
      </c>
      <c r="O264" s="18">
        <v>0.54</v>
      </c>
      <c r="P264" s="18">
        <v>0.78</v>
      </c>
      <c r="Q264" s="18">
        <v>0.78</v>
      </c>
      <c r="R264" s="17">
        <v>0</v>
      </c>
      <c r="S264" s="17">
        <v>0</v>
      </c>
      <c r="T264" s="1">
        <v>13</v>
      </c>
      <c r="U264" s="1" t="str">
        <f t="shared" si="17"/>
        <v>Normal</v>
      </c>
      <c r="V264" s="1" t="str">
        <f t="shared" si="18"/>
        <v>Normal</v>
      </c>
      <c r="W264" s="19">
        <f t="shared" si="19"/>
        <v>0.17438494934876989</v>
      </c>
      <c r="X264" s="19">
        <f t="shared" si="20"/>
        <v>-0.15942028985507245</v>
      </c>
    </row>
    <row r="265" spans="1:39">
      <c r="A265" s="21">
        <v>44915</v>
      </c>
      <c r="B265" s="17">
        <f>IF(YEAR(Table9[[#This Row],[Date]]) = 2022, WEEKNUM(Table9[[#This Row],[Date]])-13, WEEKNUM(Table9[[#This Row],[Date]])+40)</f>
        <v>39</v>
      </c>
      <c r="C265" s="35" t="s">
        <v>49</v>
      </c>
      <c r="D265" s="35" t="s">
        <v>59</v>
      </c>
      <c r="E265" s="1">
        <v>1501</v>
      </c>
      <c r="F265" s="1">
        <v>990</v>
      </c>
      <c r="G265" s="19">
        <f t="shared" si="21"/>
        <v>0.14492753623188406</v>
      </c>
      <c r="H265" s="19">
        <f t="shared" si="21"/>
        <v>0.1161217587373168</v>
      </c>
      <c r="I265" s="1">
        <f t="shared" ref="I265:J269" si="22">I264+E265</f>
        <v>21670</v>
      </c>
      <c r="J265" s="1">
        <f t="shared" si="22"/>
        <v>14459</v>
      </c>
      <c r="K265" s="1">
        <f t="shared" ref="K265:L269" si="23">K264+E265</f>
        <v>203273</v>
      </c>
      <c r="L265" s="1">
        <f t="shared" si="23"/>
        <v>134383</v>
      </c>
      <c r="M265" s="18">
        <v>0.19</v>
      </c>
      <c r="N265" s="18">
        <v>0.34</v>
      </c>
      <c r="O265" s="18">
        <v>0.66</v>
      </c>
      <c r="P265" s="18">
        <v>0.79</v>
      </c>
      <c r="Q265" s="18">
        <v>0.77</v>
      </c>
      <c r="R265" s="17">
        <v>0</v>
      </c>
      <c r="S265" s="17">
        <v>0</v>
      </c>
      <c r="T265" s="1">
        <v>15</v>
      </c>
      <c r="U265" s="1" t="str">
        <f t="shared" si="17"/>
        <v>Normal</v>
      </c>
      <c r="V265" s="1" t="str">
        <f t="shared" si="18"/>
        <v>Normal</v>
      </c>
      <c r="W265" s="19">
        <f t="shared" si="19"/>
        <v>0.14492753623188406</v>
      </c>
      <c r="X265" s="19">
        <f t="shared" si="20"/>
        <v>0.1161217587373168</v>
      </c>
    </row>
    <row r="266" spans="1:39">
      <c r="A266" s="21">
        <v>44916</v>
      </c>
      <c r="B266" s="17">
        <f>IF(YEAR(Table9[[#This Row],[Date]]) = 2022, WEEKNUM(Table9[[#This Row],[Date]])-13, WEEKNUM(Table9[[#This Row],[Date]])+40)</f>
        <v>39</v>
      </c>
      <c r="C266" s="35" t="s">
        <v>50</v>
      </c>
      <c r="D266" s="35" t="s">
        <v>59</v>
      </c>
      <c r="E266" s="1">
        <v>1438</v>
      </c>
      <c r="F266" s="1">
        <v>877</v>
      </c>
      <c r="G266" s="19">
        <f t="shared" si="21"/>
        <v>7.3134328358208961E-2</v>
      </c>
      <c r="H266" s="19">
        <f t="shared" si="21"/>
        <v>-2.6637069922308545E-2</v>
      </c>
      <c r="I266" s="1">
        <f t="shared" si="22"/>
        <v>23108</v>
      </c>
      <c r="J266" s="1">
        <f t="shared" si="22"/>
        <v>15336</v>
      </c>
      <c r="K266" s="1">
        <f t="shared" si="23"/>
        <v>204711</v>
      </c>
      <c r="L266" s="1">
        <f t="shared" si="23"/>
        <v>135260</v>
      </c>
      <c r="M266" s="18">
        <v>0.19</v>
      </c>
      <c r="N266" s="18">
        <v>0.39</v>
      </c>
      <c r="O266" s="18">
        <v>0.61</v>
      </c>
      <c r="P266" s="18">
        <v>0.74</v>
      </c>
      <c r="Q266" s="18">
        <v>0.8</v>
      </c>
      <c r="R266" s="17">
        <v>0</v>
      </c>
      <c r="S266" s="17">
        <v>0</v>
      </c>
      <c r="T266" s="1">
        <v>13</v>
      </c>
      <c r="U266" s="1" t="str">
        <f t="shared" si="17"/>
        <v>Normal</v>
      </c>
      <c r="V266" s="1" t="str">
        <f t="shared" si="18"/>
        <v>Normal</v>
      </c>
      <c r="W266" s="19">
        <f t="shared" si="19"/>
        <v>7.3134328358208961E-2</v>
      </c>
      <c r="X266" s="19">
        <f t="shared" si="20"/>
        <v>-2.6637069922308545E-2</v>
      </c>
    </row>
    <row r="267" spans="1:39">
      <c r="A267" s="21">
        <v>44917</v>
      </c>
      <c r="B267" s="17">
        <f>IF(YEAR(Table9[[#This Row],[Date]]) = 2022, WEEKNUM(Table9[[#This Row],[Date]])-13, WEEKNUM(Table9[[#This Row],[Date]])+40)</f>
        <v>39</v>
      </c>
      <c r="C267" s="35" t="s">
        <v>51</v>
      </c>
      <c r="D267" s="35" t="s">
        <v>59</v>
      </c>
      <c r="E267" s="1">
        <v>1540</v>
      </c>
      <c r="F267" s="1">
        <v>765</v>
      </c>
      <c r="G267" s="19">
        <f t="shared" si="21"/>
        <v>0.13821138211382114</v>
      </c>
      <c r="H267" s="19">
        <f t="shared" si="21"/>
        <v>-0.16393442622950818</v>
      </c>
      <c r="I267" s="1">
        <f t="shared" si="22"/>
        <v>24648</v>
      </c>
      <c r="J267" s="1">
        <f t="shared" si="22"/>
        <v>16101</v>
      </c>
      <c r="K267" s="1">
        <f t="shared" si="23"/>
        <v>206251</v>
      </c>
      <c r="L267" s="1">
        <f t="shared" si="23"/>
        <v>136025</v>
      </c>
      <c r="M267" s="18">
        <v>0.13</v>
      </c>
      <c r="N267" s="18">
        <v>0.5</v>
      </c>
      <c r="O267" s="18">
        <v>0.5</v>
      </c>
      <c r="P267" s="18">
        <v>0.76</v>
      </c>
      <c r="Q267" s="18">
        <v>0.82</v>
      </c>
      <c r="R267" s="17">
        <v>0</v>
      </c>
      <c r="S267" s="17">
        <v>0</v>
      </c>
      <c r="T267" s="1">
        <v>14</v>
      </c>
      <c r="U267" s="1" t="str">
        <f t="shared" si="17"/>
        <v>Normal</v>
      </c>
      <c r="V267" s="1" t="str">
        <f t="shared" si="18"/>
        <v>Normal</v>
      </c>
      <c r="W267" s="19">
        <f t="shared" si="19"/>
        <v>0.13821138211382114</v>
      </c>
      <c r="X267" s="19">
        <f t="shared" si="20"/>
        <v>-0.16393442622950818</v>
      </c>
    </row>
    <row r="268" spans="1:39">
      <c r="A268" s="21">
        <v>44918</v>
      </c>
      <c r="B268" s="17">
        <f>IF(YEAR(Table9[[#This Row],[Date]]) = 2022, WEEKNUM(Table9[[#This Row],[Date]])-13, WEEKNUM(Table9[[#This Row],[Date]])+40)</f>
        <v>39</v>
      </c>
      <c r="C268" s="35" t="s">
        <v>52</v>
      </c>
      <c r="D268" s="35" t="s">
        <v>59</v>
      </c>
      <c r="E268" s="1">
        <v>1283</v>
      </c>
      <c r="F268" s="1">
        <v>708</v>
      </c>
      <c r="G268" s="19">
        <f t="shared" si="21"/>
        <v>1.103230890464933E-2</v>
      </c>
      <c r="H268" s="19">
        <f t="shared" si="21"/>
        <v>-0.22453450164293537</v>
      </c>
      <c r="I268" s="1">
        <f t="shared" si="22"/>
        <v>25931</v>
      </c>
      <c r="J268" s="1">
        <f t="shared" si="22"/>
        <v>16809</v>
      </c>
      <c r="K268" s="1">
        <f t="shared" si="23"/>
        <v>207534</v>
      </c>
      <c r="L268" s="1">
        <f t="shared" si="23"/>
        <v>136733</v>
      </c>
      <c r="M268" s="18">
        <v>0.16</v>
      </c>
      <c r="N268" s="18">
        <v>0.45</v>
      </c>
      <c r="O268" s="18">
        <v>0.55000000000000004</v>
      </c>
      <c r="P268" s="18">
        <v>0.86</v>
      </c>
      <c r="Q268" s="18">
        <v>0.8</v>
      </c>
      <c r="R268" s="17">
        <v>0</v>
      </c>
      <c r="S268" s="17">
        <v>0</v>
      </c>
      <c r="T268" s="1">
        <v>11</v>
      </c>
      <c r="U268" s="1" t="str">
        <f t="shared" si="17"/>
        <v>Normal</v>
      </c>
      <c r="V268" s="1" t="str">
        <f t="shared" si="18"/>
        <v>Normal</v>
      </c>
      <c r="W268" s="19">
        <f t="shared" si="19"/>
        <v>1.103230890464933E-2</v>
      </c>
      <c r="X268" s="19">
        <f t="shared" si="20"/>
        <v>-0.22453450164293537</v>
      </c>
    </row>
    <row r="269" spans="1:39">
      <c r="A269" s="21">
        <v>44919</v>
      </c>
      <c r="B269" s="17">
        <f>IF(YEAR(Table9[[#This Row],[Date]]) = 2022, WEEKNUM(Table9[[#This Row],[Date]])-13, WEEKNUM(Table9[[#This Row],[Date]])+40)</f>
        <v>39</v>
      </c>
      <c r="C269" s="35" t="s">
        <v>53</v>
      </c>
      <c r="D269" s="35" t="s">
        <v>59</v>
      </c>
      <c r="E269" s="1">
        <v>379</v>
      </c>
      <c r="F269" s="1">
        <v>366</v>
      </c>
      <c r="G269" s="19">
        <f t="shared" si="21"/>
        <v>-0.54719235364396657</v>
      </c>
      <c r="H269" s="19">
        <f t="shared" si="21"/>
        <v>-0.4633431085043988</v>
      </c>
      <c r="I269" s="1">
        <f t="shared" si="22"/>
        <v>26310</v>
      </c>
      <c r="J269" s="1">
        <f t="shared" si="22"/>
        <v>17175</v>
      </c>
      <c r="K269" s="1">
        <f t="shared" si="23"/>
        <v>207913</v>
      </c>
      <c r="L269" s="1">
        <f t="shared" si="23"/>
        <v>137099</v>
      </c>
      <c r="M269" s="18">
        <v>0.83</v>
      </c>
      <c r="N269" s="18">
        <v>0.03</v>
      </c>
      <c r="O269" s="18">
        <v>0.97</v>
      </c>
      <c r="P269" s="18">
        <v>0.48</v>
      </c>
      <c r="Q269" s="18">
        <v>0.86</v>
      </c>
      <c r="R269" s="17">
        <v>0</v>
      </c>
      <c r="S269" s="17">
        <v>0</v>
      </c>
      <c r="T269" s="1">
        <v>12</v>
      </c>
      <c r="U269" s="1" t="str">
        <f t="shared" si="17"/>
        <v>Outlier</v>
      </c>
      <c r="V269" s="1" t="str">
        <f t="shared" si="18"/>
        <v>Outlier</v>
      </c>
      <c r="W269" s="19">
        <f t="shared" si="19"/>
        <v>-0.54719235364396657</v>
      </c>
      <c r="X269" s="19">
        <f t="shared" si="20"/>
        <v>-0.4633431085043988</v>
      </c>
    </row>
    <row r="270" spans="1:39">
      <c r="A270" s="21">
        <v>44920</v>
      </c>
      <c r="B270" s="17">
        <f>IF(YEAR(Table9[[#This Row],[Date]]) = 2022, WEEKNUM(Table9[[#This Row],[Date]])-13, WEEKNUM(Table9[[#This Row],[Date]])+40)</f>
        <v>40</v>
      </c>
      <c r="C270" s="35" t="s">
        <v>47</v>
      </c>
      <c r="D270" s="35" t="s">
        <v>59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69">
        <v>0</v>
      </c>
      <c r="Q270" s="1">
        <v>0</v>
      </c>
      <c r="R270" s="17">
        <v>0</v>
      </c>
      <c r="S270" s="17">
        <v>0</v>
      </c>
      <c r="T270" s="1">
        <v>0</v>
      </c>
      <c r="U270" s="1" t="str">
        <f t="shared" si="17"/>
        <v>Normal</v>
      </c>
      <c r="V270" s="1" t="str">
        <f t="shared" si="18"/>
        <v>Normal</v>
      </c>
      <c r="W270" s="19">
        <f t="shared" si="19"/>
        <v>0</v>
      </c>
      <c r="X270" s="19">
        <f t="shared" si="20"/>
        <v>0</v>
      </c>
    </row>
    <row r="271" spans="1:39">
      <c r="A271" s="21">
        <v>44921</v>
      </c>
      <c r="B271" s="17">
        <f>IF(YEAR(Table9[[#This Row],[Date]]) = 2022, WEEKNUM(Table9[[#This Row],[Date]])-13, WEEKNUM(Table9[[#This Row],[Date]])+40)</f>
        <v>40</v>
      </c>
      <c r="C271" s="35" t="s">
        <v>48</v>
      </c>
      <c r="D271" s="35" t="s">
        <v>59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69">
        <v>0</v>
      </c>
      <c r="Q271" s="1">
        <v>0</v>
      </c>
      <c r="R271" s="17">
        <v>0</v>
      </c>
      <c r="S271" s="17">
        <v>0</v>
      </c>
      <c r="T271" s="1">
        <v>0</v>
      </c>
      <c r="U271" s="1" t="str">
        <f t="shared" si="17"/>
        <v>Normal</v>
      </c>
      <c r="V271" s="1" t="str">
        <f t="shared" si="18"/>
        <v>Normal</v>
      </c>
      <c r="W271" s="19">
        <f t="shared" si="19"/>
        <v>0</v>
      </c>
      <c r="X271" s="19">
        <f t="shared" si="20"/>
        <v>0</v>
      </c>
    </row>
    <row r="272" spans="1:39">
      <c r="A272" s="21">
        <v>44922</v>
      </c>
      <c r="B272" s="17">
        <f>IF(YEAR(Table9[[#This Row],[Date]]) = 2022, WEEKNUM(Table9[[#This Row],[Date]])-13, WEEKNUM(Table9[[#This Row],[Date]])+40)</f>
        <v>40</v>
      </c>
      <c r="C272" s="35" t="s">
        <v>49</v>
      </c>
      <c r="D272" s="35" t="s">
        <v>59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69">
        <v>0</v>
      </c>
      <c r="Q272" s="1">
        <v>0</v>
      </c>
      <c r="R272" s="17">
        <v>0</v>
      </c>
      <c r="S272" s="17">
        <v>0</v>
      </c>
      <c r="T272" s="1">
        <v>0</v>
      </c>
      <c r="U272" s="1" t="str">
        <f t="shared" si="17"/>
        <v>Normal</v>
      </c>
      <c r="V272" s="1" t="str">
        <f t="shared" si="18"/>
        <v>Normal</v>
      </c>
      <c r="W272" s="19">
        <f t="shared" si="19"/>
        <v>0</v>
      </c>
      <c r="X272" s="19">
        <f t="shared" si="20"/>
        <v>0</v>
      </c>
    </row>
    <row r="273" spans="1:39">
      <c r="A273" s="21">
        <v>44923</v>
      </c>
      <c r="B273" s="17">
        <f>IF(YEAR(Table9[[#This Row],[Date]]) = 2022, WEEKNUM(Table9[[#This Row],[Date]])-13, WEEKNUM(Table9[[#This Row],[Date]])+40)</f>
        <v>40</v>
      </c>
      <c r="C273" s="35" t="s">
        <v>50</v>
      </c>
      <c r="D273" s="35" t="s">
        <v>59</v>
      </c>
      <c r="E273" s="1">
        <v>1217</v>
      </c>
      <c r="F273" s="1">
        <v>933</v>
      </c>
      <c r="G273" s="19">
        <f t="shared" ref="G273:H276" si="24">(E273-E266)/E266</f>
        <v>-0.15368567454798332</v>
      </c>
      <c r="H273" s="19">
        <f t="shared" si="24"/>
        <v>6.385404789053592E-2</v>
      </c>
      <c r="I273" s="1">
        <f>I269+E273</f>
        <v>27527</v>
      </c>
      <c r="J273" s="1">
        <f>J269+F273</f>
        <v>18108</v>
      </c>
      <c r="K273" s="1">
        <f>K269+E273</f>
        <v>209130</v>
      </c>
      <c r="L273" s="1">
        <f>L269+F273</f>
        <v>138032</v>
      </c>
      <c r="M273" s="18">
        <v>0.27</v>
      </c>
      <c r="N273" s="18">
        <v>0.23</v>
      </c>
      <c r="O273" s="18">
        <v>0.77</v>
      </c>
      <c r="P273" s="18">
        <v>0.77</v>
      </c>
      <c r="Q273" s="18">
        <v>0.82</v>
      </c>
      <c r="R273" s="17">
        <v>0</v>
      </c>
      <c r="S273" s="17">
        <v>0</v>
      </c>
      <c r="T273" s="1">
        <v>13</v>
      </c>
      <c r="U273" s="1" t="str">
        <f t="shared" si="17"/>
        <v>Normal</v>
      </c>
      <c r="V273" s="1" t="str">
        <f t="shared" si="18"/>
        <v>Normal</v>
      </c>
      <c r="W273" s="19">
        <f t="shared" si="19"/>
        <v>-0.15368567454798332</v>
      </c>
      <c r="X273" s="19">
        <f t="shared" si="20"/>
        <v>6.385404789053592E-2</v>
      </c>
    </row>
    <row r="274" spans="1:39">
      <c r="A274" s="21">
        <v>44924</v>
      </c>
      <c r="B274" s="17">
        <f>IF(YEAR(Table9[[#This Row],[Date]]) = 2022, WEEKNUM(Table9[[#This Row],[Date]])-13, WEEKNUM(Table9[[#This Row],[Date]])+40)</f>
        <v>40</v>
      </c>
      <c r="C274" s="35" t="s">
        <v>51</v>
      </c>
      <c r="D274" s="35" t="s">
        <v>59</v>
      </c>
      <c r="E274" s="1">
        <v>1031</v>
      </c>
      <c r="F274" s="1">
        <v>727</v>
      </c>
      <c r="G274" s="19">
        <f t="shared" si="24"/>
        <v>-0.33051948051948055</v>
      </c>
      <c r="H274" s="19">
        <f t="shared" si="24"/>
        <v>-4.9673202614379082E-2</v>
      </c>
      <c r="I274" s="1">
        <f t="shared" ref="I274:J276" si="25">I273+E274</f>
        <v>28558</v>
      </c>
      <c r="J274" s="1">
        <f t="shared" si="25"/>
        <v>18835</v>
      </c>
      <c r="K274" s="1">
        <f t="shared" ref="K274:L276" si="26">K273+E274</f>
        <v>210161</v>
      </c>
      <c r="L274" s="1">
        <f t="shared" si="26"/>
        <v>138759</v>
      </c>
      <c r="M274" s="18">
        <v>0.32</v>
      </c>
      <c r="N274" s="18">
        <v>0.28999999999999998</v>
      </c>
      <c r="O274" s="18">
        <v>0.71</v>
      </c>
      <c r="P274" s="18">
        <v>0.76</v>
      </c>
      <c r="Q274" s="18">
        <v>0.8</v>
      </c>
      <c r="R274" s="17">
        <v>0</v>
      </c>
      <c r="S274" s="17">
        <v>0</v>
      </c>
      <c r="T274" s="1">
        <v>11</v>
      </c>
      <c r="U274" s="1" t="str">
        <f t="shared" si="17"/>
        <v>Outlier</v>
      </c>
      <c r="V274" s="1" t="str">
        <f t="shared" si="18"/>
        <v>Normal</v>
      </c>
      <c r="W274" s="19">
        <f t="shared" si="19"/>
        <v>-0.33051948051948055</v>
      </c>
      <c r="X274" s="19">
        <f t="shared" si="20"/>
        <v>-4.9673202614379082E-2</v>
      </c>
    </row>
    <row r="275" spans="1:39">
      <c r="A275" s="21">
        <v>44925</v>
      </c>
      <c r="B275" s="17">
        <f>IF(YEAR(Table9[[#This Row],[Date]]) = 2022, WEEKNUM(Table9[[#This Row],[Date]])-13, WEEKNUM(Table9[[#This Row],[Date]])+40)</f>
        <v>40</v>
      </c>
      <c r="C275" s="35" t="s">
        <v>52</v>
      </c>
      <c r="D275" s="35" t="s">
        <v>59</v>
      </c>
      <c r="E275" s="1">
        <v>960</v>
      </c>
      <c r="F275" s="1">
        <v>752</v>
      </c>
      <c r="G275" s="19">
        <f t="shared" si="24"/>
        <v>-0.25175370226032734</v>
      </c>
      <c r="H275" s="19">
        <f t="shared" si="24"/>
        <v>6.2146892655367235E-2</v>
      </c>
      <c r="I275" s="1">
        <f t="shared" si="25"/>
        <v>29518</v>
      </c>
      <c r="J275" s="1">
        <f t="shared" si="25"/>
        <v>19587</v>
      </c>
      <c r="K275" s="1">
        <f t="shared" si="26"/>
        <v>211121</v>
      </c>
      <c r="L275" s="1">
        <f t="shared" si="26"/>
        <v>139511</v>
      </c>
      <c r="M275" s="18">
        <v>0.39</v>
      </c>
      <c r="N275" s="18">
        <v>0.22</v>
      </c>
      <c r="O275" s="18">
        <v>0.78</v>
      </c>
      <c r="P275" s="18">
        <v>0.76</v>
      </c>
      <c r="Q275" s="18">
        <v>0.79</v>
      </c>
      <c r="R275" s="17">
        <v>0</v>
      </c>
      <c r="S275" s="17">
        <v>0</v>
      </c>
      <c r="T275" s="1">
        <v>11</v>
      </c>
      <c r="U275" s="1" t="str">
        <f t="shared" si="17"/>
        <v>Outlier</v>
      </c>
      <c r="V275" s="1" t="str">
        <f t="shared" si="18"/>
        <v>Normal</v>
      </c>
      <c r="W275" s="19">
        <f t="shared" si="19"/>
        <v>-0.25175370226032734</v>
      </c>
      <c r="X275" s="19">
        <f t="shared" si="20"/>
        <v>6.2146892655367235E-2</v>
      </c>
    </row>
    <row r="276" spans="1:39">
      <c r="A276" s="21">
        <v>44926</v>
      </c>
      <c r="B276" s="17">
        <f>IF(YEAR(Table9[[#This Row],[Date]]) = 2022, WEEKNUM(Table9[[#This Row],[Date]])-13, WEEKNUM(Table9[[#This Row],[Date]])+40)</f>
        <v>40</v>
      </c>
      <c r="C276" s="35" t="s">
        <v>53</v>
      </c>
      <c r="D276" s="35" t="s">
        <v>59</v>
      </c>
      <c r="E276" s="1">
        <v>330</v>
      </c>
      <c r="F276" s="1">
        <v>307</v>
      </c>
      <c r="G276" s="19">
        <f t="shared" si="24"/>
        <v>-0.12928759894459102</v>
      </c>
      <c r="H276" s="19">
        <f t="shared" si="24"/>
        <v>-0.16120218579234974</v>
      </c>
      <c r="I276" s="1">
        <f t="shared" si="25"/>
        <v>29848</v>
      </c>
      <c r="J276" s="1">
        <f t="shared" si="25"/>
        <v>19894</v>
      </c>
      <c r="K276" s="1">
        <f t="shared" si="26"/>
        <v>211451</v>
      </c>
      <c r="L276" s="1">
        <f t="shared" si="26"/>
        <v>139818</v>
      </c>
      <c r="M276" s="18">
        <v>0.76</v>
      </c>
      <c r="N276" s="18">
        <v>7.0000000000000007E-2</v>
      </c>
      <c r="O276" s="18">
        <v>0.93</v>
      </c>
      <c r="P276" s="18">
        <v>0.41</v>
      </c>
      <c r="Q276" s="18">
        <v>0.88</v>
      </c>
      <c r="R276" s="17">
        <v>0</v>
      </c>
      <c r="S276" s="17">
        <v>0</v>
      </c>
      <c r="T276" s="1">
        <v>10</v>
      </c>
      <c r="U276" s="1" t="str">
        <f t="shared" si="17"/>
        <v>Normal</v>
      </c>
      <c r="V276" s="1" t="str">
        <f t="shared" si="18"/>
        <v>Normal</v>
      </c>
      <c r="W276" s="19">
        <f t="shared" si="19"/>
        <v>-0.12928759894459102</v>
      </c>
      <c r="X276" s="19">
        <f t="shared" si="20"/>
        <v>-0.16120218579234974</v>
      </c>
    </row>
    <row r="277" spans="1:39" s="50" customFormat="1">
      <c r="A277" s="54">
        <v>44927</v>
      </c>
      <c r="B277" s="131">
        <f>IF(YEAR(Table9[[#This Row],[Date]]) = 2022, WEEKNUM(Table9[[#This Row],[Date]])-13, WEEKNUM(Table9[[#This Row],[Date]])+40)</f>
        <v>41</v>
      </c>
      <c r="C277" s="51" t="s">
        <v>47</v>
      </c>
      <c r="D277" s="51" t="s">
        <v>59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106">
        <v>0</v>
      </c>
      <c r="Q277" s="52">
        <v>0</v>
      </c>
      <c r="R277" s="131">
        <v>0</v>
      </c>
      <c r="S277" s="131">
        <v>0</v>
      </c>
      <c r="T277" s="52">
        <v>0</v>
      </c>
      <c r="U277" s="52" t="str">
        <f t="shared" si="17"/>
        <v>Normal</v>
      </c>
      <c r="V277" s="52" t="str">
        <f t="shared" si="18"/>
        <v>Normal</v>
      </c>
      <c r="W277" s="143">
        <f t="shared" si="19"/>
        <v>0</v>
      </c>
      <c r="X277" s="143">
        <f t="shared" si="20"/>
        <v>0</v>
      </c>
      <c r="AK277"/>
      <c r="AL277"/>
      <c r="AM277"/>
    </row>
    <row r="278" spans="1:39">
      <c r="A278" s="21">
        <v>44928</v>
      </c>
      <c r="B278" s="17">
        <f>IF(YEAR(Table9[[#This Row],[Date]]) = 2022, WEEKNUM(Table9[[#This Row],[Date]])-13, WEEKNUM(Table9[[#This Row],[Date]])+40)</f>
        <v>41</v>
      </c>
      <c r="C278" s="35" t="s">
        <v>48</v>
      </c>
      <c r="D278" s="35" t="s">
        <v>59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69">
        <v>0</v>
      </c>
      <c r="Q278" s="1">
        <v>0</v>
      </c>
      <c r="R278" s="17">
        <v>0</v>
      </c>
      <c r="S278" s="17">
        <v>0</v>
      </c>
      <c r="T278" s="1">
        <v>0</v>
      </c>
      <c r="U278" s="1" t="str">
        <f t="shared" si="17"/>
        <v>Normal</v>
      </c>
      <c r="V278" s="1" t="str">
        <f t="shared" si="18"/>
        <v>Normal</v>
      </c>
      <c r="W278" s="19">
        <f t="shared" si="19"/>
        <v>0</v>
      </c>
      <c r="X278" s="19">
        <f t="shared" si="20"/>
        <v>0</v>
      </c>
    </row>
    <row r="279" spans="1:39">
      <c r="A279" s="21">
        <v>44929</v>
      </c>
      <c r="B279" s="17">
        <f>IF(YEAR(Table9[[#This Row],[Date]]) = 2022, WEEKNUM(Table9[[#This Row],[Date]])-13, WEEKNUM(Table9[[#This Row],[Date]])+40)</f>
        <v>41</v>
      </c>
      <c r="C279" s="35" t="s">
        <v>49</v>
      </c>
      <c r="D279" s="35" t="s">
        <v>59</v>
      </c>
      <c r="E279" s="1">
        <v>1069</v>
      </c>
      <c r="F279" s="1">
        <v>754</v>
      </c>
      <c r="G279" s="19">
        <f t="shared" ref="G279:H283" si="27">IFERROR(((E279-E272))/E272,0)</f>
        <v>0</v>
      </c>
      <c r="H279" s="19">
        <f t="shared" si="27"/>
        <v>0</v>
      </c>
      <c r="I279" s="1">
        <f>E279</f>
        <v>1069</v>
      </c>
      <c r="J279" s="1">
        <f>F279</f>
        <v>754</v>
      </c>
      <c r="K279" s="1">
        <f>K276+E279</f>
        <v>212520</v>
      </c>
      <c r="L279" s="1">
        <f>L276+F279</f>
        <v>140572</v>
      </c>
      <c r="M279" s="18">
        <v>0.28000000000000003</v>
      </c>
      <c r="N279" s="18">
        <v>0.28999999999999998</v>
      </c>
      <c r="O279" s="18">
        <v>0.71</v>
      </c>
      <c r="P279" s="18">
        <v>0.77</v>
      </c>
      <c r="Q279" s="18">
        <v>0.75</v>
      </c>
      <c r="R279" s="17">
        <v>0</v>
      </c>
      <c r="S279" s="17">
        <v>0</v>
      </c>
      <c r="T279" s="1">
        <v>11</v>
      </c>
      <c r="U279" s="1" t="str">
        <f t="shared" si="17"/>
        <v>Normal</v>
      </c>
      <c r="V279" s="1" t="str">
        <f t="shared" si="18"/>
        <v>Normal</v>
      </c>
      <c r="W279" s="19">
        <f t="shared" si="19"/>
        <v>0</v>
      </c>
      <c r="X279" s="19">
        <f t="shared" si="20"/>
        <v>0</v>
      </c>
    </row>
    <row r="280" spans="1:39">
      <c r="A280" s="21">
        <v>44930</v>
      </c>
      <c r="B280" s="17">
        <f>IF(YEAR(Table9[[#This Row],[Date]]) = 2022, WEEKNUM(Table9[[#This Row],[Date]])-13, WEEKNUM(Table9[[#This Row],[Date]])+40)</f>
        <v>41</v>
      </c>
      <c r="C280" s="35" t="s">
        <v>50</v>
      </c>
      <c r="D280" s="35" t="s">
        <v>59</v>
      </c>
      <c r="E280" s="1">
        <v>814</v>
      </c>
      <c r="F280" s="1">
        <v>771</v>
      </c>
      <c r="G280" s="19">
        <f t="shared" si="27"/>
        <v>-0.33114215283483978</v>
      </c>
      <c r="H280" s="19">
        <f t="shared" si="27"/>
        <v>-0.17363344051446947</v>
      </c>
      <c r="I280" s="1">
        <f t="shared" ref="I280:J283" si="28">I279+E280</f>
        <v>1883</v>
      </c>
      <c r="J280" s="1">
        <f t="shared" si="28"/>
        <v>1525</v>
      </c>
      <c r="K280" s="1">
        <f t="shared" ref="K280:L283" si="29">K279+E280</f>
        <v>213334</v>
      </c>
      <c r="L280" s="1">
        <f t="shared" si="29"/>
        <v>141343</v>
      </c>
      <c r="M280" s="18">
        <v>0.81</v>
      </c>
      <c r="N280" s="18">
        <v>0.05</v>
      </c>
      <c r="O280" s="18">
        <v>0.95</v>
      </c>
      <c r="P280" s="18">
        <v>0.63</v>
      </c>
      <c r="Q280" s="18">
        <v>0.77</v>
      </c>
      <c r="R280" s="17">
        <v>0</v>
      </c>
      <c r="S280" s="17">
        <v>0</v>
      </c>
      <c r="T280" s="1">
        <v>13</v>
      </c>
      <c r="U280" s="1" t="str">
        <f t="shared" si="17"/>
        <v>Outlier</v>
      </c>
      <c r="V280" s="1" t="str">
        <f t="shared" si="18"/>
        <v>Normal</v>
      </c>
      <c r="W280" s="19">
        <f t="shared" si="19"/>
        <v>-0.33114215283483978</v>
      </c>
      <c r="X280" s="19">
        <f t="shared" si="20"/>
        <v>-0.17363344051446947</v>
      </c>
    </row>
    <row r="281" spans="1:39">
      <c r="A281" s="21">
        <v>44931</v>
      </c>
      <c r="B281" s="17">
        <f>IF(YEAR(Table9[[#This Row],[Date]]) = 2022, WEEKNUM(Table9[[#This Row],[Date]])-13, WEEKNUM(Table9[[#This Row],[Date]])+40)</f>
        <v>41</v>
      </c>
      <c r="C281" s="35" t="s">
        <v>51</v>
      </c>
      <c r="D281" s="35" t="s">
        <v>59</v>
      </c>
      <c r="E281" s="1">
        <v>857</v>
      </c>
      <c r="F281" s="1">
        <v>737</v>
      </c>
      <c r="G281" s="19">
        <f t="shared" si="27"/>
        <v>-0.1687681862269641</v>
      </c>
      <c r="H281" s="19">
        <f t="shared" si="27"/>
        <v>1.3755158184319119E-2</v>
      </c>
      <c r="I281" s="1">
        <f t="shared" si="28"/>
        <v>2740</v>
      </c>
      <c r="J281" s="1">
        <f t="shared" si="28"/>
        <v>2262</v>
      </c>
      <c r="K281" s="1">
        <f t="shared" si="29"/>
        <v>214191</v>
      </c>
      <c r="L281" s="1">
        <f t="shared" si="29"/>
        <v>142080</v>
      </c>
      <c r="M281" s="18">
        <v>0.53</v>
      </c>
      <c r="N281" s="18">
        <v>0.14000000000000001</v>
      </c>
      <c r="O281" s="18">
        <v>0.86</v>
      </c>
      <c r="P281" s="18">
        <v>0.69</v>
      </c>
      <c r="Q281" s="18">
        <v>0.77</v>
      </c>
      <c r="R281" s="17">
        <v>0</v>
      </c>
      <c r="S281" s="17">
        <v>0</v>
      </c>
      <c r="T281" s="1">
        <v>12</v>
      </c>
      <c r="U281" s="1" t="str">
        <f t="shared" si="17"/>
        <v>Normal</v>
      </c>
      <c r="V281" s="1" t="str">
        <f t="shared" si="18"/>
        <v>Normal</v>
      </c>
      <c r="W281" s="19">
        <f t="shared" si="19"/>
        <v>-0.1687681862269641</v>
      </c>
      <c r="X281" s="19">
        <f t="shared" si="20"/>
        <v>1.3755158184319119E-2</v>
      </c>
    </row>
    <row r="282" spans="1:39">
      <c r="A282" s="21">
        <v>44932</v>
      </c>
      <c r="B282" s="17">
        <f>IF(YEAR(Table9[[#This Row],[Date]]) = 2022, WEEKNUM(Table9[[#This Row],[Date]])-13, WEEKNUM(Table9[[#This Row],[Date]])+40)</f>
        <v>41</v>
      </c>
      <c r="C282" s="35" t="s">
        <v>52</v>
      </c>
      <c r="D282" s="35" t="s">
        <v>59</v>
      </c>
      <c r="E282" s="1">
        <v>830</v>
      </c>
      <c r="F282" s="1">
        <v>729</v>
      </c>
      <c r="G282" s="19">
        <f t="shared" si="27"/>
        <v>-0.13541666666666666</v>
      </c>
      <c r="H282" s="19">
        <f t="shared" si="27"/>
        <v>-3.0585106382978722E-2</v>
      </c>
      <c r="I282" s="1">
        <f t="shared" si="28"/>
        <v>3570</v>
      </c>
      <c r="J282" s="1">
        <f t="shared" si="28"/>
        <v>2991</v>
      </c>
      <c r="K282" s="1">
        <f t="shared" si="29"/>
        <v>215021</v>
      </c>
      <c r="L282" s="1">
        <f t="shared" si="29"/>
        <v>142809</v>
      </c>
      <c r="M282" s="18">
        <v>0.56999999999999995</v>
      </c>
      <c r="N282" s="18">
        <v>0.88</v>
      </c>
      <c r="O282" s="18">
        <v>0.12</v>
      </c>
      <c r="P282" s="18">
        <v>0.66</v>
      </c>
      <c r="Q282" s="18">
        <v>0.78</v>
      </c>
      <c r="R282" s="17">
        <v>0</v>
      </c>
      <c r="S282" s="17">
        <v>0</v>
      </c>
      <c r="T282" s="1">
        <v>12</v>
      </c>
      <c r="U282" s="1" t="str">
        <f t="shared" si="17"/>
        <v>Normal</v>
      </c>
      <c r="V282" s="1" t="str">
        <f t="shared" si="18"/>
        <v>Normal</v>
      </c>
      <c r="W282" s="19">
        <f t="shared" si="19"/>
        <v>-0.13541666666666666</v>
      </c>
      <c r="X282" s="19">
        <f t="shared" si="20"/>
        <v>-3.0585106382978722E-2</v>
      </c>
    </row>
    <row r="283" spans="1:39">
      <c r="A283" s="21">
        <v>44933</v>
      </c>
      <c r="B283" s="17">
        <f>IF(YEAR(Table9[[#This Row],[Date]]) = 2022, WEEKNUM(Table9[[#This Row],[Date]])-13, WEEKNUM(Table9[[#This Row],[Date]])+40)</f>
        <v>41</v>
      </c>
      <c r="C283" s="35" t="s">
        <v>53</v>
      </c>
      <c r="D283" s="35" t="s">
        <v>59</v>
      </c>
      <c r="E283" s="1">
        <v>298</v>
      </c>
      <c r="F283" s="1">
        <v>282</v>
      </c>
      <c r="G283" s="19">
        <f t="shared" si="27"/>
        <v>-9.696969696969697E-2</v>
      </c>
      <c r="H283" s="19">
        <f t="shared" si="27"/>
        <v>-8.143322475570032E-2</v>
      </c>
      <c r="I283" s="1">
        <f t="shared" si="28"/>
        <v>3868</v>
      </c>
      <c r="J283" s="1">
        <f t="shared" si="28"/>
        <v>3273</v>
      </c>
      <c r="K283" s="1">
        <f t="shared" si="29"/>
        <v>215319</v>
      </c>
      <c r="L283" s="1">
        <f t="shared" si="29"/>
        <v>143091</v>
      </c>
      <c r="M283" s="18">
        <v>0.83</v>
      </c>
      <c r="N283" s="18">
        <v>0.05</v>
      </c>
      <c r="O283" s="18">
        <v>0.95</v>
      </c>
      <c r="P283" s="18">
        <v>0.91</v>
      </c>
      <c r="Q283" s="18">
        <v>0.31</v>
      </c>
      <c r="R283" s="17">
        <v>0</v>
      </c>
      <c r="S283" s="17">
        <v>0</v>
      </c>
      <c r="T283" s="1">
        <v>12</v>
      </c>
      <c r="U283" s="1" t="str">
        <f t="shared" si="17"/>
        <v>Normal</v>
      </c>
      <c r="V283" s="1" t="str">
        <f t="shared" si="18"/>
        <v>Normal</v>
      </c>
      <c r="W283" s="19">
        <f t="shared" si="19"/>
        <v>-9.696969696969697E-2</v>
      </c>
      <c r="X283" s="19">
        <f t="shared" si="20"/>
        <v>-8.143322475570032E-2</v>
      </c>
    </row>
    <row r="284" spans="1:39">
      <c r="A284" s="21">
        <v>44934</v>
      </c>
      <c r="B284" s="17">
        <f>IF(YEAR(Table9[[#This Row],[Date]]) = 2022, WEEKNUM(Table9[[#This Row],[Date]])-13, WEEKNUM(Table9[[#This Row],[Date]])+40)</f>
        <v>42</v>
      </c>
      <c r="C284" s="35" t="s">
        <v>47</v>
      </c>
      <c r="D284" s="35" t="s">
        <v>59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9">
        <v>0</v>
      </c>
      <c r="Q284" s="1">
        <v>0</v>
      </c>
      <c r="R284" s="17">
        <v>0</v>
      </c>
      <c r="S284" s="17">
        <v>0</v>
      </c>
      <c r="T284" s="1">
        <v>0</v>
      </c>
      <c r="U284" s="1" t="str">
        <f t="shared" si="17"/>
        <v>Normal</v>
      </c>
      <c r="V284" s="1" t="str">
        <f t="shared" si="18"/>
        <v>Normal</v>
      </c>
      <c r="W284" s="19">
        <f t="shared" si="19"/>
        <v>0</v>
      </c>
      <c r="X284" s="19">
        <f t="shared" si="20"/>
        <v>0</v>
      </c>
    </row>
    <row r="285" spans="1:39">
      <c r="A285" s="21">
        <v>44935</v>
      </c>
      <c r="B285" s="17">
        <f>IF(YEAR(Table9[[#This Row],[Date]]) = 2022, WEEKNUM(Table9[[#This Row],[Date]])-13, WEEKNUM(Table9[[#This Row],[Date]])+40)</f>
        <v>42</v>
      </c>
      <c r="C285" s="35" t="s">
        <v>48</v>
      </c>
      <c r="D285" s="35" t="s">
        <v>59</v>
      </c>
      <c r="E285" s="1">
        <v>886</v>
      </c>
      <c r="F285" s="1">
        <v>749</v>
      </c>
      <c r="G285" s="19">
        <f>IFERROR(((E285-E278)/E278),0)</f>
        <v>0</v>
      </c>
      <c r="H285" s="19">
        <f>IFERROR(((F285-F278)/F278),0)</f>
        <v>0</v>
      </c>
      <c r="I285" s="1">
        <f>I283+E285</f>
        <v>4754</v>
      </c>
      <c r="J285" s="1">
        <f>J283+F285</f>
        <v>4022</v>
      </c>
      <c r="K285" s="1">
        <f>K283+E285</f>
        <v>216205</v>
      </c>
      <c r="L285" s="1">
        <f>L283+F285</f>
        <v>143840</v>
      </c>
      <c r="M285" s="18">
        <v>0.5</v>
      </c>
      <c r="N285" s="18">
        <v>0.15</v>
      </c>
      <c r="O285" s="18">
        <v>0.85</v>
      </c>
      <c r="P285" s="18">
        <v>0.66</v>
      </c>
      <c r="Q285" s="18">
        <v>0.8</v>
      </c>
      <c r="R285" s="17">
        <v>0</v>
      </c>
      <c r="S285" s="17">
        <v>0</v>
      </c>
      <c r="T285" s="1">
        <v>12</v>
      </c>
      <c r="U285" s="1" t="str">
        <f t="shared" si="17"/>
        <v>Normal</v>
      </c>
      <c r="V285" s="1" t="str">
        <f t="shared" si="18"/>
        <v>Normal</v>
      </c>
      <c r="W285" s="19">
        <f t="shared" si="19"/>
        <v>0</v>
      </c>
      <c r="X285" s="19">
        <f t="shared" si="20"/>
        <v>0</v>
      </c>
    </row>
    <row r="286" spans="1:39">
      <c r="A286" s="21">
        <v>44936</v>
      </c>
      <c r="B286" s="17">
        <f>IF(YEAR(Table9[[#This Row],[Date]]) = 2022, WEEKNUM(Table9[[#This Row],[Date]])-13, WEEKNUM(Table9[[#This Row],[Date]])+40)</f>
        <v>42</v>
      </c>
      <c r="C286" s="35" t="s">
        <v>49</v>
      </c>
      <c r="D286" s="35" t="s">
        <v>59</v>
      </c>
      <c r="E286" s="1">
        <v>855</v>
      </c>
      <c r="F286" s="1">
        <v>738</v>
      </c>
      <c r="G286" s="19">
        <f t="shared" ref="G286:G290" si="30">(E286-E279)/E279</f>
        <v>-0.20018709073900842</v>
      </c>
      <c r="H286" s="19">
        <f>(F286-F279)/F279</f>
        <v>-2.1220159151193633E-2</v>
      </c>
      <c r="I286" s="1">
        <f t="shared" ref="I286:I290" si="31">I285+E286</f>
        <v>5609</v>
      </c>
      <c r="J286" s="1">
        <f t="shared" ref="J286:J290" si="32">J285+F286</f>
        <v>4760</v>
      </c>
      <c r="K286" s="1">
        <f t="shared" ref="K286:K290" si="33">K285+E286</f>
        <v>217060</v>
      </c>
      <c r="L286" s="1">
        <f t="shared" ref="L286:L290" si="34">L285+F286</f>
        <v>144578</v>
      </c>
      <c r="M286" s="18">
        <v>0.59</v>
      </c>
      <c r="N286" s="18">
        <v>0.14000000000000001</v>
      </c>
      <c r="O286" s="18">
        <v>0.86</v>
      </c>
      <c r="P286" s="18">
        <v>0.48</v>
      </c>
      <c r="Q286" s="18">
        <v>0.8</v>
      </c>
      <c r="R286" s="17">
        <v>0</v>
      </c>
      <c r="S286" s="17">
        <v>0</v>
      </c>
      <c r="T286" s="1">
        <v>14</v>
      </c>
      <c r="U286" s="1" t="str">
        <f t="shared" si="17"/>
        <v>Normal</v>
      </c>
      <c r="V286" s="1" t="str">
        <f t="shared" si="18"/>
        <v>Normal</v>
      </c>
      <c r="W286" s="19">
        <f t="shared" si="19"/>
        <v>-0.20018709073900842</v>
      </c>
      <c r="X286" s="19">
        <f t="shared" si="20"/>
        <v>-2.1220159151193633E-2</v>
      </c>
    </row>
    <row r="287" spans="1:39">
      <c r="A287" s="21">
        <v>44937</v>
      </c>
      <c r="B287" s="17">
        <f>IF(YEAR(Table9[[#This Row],[Date]]) = 2022, WEEKNUM(Table9[[#This Row],[Date]])-13, WEEKNUM(Table9[[#This Row],[Date]])+40)</f>
        <v>42</v>
      </c>
      <c r="C287" s="35" t="s">
        <v>50</v>
      </c>
      <c r="D287" s="35" t="s">
        <v>59</v>
      </c>
      <c r="E287" s="1">
        <v>817</v>
      </c>
      <c r="F287" s="1">
        <v>694</v>
      </c>
      <c r="G287" s="19">
        <f t="shared" si="30"/>
        <v>3.6855036855036856E-3</v>
      </c>
      <c r="H287" s="19">
        <f>(F287-F280)/F280</f>
        <v>-9.9870298313878086E-2</v>
      </c>
      <c r="I287" s="1">
        <f>I286+E287</f>
        <v>6426</v>
      </c>
      <c r="J287" s="1">
        <f>J286+F287</f>
        <v>5454</v>
      </c>
      <c r="K287" s="1">
        <f>K286+E287</f>
        <v>217877</v>
      </c>
      <c r="L287" s="1">
        <f t="shared" si="34"/>
        <v>145272</v>
      </c>
      <c r="M287" s="18">
        <v>0.59</v>
      </c>
      <c r="N287" s="18">
        <v>0.15</v>
      </c>
      <c r="O287" s="18">
        <v>0.85</v>
      </c>
      <c r="P287" s="18">
        <v>0.49</v>
      </c>
      <c r="Q287" s="18">
        <v>0.78</v>
      </c>
      <c r="R287" s="17">
        <v>0</v>
      </c>
      <c r="S287" s="17">
        <v>0</v>
      </c>
      <c r="T287" s="1">
        <v>11</v>
      </c>
      <c r="U287" s="1" t="str">
        <f t="shared" si="17"/>
        <v>Normal</v>
      </c>
      <c r="V287" s="1" t="str">
        <f t="shared" si="18"/>
        <v>Normal</v>
      </c>
      <c r="W287" s="19">
        <f t="shared" si="19"/>
        <v>3.6855036855036856E-3</v>
      </c>
      <c r="X287" s="19">
        <f t="shared" si="20"/>
        <v>-9.9870298313878086E-2</v>
      </c>
      <c r="AK287" s="50"/>
      <c r="AL287" s="50"/>
      <c r="AM287" s="50"/>
    </row>
    <row r="288" spans="1:39">
      <c r="A288" s="21">
        <v>44938</v>
      </c>
      <c r="B288" s="17">
        <f>IF(YEAR(Table9[[#This Row],[Date]]) = 2022, WEEKNUM(Table9[[#This Row],[Date]])-13, WEEKNUM(Table9[[#This Row],[Date]])+40)</f>
        <v>42</v>
      </c>
      <c r="C288" s="35" t="s">
        <v>51</v>
      </c>
      <c r="D288" s="35" t="s">
        <v>59</v>
      </c>
      <c r="E288" s="1">
        <v>734</v>
      </c>
      <c r="F288" s="1">
        <v>656</v>
      </c>
      <c r="G288" s="19">
        <f t="shared" si="30"/>
        <v>-0.14352392065344224</v>
      </c>
      <c r="H288" s="19">
        <f t="shared" ref="H288:H290" si="35">(F288-F281)/F281</f>
        <v>-0.10990502035278155</v>
      </c>
      <c r="I288" s="1">
        <f t="shared" si="31"/>
        <v>7160</v>
      </c>
      <c r="J288" s="1">
        <f t="shared" si="32"/>
        <v>6110</v>
      </c>
      <c r="K288" s="1">
        <f t="shared" si="33"/>
        <v>218611</v>
      </c>
      <c r="L288" s="1">
        <f t="shared" si="34"/>
        <v>145928</v>
      </c>
      <c r="M288" s="18">
        <v>0.73</v>
      </c>
      <c r="N288" s="18">
        <v>0.11</v>
      </c>
      <c r="O288" s="18">
        <v>0.89</v>
      </c>
      <c r="P288" s="18">
        <v>0.48</v>
      </c>
      <c r="Q288" s="18">
        <v>0.8</v>
      </c>
      <c r="R288" s="17">
        <v>0</v>
      </c>
      <c r="S288" s="17">
        <v>0</v>
      </c>
      <c r="T288" s="1">
        <v>11</v>
      </c>
      <c r="U288" s="1" t="str">
        <f t="shared" si="17"/>
        <v>Normal</v>
      </c>
      <c r="V288" s="1" t="str">
        <f t="shared" si="18"/>
        <v>Normal</v>
      </c>
      <c r="W288" s="19">
        <f t="shared" si="19"/>
        <v>-0.14352392065344224</v>
      </c>
      <c r="X288" s="19">
        <f t="shared" si="20"/>
        <v>-0.10990502035278155</v>
      </c>
    </row>
    <row r="289" spans="1:43">
      <c r="A289" s="21">
        <v>44939</v>
      </c>
      <c r="B289" s="17">
        <f>IF(YEAR(Table9[[#This Row],[Date]]) = 2022, WEEKNUM(Table9[[#This Row],[Date]])-13, WEEKNUM(Table9[[#This Row],[Date]])+40)</f>
        <v>42</v>
      </c>
      <c r="C289" s="35" t="s">
        <v>52</v>
      </c>
      <c r="D289" s="35" t="s">
        <v>59</v>
      </c>
      <c r="E289" s="1">
        <v>749</v>
      </c>
      <c r="F289" s="1">
        <v>708</v>
      </c>
      <c r="G289" s="19">
        <f t="shared" si="30"/>
        <v>-9.7590361445783133E-2</v>
      </c>
      <c r="H289" s="19">
        <f t="shared" si="35"/>
        <v>-2.8806584362139918E-2</v>
      </c>
      <c r="I289" s="1">
        <f t="shared" si="31"/>
        <v>7909</v>
      </c>
      <c r="J289" s="1">
        <f t="shared" si="32"/>
        <v>6818</v>
      </c>
      <c r="K289" s="1">
        <f t="shared" si="33"/>
        <v>219360</v>
      </c>
      <c r="L289" s="1">
        <f t="shared" si="34"/>
        <v>146636</v>
      </c>
      <c r="M289" s="18">
        <v>0.85</v>
      </c>
      <c r="N289" s="18">
        <v>0.05</v>
      </c>
      <c r="O289" s="18">
        <v>0.95</v>
      </c>
      <c r="P289" s="18">
        <v>0.33</v>
      </c>
      <c r="Q289" s="18">
        <v>0.83</v>
      </c>
      <c r="R289" s="17">
        <v>0</v>
      </c>
      <c r="S289" s="17">
        <v>0</v>
      </c>
      <c r="T289" s="1">
        <v>14</v>
      </c>
      <c r="U289" s="1" t="str">
        <f t="shared" si="17"/>
        <v>Normal</v>
      </c>
      <c r="V289" s="1" t="str">
        <f t="shared" si="18"/>
        <v>Normal</v>
      </c>
      <c r="W289" s="19">
        <f t="shared" si="19"/>
        <v>-9.7590361445783133E-2</v>
      </c>
      <c r="X289" s="19">
        <f t="shared" si="20"/>
        <v>-2.8806584362139918E-2</v>
      </c>
    </row>
    <row r="290" spans="1:43">
      <c r="A290" s="21">
        <v>44940</v>
      </c>
      <c r="B290" s="17">
        <f>IF(YEAR(Table9[[#This Row],[Date]]) = 2022, WEEKNUM(Table9[[#This Row],[Date]])-13, WEEKNUM(Table9[[#This Row],[Date]])+40)</f>
        <v>42</v>
      </c>
      <c r="C290" s="35" t="s">
        <v>53</v>
      </c>
      <c r="D290" s="35" t="s">
        <v>59</v>
      </c>
      <c r="E290" s="1">
        <v>334</v>
      </c>
      <c r="F290" s="1">
        <v>311</v>
      </c>
      <c r="G290" s="19">
        <f t="shared" si="30"/>
        <v>0.12080536912751678</v>
      </c>
      <c r="H290" s="19">
        <f t="shared" si="35"/>
        <v>0.10283687943262411</v>
      </c>
      <c r="I290" s="1">
        <f t="shared" si="31"/>
        <v>8243</v>
      </c>
      <c r="J290" s="1">
        <f t="shared" si="32"/>
        <v>7129</v>
      </c>
      <c r="K290" s="1">
        <f t="shared" si="33"/>
        <v>219694</v>
      </c>
      <c r="L290" s="1">
        <f t="shared" si="34"/>
        <v>146947</v>
      </c>
      <c r="M290" s="18">
        <v>0.8</v>
      </c>
      <c r="N290" s="18">
        <v>7.0000000000000007E-2</v>
      </c>
      <c r="O290" s="18">
        <v>0.93</v>
      </c>
      <c r="P290" s="18">
        <v>0.32</v>
      </c>
      <c r="Q290" s="18">
        <v>0.85</v>
      </c>
      <c r="R290" s="17">
        <v>0</v>
      </c>
      <c r="S290" s="17">
        <v>0</v>
      </c>
      <c r="T290" s="1">
        <v>11</v>
      </c>
      <c r="U290" s="1" t="str">
        <f t="shared" si="17"/>
        <v>Normal</v>
      </c>
      <c r="V290" s="1" t="str">
        <f t="shared" si="18"/>
        <v>Normal</v>
      </c>
      <c r="W290" s="19">
        <f t="shared" si="19"/>
        <v>0.12080536912751678</v>
      </c>
      <c r="X290" s="19">
        <f t="shared" si="20"/>
        <v>0.10283687943262411</v>
      </c>
    </row>
    <row r="291" spans="1:43">
      <c r="A291" s="21">
        <v>44941</v>
      </c>
      <c r="B291" s="17">
        <f>IF(YEAR(Table9[[#This Row],[Date]]) = 2022, WEEKNUM(Table9[[#This Row],[Date]])-13, WEEKNUM(Table9[[#This Row],[Date]])+40)</f>
        <v>43</v>
      </c>
      <c r="C291" s="35" t="s">
        <v>47</v>
      </c>
      <c r="D291" s="35" t="s">
        <v>59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69">
        <v>0</v>
      </c>
      <c r="Q291" s="1">
        <v>0</v>
      </c>
      <c r="R291" s="17">
        <v>0</v>
      </c>
      <c r="S291" s="17">
        <v>0</v>
      </c>
      <c r="T291" s="1">
        <v>0</v>
      </c>
      <c r="U291" s="1" t="str">
        <f t="shared" si="17"/>
        <v>Normal</v>
      </c>
      <c r="V291" s="1" t="str">
        <f t="shared" si="18"/>
        <v>Normal</v>
      </c>
      <c r="W291" s="19">
        <f t="shared" si="19"/>
        <v>0</v>
      </c>
      <c r="X291" s="19">
        <f t="shared" si="20"/>
        <v>0</v>
      </c>
    </row>
    <row r="292" spans="1:43">
      <c r="A292" s="21">
        <v>44942</v>
      </c>
      <c r="B292" s="17">
        <f>IF(YEAR(Table9[[#This Row],[Date]]) = 2022, WEEKNUM(Table9[[#This Row],[Date]])-13, WEEKNUM(Table9[[#This Row],[Date]])+40)</f>
        <v>43</v>
      </c>
      <c r="C292" s="35" t="s">
        <v>48</v>
      </c>
      <c r="D292" s="35" t="s">
        <v>59</v>
      </c>
      <c r="E292" s="1">
        <v>899</v>
      </c>
      <c r="F292" s="1">
        <v>842</v>
      </c>
      <c r="G292" s="19">
        <f>IFERROR(((E292-E285)/E285),0)</f>
        <v>1.4672686230248307E-2</v>
      </c>
      <c r="H292" s="19">
        <f>IFERROR(((F292-F285)/F285),0)</f>
        <v>0.12416555407209613</v>
      </c>
      <c r="I292" s="1">
        <f>I290+E292</f>
        <v>9142</v>
      </c>
      <c r="J292" s="1">
        <f>J290+F292</f>
        <v>7971</v>
      </c>
      <c r="K292" s="1">
        <f>K290+E292</f>
        <v>220593</v>
      </c>
      <c r="L292" s="1">
        <f>L290+F292</f>
        <v>147789</v>
      </c>
      <c r="M292" s="18">
        <v>0.79</v>
      </c>
      <c r="N292" s="18">
        <v>0.06</v>
      </c>
      <c r="O292" s="18">
        <v>0.94</v>
      </c>
      <c r="P292" s="18">
        <v>0.62</v>
      </c>
      <c r="Q292" s="18">
        <v>0.81</v>
      </c>
      <c r="R292" s="17">
        <v>0</v>
      </c>
      <c r="S292" s="17">
        <v>0</v>
      </c>
      <c r="T292" s="1">
        <v>11</v>
      </c>
      <c r="U292" s="1" t="str">
        <f t="shared" si="17"/>
        <v>Normal</v>
      </c>
      <c r="V292" s="1" t="str">
        <f t="shared" si="18"/>
        <v>Normal</v>
      </c>
      <c r="W292" s="19">
        <f t="shared" si="19"/>
        <v>1.4672686230248307E-2</v>
      </c>
      <c r="X292" s="19">
        <f t="shared" si="20"/>
        <v>0.12416555407209613</v>
      </c>
    </row>
    <row r="293" spans="1:43">
      <c r="A293" s="21">
        <v>44943</v>
      </c>
      <c r="B293" s="17">
        <f>IF(YEAR(Table9[[#This Row],[Date]]) = 2022, WEEKNUM(Table9[[#This Row],[Date]])-13, WEEKNUM(Table9[[#This Row],[Date]])+40)</f>
        <v>43</v>
      </c>
      <c r="C293" s="35" t="s">
        <v>49</v>
      </c>
      <c r="D293" s="35" t="s">
        <v>59</v>
      </c>
      <c r="E293" s="1">
        <v>824</v>
      </c>
      <c r="F293" s="1">
        <v>804</v>
      </c>
      <c r="G293" s="19">
        <f t="shared" ref="G293:G296" si="36">(E293-E286)/E286</f>
        <v>-3.6257309941520467E-2</v>
      </c>
      <c r="H293" s="19">
        <f>(F293-F286)/F286</f>
        <v>8.943089430894309E-2</v>
      </c>
      <c r="I293" s="1">
        <f t="shared" ref="I293" si="37">I292+E293</f>
        <v>9966</v>
      </c>
      <c r="J293" s="1">
        <f t="shared" ref="J293" si="38">J292+F293</f>
        <v>8775</v>
      </c>
      <c r="K293" s="1">
        <f t="shared" ref="K293" si="39">K292+E293</f>
        <v>221417</v>
      </c>
      <c r="L293" s="1">
        <f t="shared" ref="L293:L297" si="40">L292+F293</f>
        <v>148593</v>
      </c>
      <c r="M293" s="18">
        <v>0.88</v>
      </c>
      <c r="N293" s="18">
        <v>0.02</v>
      </c>
      <c r="O293" s="18">
        <v>0.98</v>
      </c>
      <c r="P293" s="18">
        <v>0.6</v>
      </c>
      <c r="Q293" s="18">
        <v>0.83</v>
      </c>
      <c r="R293" s="17">
        <v>0</v>
      </c>
      <c r="S293" s="17">
        <v>0</v>
      </c>
      <c r="T293" s="1">
        <v>11</v>
      </c>
      <c r="U293" s="1" t="str">
        <f t="shared" si="17"/>
        <v>Normal</v>
      </c>
      <c r="V293" s="1" t="str">
        <f t="shared" si="18"/>
        <v>Normal</v>
      </c>
      <c r="W293" s="19">
        <f t="shared" si="19"/>
        <v>-3.6257309941520467E-2</v>
      </c>
      <c r="X293" s="19">
        <f t="shared" si="20"/>
        <v>8.943089430894309E-2</v>
      </c>
    </row>
    <row r="294" spans="1:43">
      <c r="A294" s="21">
        <v>44944</v>
      </c>
      <c r="B294" s="17">
        <f>IF(YEAR(Table9[[#This Row],[Date]]) = 2022, WEEKNUM(Table9[[#This Row],[Date]])-13, WEEKNUM(Table9[[#This Row],[Date]])+40)</f>
        <v>43</v>
      </c>
      <c r="C294" s="35" t="s">
        <v>50</v>
      </c>
      <c r="D294" s="35" t="s">
        <v>59</v>
      </c>
      <c r="E294" s="1">
        <v>734</v>
      </c>
      <c r="F294" s="1">
        <v>719</v>
      </c>
      <c r="G294" s="19">
        <f t="shared" si="36"/>
        <v>-0.10159118727050184</v>
      </c>
      <c r="H294" s="19">
        <f>(F294-F287)/F287</f>
        <v>3.6023054755043228E-2</v>
      </c>
      <c r="I294" s="1">
        <f>I293+E294</f>
        <v>10700</v>
      </c>
      <c r="J294" s="1">
        <f>J293+F294</f>
        <v>9494</v>
      </c>
      <c r="K294" s="1">
        <f>K293+E294</f>
        <v>222151</v>
      </c>
      <c r="L294" s="1">
        <f t="shared" si="40"/>
        <v>149312</v>
      </c>
      <c r="M294" s="18">
        <v>0.94</v>
      </c>
      <c r="N294" s="18">
        <v>0.02</v>
      </c>
      <c r="O294" s="18">
        <v>0.98</v>
      </c>
      <c r="P294" s="18">
        <v>0.4</v>
      </c>
      <c r="Q294" s="18">
        <v>0.81</v>
      </c>
      <c r="R294" s="17">
        <v>0</v>
      </c>
      <c r="S294" s="17">
        <v>0</v>
      </c>
      <c r="T294" s="1">
        <v>11</v>
      </c>
      <c r="U294" s="1" t="str">
        <f t="shared" si="17"/>
        <v>Normal</v>
      </c>
      <c r="V294" s="1" t="str">
        <f t="shared" si="18"/>
        <v>Normal</v>
      </c>
      <c r="W294" s="19">
        <f t="shared" si="19"/>
        <v>-0.10159118727050184</v>
      </c>
      <c r="X294" s="19">
        <f t="shared" si="20"/>
        <v>3.6023054755043228E-2</v>
      </c>
    </row>
    <row r="295" spans="1:43">
      <c r="A295" s="21">
        <v>44945</v>
      </c>
      <c r="B295" s="17">
        <f>IF(YEAR(Table9[[#This Row],[Date]]) = 2022, WEEKNUM(Table9[[#This Row],[Date]])-13, WEEKNUM(Table9[[#This Row],[Date]])+40)</f>
        <v>43</v>
      </c>
      <c r="C295" s="35" t="s">
        <v>51</v>
      </c>
      <c r="D295" s="35" t="s">
        <v>59</v>
      </c>
      <c r="E295" s="1">
        <v>760</v>
      </c>
      <c r="F295" s="1">
        <v>699</v>
      </c>
      <c r="G295" s="19">
        <f t="shared" si="36"/>
        <v>3.5422343324250684E-2</v>
      </c>
      <c r="H295" s="19">
        <f t="shared" ref="H295:H296" si="41">(F295-F288)/F288</f>
        <v>6.5548780487804881E-2</v>
      </c>
      <c r="I295" s="1">
        <f t="shared" ref="I295:I297" si="42">I294+E295</f>
        <v>11460</v>
      </c>
      <c r="J295" s="1">
        <f t="shared" ref="J295:J297" si="43">J294+F295</f>
        <v>10193</v>
      </c>
      <c r="K295" s="1">
        <f t="shared" ref="K295:K297" si="44">K294+E295</f>
        <v>222911</v>
      </c>
      <c r="L295" s="1">
        <f t="shared" si="40"/>
        <v>150011</v>
      </c>
      <c r="M295" s="18">
        <v>0.8</v>
      </c>
      <c r="N295" s="18">
        <v>0.08</v>
      </c>
      <c r="O295" s="18">
        <v>0.92</v>
      </c>
      <c r="P295" s="18">
        <v>0.53</v>
      </c>
      <c r="Q295" s="18">
        <v>0.79</v>
      </c>
      <c r="R295" s="214">
        <v>194</v>
      </c>
      <c r="S295" s="153">
        <v>1.2499999999999999E-2</v>
      </c>
      <c r="T295" s="1">
        <v>10</v>
      </c>
      <c r="U295" s="1" t="str">
        <f t="shared" si="17"/>
        <v>Normal</v>
      </c>
      <c r="V295" s="1" t="str">
        <f t="shared" si="18"/>
        <v>Normal</v>
      </c>
      <c r="W295" s="19">
        <f t="shared" si="19"/>
        <v>3.5422343324250684E-2</v>
      </c>
      <c r="X295" s="19">
        <f t="shared" si="20"/>
        <v>6.5548780487804881E-2</v>
      </c>
      <c r="AN295">
        <f>MINUTE(Table7[[#This Row],[AHT]])</f>
        <v>0</v>
      </c>
      <c r="AO295">
        <f>SECOND(Table7[[#This Row],[AHT]])</f>
        <v>0</v>
      </c>
      <c r="AQ295">
        <v>194</v>
      </c>
    </row>
    <row r="296" spans="1:43">
      <c r="A296" s="21">
        <v>44946</v>
      </c>
      <c r="B296" s="17">
        <f>IF(YEAR(Table9[[#This Row],[Date]]) = 2022, WEEKNUM(Table9[[#This Row],[Date]])-13, WEEKNUM(Table9[[#This Row],[Date]])+40)</f>
        <v>43</v>
      </c>
      <c r="C296" s="35" t="s">
        <v>52</v>
      </c>
      <c r="D296" s="35" t="s">
        <v>59</v>
      </c>
      <c r="E296" s="1">
        <v>694</v>
      </c>
      <c r="F296" s="1">
        <v>665</v>
      </c>
      <c r="G296" s="19">
        <f t="shared" si="36"/>
        <v>-7.3431241655540727E-2</v>
      </c>
      <c r="H296" s="19">
        <f t="shared" si="41"/>
        <v>-6.0734463276836161E-2</v>
      </c>
      <c r="I296" s="1">
        <f t="shared" si="42"/>
        <v>12154</v>
      </c>
      <c r="J296" s="1">
        <f t="shared" si="43"/>
        <v>10858</v>
      </c>
      <c r="K296" s="1">
        <f t="shared" si="44"/>
        <v>223605</v>
      </c>
      <c r="L296" s="1">
        <f t="shared" si="40"/>
        <v>150676</v>
      </c>
      <c r="M296" s="18">
        <v>0.87</v>
      </c>
      <c r="N296" s="18">
        <v>0.08</v>
      </c>
      <c r="O296" s="18">
        <v>0.92</v>
      </c>
      <c r="P296" s="18">
        <v>0.53</v>
      </c>
      <c r="Q296" s="18">
        <v>0.8</v>
      </c>
      <c r="R296" s="214">
        <v>204</v>
      </c>
      <c r="S296" s="153">
        <v>7.6388888888888886E-3</v>
      </c>
      <c r="T296" s="1">
        <v>10</v>
      </c>
      <c r="U296" s="1" t="str">
        <f t="shared" si="17"/>
        <v>Normal</v>
      </c>
      <c r="V296" s="1" t="str">
        <f t="shared" si="18"/>
        <v>Normal</v>
      </c>
      <c r="W296" s="19">
        <f t="shared" si="19"/>
        <v>-7.3431241655540727E-2</v>
      </c>
      <c r="X296" s="19">
        <f t="shared" si="20"/>
        <v>-6.0734463276836161E-2</v>
      </c>
      <c r="AN296">
        <f>MINUTE(Table7[[#This Row],[AHT]])</f>
        <v>0</v>
      </c>
      <c r="AO296">
        <f>SECOND(Table7[[#This Row],[AHT]])</f>
        <v>0</v>
      </c>
      <c r="AQ296">
        <v>204</v>
      </c>
    </row>
    <row r="297" spans="1:43">
      <c r="A297" s="21">
        <v>44947</v>
      </c>
      <c r="B297" s="17">
        <f>IF(YEAR(Table9[[#This Row],[Date]]) = 2022, WEEKNUM(Table9[[#This Row],[Date]])-13, WEEKNUM(Table9[[#This Row],[Date]])+40)</f>
        <v>43</v>
      </c>
      <c r="C297" s="35" t="s">
        <v>53</v>
      </c>
      <c r="D297" s="35" t="s">
        <v>59</v>
      </c>
      <c r="E297" s="1">
        <v>246</v>
      </c>
      <c r="F297" s="1">
        <v>203</v>
      </c>
      <c r="G297" s="19">
        <f>(E297-E290)/E290</f>
        <v>-0.26347305389221559</v>
      </c>
      <c r="H297" s="19">
        <f>(F297-F290)/F290</f>
        <v>-0.34726688102893893</v>
      </c>
      <c r="I297" s="1">
        <f t="shared" si="42"/>
        <v>12400</v>
      </c>
      <c r="J297" s="1">
        <f t="shared" si="43"/>
        <v>11061</v>
      </c>
      <c r="K297" s="1">
        <f t="shared" si="44"/>
        <v>223851</v>
      </c>
      <c r="L297" s="1">
        <f t="shared" si="40"/>
        <v>150879</v>
      </c>
      <c r="M297" s="18">
        <v>0.72</v>
      </c>
      <c r="N297" s="18">
        <v>0.17</v>
      </c>
      <c r="O297" s="18">
        <v>0.83</v>
      </c>
      <c r="P297" s="18">
        <v>0.26</v>
      </c>
      <c r="Q297" s="18">
        <v>0.89</v>
      </c>
      <c r="R297" s="214">
        <v>169</v>
      </c>
      <c r="S297" s="153">
        <v>2.9861111111111113E-2</v>
      </c>
      <c r="T297" s="1">
        <v>11</v>
      </c>
      <c r="U297" s="1" t="str">
        <f t="shared" si="17"/>
        <v>Outlier</v>
      </c>
      <c r="V297" s="1" t="str">
        <f t="shared" si="18"/>
        <v>Outlier</v>
      </c>
      <c r="W297" s="19">
        <f t="shared" si="19"/>
        <v>-0.26347305389221559</v>
      </c>
      <c r="X297" s="19">
        <f t="shared" si="20"/>
        <v>-0.34726688102893893</v>
      </c>
      <c r="AN297">
        <f>MINUTE(Table7[[#This Row],[AHT]])</f>
        <v>0</v>
      </c>
      <c r="AO297">
        <f>SECOND(Table7[[#This Row],[AHT]])</f>
        <v>0</v>
      </c>
      <c r="AQ297">
        <v>169</v>
      </c>
    </row>
    <row r="298" spans="1:43">
      <c r="A298" s="21">
        <v>44948</v>
      </c>
      <c r="B298" s="17">
        <f>IF(YEAR(Table9[[#This Row],[Date]]) = 2022, WEEKNUM(Table9[[#This Row],[Date]])-13, WEEKNUM(Table9[[#This Row],[Date]])+40)</f>
        <v>44</v>
      </c>
      <c r="C298" s="35" t="s">
        <v>47</v>
      </c>
      <c r="D298" s="35" t="s">
        <v>59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69">
        <v>0</v>
      </c>
      <c r="Q298" s="1">
        <v>0</v>
      </c>
      <c r="R298" s="214">
        <v>0</v>
      </c>
      <c r="S298" s="153">
        <v>0</v>
      </c>
      <c r="T298" s="1">
        <v>0</v>
      </c>
      <c r="U298" s="1" t="str">
        <f t="shared" si="17"/>
        <v>Normal</v>
      </c>
      <c r="V298" s="1" t="str">
        <f t="shared" si="18"/>
        <v>Normal</v>
      </c>
      <c r="W298" s="19">
        <f t="shared" si="19"/>
        <v>0</v>
      </c>
      <c r="X298" s="19">
        <f t="shared" si="20"/>
        <v>0</v>
      </c>
      <c r="AN298">
        <f>MINUTE(Table7[[#This Row],[AHT]])</f>
        <v>0</v>
      </c>
      <c r="AO298">
        <f>SECOND(Table7[[#This Row],[AHT]])</f>
        <v>0</v>
      </c>
      <c r="AQ298">
        <v>0</v>
      </c>
    </row>
    <row r="299" spans="1:43">
      <c r="A299" s="21">
        <v>44949</v>
      </c>
      <c r="B299" s="17">
        <f>IF(YEAR(Table9[[#This Row],[Date]]) = 2022, WEEKNUM(Table9[[#This Row],[Date]])-13, WEEKNUM(Table9[[#This Row],[Date]])+40)</f>
        <v>44</v>
      </c>
      <c r="C299" s="35" t="s">
        <v>48</v>
      </c>
      <c r="D299" s="35" t="s">
        <v>59</v>
      </c>
      <c r="E299" s="1">
        <v>778</v>
      </c>
      <c r="F299" s="1">
        <v>705</v>
      </c>
      <c r="G299" s="19">
        <f>IFERROR(((E299-E292)/E292),0)</f>
        <v>-0.13459399332591768</v>
      </c>
      <c r="H299" s="19">
        <f>IFERROR(((F299-F292)/F292),0)</f>
        <v>-0.16270783847980996</v>
      </c>
      <c r="I299" s="1">
        <f>I297+E299</f>
        <v>13178</v>
      </c>
      <c r="J299" s="1">
        <f>J297+F299</f>
        <v>11766</v>
      </c>
      <c r="K299" s="1">
        <f>K297+E299</f>
        <v>224629</v>
      </c>
      <c r="L299" s="1">
        <f>L297+F299</f>
        <v>151584</v>
      </c>
      <c r="M299" s="18">
        <v>0.76</v>
      </c>
      <c r="N299" s="18">
        <v>0.09</v>
      </c>
      <c r="O299" s="18">
        <v>0.91</v>
      </c>
      <c r="P299" s="18">
        <v>0.56999999999999995</v>
      </c>
      <c r="Q299" s="18">
        <v>0.81</v>
      </c>
      <c r="R299" s="214">
        <v>188</v>
      </c>
      <c r="S299" s="153">
        <v>1.3194444444444444E-2</v>
      </c>
      <c r="T299" s="1">
        <v>10</v>
      </c>
      <c r="U299" s="1" t="str">
        <f t="shared" si="17"/>
        <v>Normal</v>
      </c>
      <c r="V299" s="1" t="str">
        <f t="shared" si="18"/>
        <v>Normal</v>
      </c>
      <c r="W299" s="19">
        <f t="shared" si="19"/>
        <v>-0.13459399332591768</v>
      </c>
      <c r="X299" s="19">
        <f t="shared" si="20"/>
        <v>-0.16270783847980996</v>
      </c>
      <c r="AN299">
        <f>MINUTE(Table7[[#This Row],[AHT]])</f>
        <v>0</v>
      </c>
      <c r="AO299">
        <f>SECOND(Table7[[#This Row],[AHT]])</f>
        <v>0</v>
      </c>
      <c r="AQ299">
        <v>188</v>
      </c>
    </row>
    <row r="300" spans="1:43">
      <c r="A300" s="21">
        <v>44950</v>
      </c>
      <c r="B300" s="17">
        <f>IF(YEAR(Table9[[#This Row],[Date]]) = 2022, WEEKNUM(Table9[[#This Row],[Date]])-13, WEEKNUM(Table9[[#This Row],[Date]])+40)</f>
        <v>44</v>
      </c>
      <c r="C300" s="35" t="s">
        <v>49</v>
      </c>
      <c r="D300" s="35" t="s">
        <v>59</v>
      </c>
      <c r="E300" s="1">
        <v>775</v>
      </c>
      <c r="F300" s="1">
        <v>738</v>
      </c>
      <c r="G300" s="19">
        <f t="shared" ref="G300:G303" si="45">(E300-E293)/E293</f>
        <v>-5.946601941747573E-2</v>
      </c>
      <c r="H300" s="19">
        <f>(F300-F293)/F293</f>
        <v>-8.2089552238805971E-2</v>
      </c>
      <c r="I300" s="1">
        <f t="shared" ref="I300" si="46">I299+E300</f>
        <v>13953</v>
      </c>
      <c r="J300" s="1">
        <f t="shared" ref="J300" si="47">J299+F300</f>
        <v>12504</v>
      </c>
      <c r="K300" s="1">
        <f t="shared" ref="K300" si="48">K299+E300</f>
        <v>225404</v>
      </c>
      <c r="L300" s="1">
        <f t="shared" ref="L300:L304" si="49">L299+F300</f>
        <v>152322</v>
      </c>
      <c r="M300" s="18">
        <v>0.85</v>
      </c>
      <c r="N300" s="18">
        <v>0.05</v>
      </c>
      <c r="O300" s="18">
        <v>0.95</v>
      </c>
      <c r="P300" s="18">
        <v>0.53</v>
      </c>
      <c r="Q300" s="18">
        <v>0.78</v>
      </c>
      <c r="R300" s="214">
        <v>188</v>
      </c>
      <c r="S300" s="153">
        <v>1.3194444444444444E-2</v>
      </c>
      <c r="T300" s="1">
        <v>11</v>
      </c>
      <c r="U300" s="1" t="str">
        <f t="shared" si="17"/>
        <v>Normal</v>
      </c>
      <c r="V300" s="1" t="str">
        <f t="shared" si="18"/>
        <v>Normal</v>
      </c>
      <c r="W300" s="19">
        <f t="shared" si="19"/>
        <v>-5.946601941747573E-2</v>
      </c>
      <c r="X300" s="19">
        <f t="shared" si="20"/>
        <v>-8.2089552238805971E-2</v>
      </c>
      <c r="AN300">
        <f>MINUTE(Table7[[#This Row],[AHT]])</f>
        <v>0</v>
      </c>
      <c r="AO300">
        <f>SECOND(Table7[[#This Row],[AHT]])</f>
        <v>0</v>
      </c>
      <c r="AQ300">
        <v>188</v>
      </c>
    </row>
    <row r="301" spans="1:43">
      <c r="A301" s="21">
        <v>44951</v>
      </c>
      <c r="B301" s="17">
        <f>IF(YEAR(Table9[[#This Row],[Date]]) = 2022, WEEKNUM(Table9[[#This Row],[Date]])-13, WEEKNUM(Table9[[#This Row],[Date]])+40)</f>
        <v>44</v>
      </c>
      <c r="C301" s="35" t="s">
        <v>50</v>
      </c>
      <c r="D301" s="35" t="s">
        <v>59</v>
      </c>
      <c r="E301" s="1">
        <v>704</v>
      </c>
      <c r="F301" s="1">
        <v>660</v>
      </c>
      <c r="G301" s="19">
        <f t="shared" si="45"/>
        <v>-4.0871934604904632E-2</v>
      </c>
      <c r="H301" s="19">
        <f>(F301-F294)/F294</f>
        <v>-8.2058414464534074E-2</v>
      </c>
      <c r="I301" s="1">
        <f>I300+E301</f>
        <v>14657</v>
      </c>
      <c r="J301" s="1">
        <f>J300+F301</f>
        <v>13164</v>
      </c>
      <c r="K301" s="1">
        <f>K300+E301</f>
        <v>226108</v>
      </c>
      <c r="L301" s="1">
        <f t="shared" si="49"/>
        <v>152982</v>
      </c>
      <c r="M301" s="18">
        <v>0.8</v>
      </c>
      <c r="N301" s="18">
        <v>0.06</v>
      </c>
      <c r="O301" s="18">
        <v>0.94</v>
      </c>
      <c r="P301" s="18">
        <v>0.49</v>
      </c>
      <c r="Q301" s="18">
        <v>0.79</v>
      </c>
      <c r="R301" s="214">
        <v>174</v>
      </c>
      <c r="S301" s="153">
        <v>9.7222222222222224E-3</v>
      </c>
      <c r="T301" s="1">
        <v>10</v>
      </c>
      <c r="U301" s="1" t="str">
        <f t="shared" si="17"/>
        <v>Normal</v>
      </c>
      <c r="V301" s="1" t="str">
        <f t="shared" si="18"/>
        <v>Normal</v>
      </c>
      <c r="W301" s="19">
        <f t="shared" si="19"/>
        <v>-4.0871934604904632E-2</v>
      </c>
      <c r="X301" s="19">
        <f t="shared" si="20"/>
        <v>-8.2058414464534074E-2</v>
      </c>
      <c r="AN301">
        <f>MINUTE(Table7[[#This Row],[AHT]])</f>
        <v>0</v>
      </c>
      <c r="AO301">
        <f>SECOND(Table7[[#This Row],[AHT]])</f>
        <v>0</v>
      </c>
      <c r="AQ301">
        <v>174</v>
      </c>
    </row>
    <row r="302" spans="1:43">
      <c r="A302" s="21">
        <v>44952</v>
      </c>
      <c r="B302" s="17">
        <f>IF(YEAR(Table9[[#This Row],[Date]]) = 2022, WEEKNUM(Table9[[#This Row],[Date]])-13, WEEKNUM(Table9[[#This Row],[Date]])+40)</f>
        <v>44</v>
      </c>
      <c r="C302" s="35" t="s">
        <v>51</v>
      </c>
      <c r="D302" s="35" t="s">
        <v>59</v>
      </c>
      <c r="E302" s="1">
        <v>763</v>
      </c>
      <c r="F302" s="1">
        <v>742</v>
      </c>
      <c r="G302" s="19">
        <f t="shared" si="45"/>
        <v>3.9473684210526317E-3</v>
      </c>
      <c r="H302" s="19">
        <f t="shared" ref="H302:H303" si="50">(F302-F295)/F295</f>
        <v>6.1516452074391992E-2</v>
      </c>
      <c r="I302" s="1">
        <f t="shared" ref="I302:I304" si="51">I301+E302</f>
        <v>15420</v>
      </c>
      <c r="J302" s="1">
        <f t="shared" ref="J302:J304" si="52">J301+F302</f>
        <v>13906</v>
      </c>
      <c r="K302" s="1">
        <f t="shared" ref="K302:K304" si="53">K301+E302</f>
        <v>226871</v>
      </c>
      <c r="L302" s="1">
        <f t="shared" si="49"/>
        <v>153724</v>
      </c>
      <c r="M302" s="18">
        <v>0.92</v>
      </c>
      <c r="N302" s="18">
        <v>0.03</v>
      </c>
      <c r="O302" s="18">
        <v>0.97</v>
      </c>
      <c r="P302" s="18">
        <v>0.4</v>
      </c>
      <c r="Q302" s="18">
        <v>0.79</v>
      </c>
      <c r="R302" s="214">
        <v>188</v>
      </c>
      <c r="S302" s="153">
        <v>6.2499999999999995E-3</v>
      </c>
      <c r="T302" s="1">
        <v>12</v>
      </c>
      <c r="U302" s="1" t="str">
        <f t="shared" si="17"/>
        <v>Normal</v>
      </c>
      <c r="V302" s="1" t="str">
        <f t="shared" si="18"/>
        <v>Normal</v>
      </c>
      <c r="W302" s="19">
        <f t="shared" si="19"/>
        <v>3.9473684210526317E-3</v>
      </c>
      <c r="X302" s="19">
        <f t="shared" si="20"/>
        <v>6.1516452074391992E-2</v>
      </c>
      <c r="AN302">
        <f>MINUTE(Table7[[#This Row],[AHT]])</f>
        <v>0</v>
      </c>
      <c r="AO302">
        <f>SECOND(Table7[[#This Row],[AHT]])</f>
        <v>0</v>
      </c>
      <c r="AQ302">
        <v>188</v>
      </c>
    </row>
    <row r="303" spans="1:43">
      <c r="A303" s="21">
        <v>44953</v>
      </c>
      <c r="B303" s="17">
        <f>IF(YEAR(Table9[[#This Row],[Date]]) = 2022, WEEKNUM(Table9[[#This Row],[Date]])-13, WEEKNUM(Table9[[#This Row],[Date]])+40)</f>
        <v>44</v>
      </c>
      <c r="C303" s="35" t="s">
        <v>52</v>
      </c>
      <c r="D303" s="35" t="s">
        <v>59</v>
      </c>
      <c r="E303" s="1">
        <v>720</v>
      </c>
      <c r="F303" s="1">
        <v>685</v>
      </c>
      <c r="G303" s="19">
        <f t="shared" si="45"/>
        <v>3.7463976945244955E-2</v>
      </c>
      <c r="H303" s="19">
        <f t="shared" si="50"/>
        <v>3.007518796992481E-2</v>
      </c>
      <c r="I303" s="1">
        <f t="shared" si="51"/>
        <v>16140</v>
      </c>
      <c r="J303" s="1">
        <f t="shared" si="52"/>
        <v>14591</v>
      </c>
      <c r="K303" s="1">
        <f t="shared" si="53"/>
        <v>227591</v>
      </c>
      <c r="L303" s="1">
        <f t="shared" si="49"/>
        <v>154409</v>
      </c>
      <c r="M303" s="18">
        <v>0.85</v>
      </c>
      <c r="N303" s="18">
        <v>0.05</v>
      </c>
      <c r="O303" s="18">
        <v>0.95</v>
      </c>
      <c r="P303" s="18">
        <v>0.53</v>
      </c>
      <c r="Q303" s="18">
        <v>0.84</v>
      </c>
      <c r="R303" s="214">
        <v>204</v>
      </c>
      <c r="S303" s="153">
        <v>9.0277777777777787E-3</v>
      </c>
      <c r="T303" s="1">
        <v>10</v>
      </c>
      <c r="U303" s="1" t="str">
        <f t="shared" si="17"/>
        <v>Normal</v>
      </c>
      <c r="V303" s="1" t="str">
        <f t="shared" si="18"/>
        <v>Normal</v>
      </c>
      <c r="W303" s="19">
        <f t="shared" si="19"/>
        <v>3.7463976945244955E-2</v>
      </c>
      <c r="X303" s="19">
        <f t="shared" si="20"/>
        <v>3.007518796992481E-2</v>
      </c>
      <c r="AN303">
        <f>MINUTE(Table7[[#This Row],[AHT]])</f>
        <v>0</v>
      </c>
      <c r="AO303">
        <f>SECOND(Table7[[#This Row],[AHT]])</f>
        <v>0</v>
      </c>
      <c r="AQ303">
        <v>204</v>
      </c>
    </row>
    <row r="304" spans="1:43">
      <c r="A304" s="21">
        <v>44954</v>
      </c>
      <c r="B304" s="17">
        <f>IF(YEAR(Table9[[#This Row],[Date]]) = 2022, WEEKNUM(Table9[[#This Row],[Date]])-13, WEEKNUM(Table9[[#This Row],[Date]])+40)</f>
        <v>44</v>
      </c>
      <c r="C304" s="34" t="s">
        <v>53</v>
      </c>
      <c r="D304" s="35" t="s">
        <v>59</v>
      </c>
      <c r="E304" s="1">
        <v>417</v>
      </c>
      <c r="F304" s="1">
        <v>384</v>
      </c>
      <c r="G304" s="19">
        <f>(E304-E297)/E297</f>
        <v>0.69512195121951215</v>
      </c>
      <c r="H304" s="19">
        <f>(F304-F297)/F297</f>
        <v>0.89162561576354682</v>
      </c>
      <c r="I304" s="1">
        <f t="shared" si="51"/>
        <v>16557</v>
      </c>
      <c r="J304" s="1">
        <f t="shared" si="52"/>
        <v>14975</v>
      </c>
      <c r="K304" s="1">
        <f t="shared" si="53"/>
        <v>228008</v>
      </c>
      <c r="L304" s="1">
        <f t="shared" si="49"/>
        <v>154793</v>
      </c>
      <c r="M304" s="18">
        <v>0.87</v>
      </c>
      <c r="N304" s="18">
        <v>0.08</v>
      </c>
      <c r="O304" s="18">
        <v>0.92</v>
      </c>
      <c r="P304" s="18">
        <v>0.37</v>
      </c>
      <c r="Q304" s="18">
        <v>0.88</v>
      </c>
      <c r="R304" s="214">
        <v>224</v>
      </c>
      <c r="S304" s="153">
        <v>9.0277777777777787E-3</v>
      </c>
      <c r="T304" s="1">
        <v>11</v>
      </c>
      <c r="U304" s="1" t="str">
        <f t="shared" si="17"/>
        <v>Outlier</v>
      </c>
      <c r="V304" s="1" t="str">
        <f t="shared" si="18"/>
        <v>Outlier</v>
      </c>
      <c r="W304" s="19">
        <f t="shared" si="19"/>
        <v>0.69512195121951215</v>
      </c>
      <c r="X304" s="19">
        <f t="shared" si="20"/>
        <v>0.89162561576354682</v>
      </c>
      <c r="AN304">
        <f>MINUTE(Table7[[#This Row],[AHT]])</f>
        <v>0</v>
      </c>
      <c r="AO304">
        <f>SECOND(Table7[[#This Row],[AHT]])</f>
        <v>0</v>
      </c>
      <c r="AQ304">
        <v>224</v>
      </c>
    </row>
    <row r="305" spans="1:43">
      <c r="A305" s="21">
        <v>44955</v>
      </c>
      <c r="B305" s="17">
        <f>IF(YEAR(Table9[[#This Row],[Date]]) = 2022, WEEKNUM(Table9[[#This Row],[Date]])-13, WEEKNUM(Table9[[#This Row],[Date]])+40)</f>
        <v>45</v>
      </c>
      <c r="C305" s="35" t="s">
        <v>47</v>
      </c>
      <c r="D305" s="35" t="s">
        <v>59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9">
        <v>0</v>
      </c>
      <c r="Q305" s="1">
        <v>0</v>
      </c>
      <c r="R305" s="214">
        <v>0</v>
      </c>
      <c r="S305" s="153">
        <v>0</v>
      </c>
      <c r="T305" s="1">
        <v>0</v>
      </c>
      <c r="U305" s="1" t="str">
        <f t="shared" si="17"/>
        <v>Normal</v>
      </c>
      <c r="V305" s="1" t="str">
        <f t="shared" si="18"/>
        <v>Normal</v>
      </c>
      <c r="W305" s="19">
        <f t="shared" si="19"/>
        <v>0</v>
      </c>
      <c r="X305" s="19">
        <f t="shared" si="20"/>
        <v>0</v>
      </c>
      <c r="AN305">
        <f>MINUTE(Table7[[#This Row],[AHT]])</f>
        <v>0</v>
      </c>
      <c r="AO305">
        <f>SECOND(Table7[[#This Row],[AHT]])</f>
        <v>0</v>
      </c>
      <c r="AQ305">
        <v>0</v>
      </c>
    </row>
    <row r="306" spans="1:43">
      <c r="A306" s="21">
        <v>44956</v>
      </c>
      <c r="B306" s="17">
        <f>IF(YEAR(Table9[[#This Row],[Date]]) = 2022, WEEKNUM(Table9[[#This Row],[Date]])-13, WEEKNUM(Table9[[#This Row],[Date]])+40)</f>
        <v>45</v>
      </c>
      <c r="C306" s="35" t="s">
        <v>48</v>
      </c>
      <c r="D306" s="35" t="s">
        <v>59</v>
      </c>
      <c r="E306" s="1">
        <v>796</v>
      </c>
      <c r="F306" s="1">
        <v>776</v>
      </c>
      <c r="G306" s="19">
        <f>IFERROR(((E306-E299)/E299),0)</f>
        <v>2.313624678663239E-2</v>
      </c>
      <c r="H306" s="19">
        <f>IFERROR(((F306-F299)/F299),0)</f>
        <v>0.10070921985815603</v>
      </c>
      <c r="I306" s="1">
        <f>I304+E306</f>
        <v>17353</v>
      </c>
      <c r="J306" s="1">
        <f>J304+F306</f>
        <v>15751</v>
      </c>
      <c r="K306" s="1">
        <f>K304+E306</f>
        <v>228804</v>
      </c>
      <c r="L306" s="1">
        <f>L304+F306</f>
        <v>155569</v>
      </c>
      <c r="M306" s="18">
        <v>0.93</v>
      </c>
      <c r="N306" s="18">
        <v>0.03</v>
      </c>
      <c r="O306" s="18">
        <v>0.97</v>
      </c>
      <c r="P306" s="18">
        <v>0.51</v>
      </c>
      <c r="Q306" s="18">
        <v>0.79</v>
      </c>
      <c r="R306" s="214">
        <v>162</v>
      </c>
      <c r="S306" s="153">
        <v>4.8611111111111112E-3</v>
      </c>
      <c r="T306" s="1">
        <v>12</v>
      </c>
      <c r="U306" s="1" t="str">
        <f t="shared" si="17"/>
        <v>Normal</v>
      </c>
      <c r="V306" s="1" t="str">
        <f t="shared" si="18"/>
        <v>Normal</v>
      </c>
      <c r="W306" s="19">
        <f t="shared" si="19"/>
        <v>2.313624678663239E-2</v>
      </c>
      <c r="X306" s="19">
        <f t="shared" si="20"/>
        <v>0.10070921985815603</v>
      </c>
      <c r="AN306">
        <f>MINUTE(Table7[[#This Row],[AHT]])</f>
        <v>0</v>
      </c>
      <c r="AO306">
        <f>SECOND(Table7[[#This Row],[AHT]])</f>
        <v>0</v>
      </c>
      <c r="AQ306">
        <v>162</v>
      </c>
    </row>
    <row r="307" spans="1:43">
      <c r="A307" s="21">
        <v>44957</v>
      </c>
      <c r="B307" s="17">
        <f>IF(YEAR(Table9[[#This Row],[Date]]) = 2022, WEEKNUM(Table9[[#This Row],[Date]])-13, WEEKNUM(Table9[[#This Row],[Date]])+40)</f>
        <v>45</v>
      </c>
      <c r="C307" s="35" t="s">
        <v>49</v>
      </c>
      <c r="D307" s="35" t="s">
        <v>59</v>
      </c>
      <c r="E307" s="1">
        <v>770</v>
      </c>
      <c r="F307" s="1">
        <v>749</v>
      </c>
      <c r="G307" s="19">
        <f t="shared" ref="G307:G311" si="54">(E307-E300)/E300</f>
        <v>-6.4516129032258064E-3</v>
      </c>
      <c r="H307" s="19">
        <f>(F307-F300)/F300</f>
        <v>1.4905149051490514E-2</v>
      </c>
      <c r="I307" s="1">
        <f t="shared" ref="I307" si="55">I306+E307</f>
        <v>18123</v>
      </c>
      <c r="J307" s="1">
        <f t="shared" ref="J307" si="56">J306+F307</f>
        <v>16500</v>
      </c>
      <c r="K307" s="1">
        <f t="shared" ref="K307:K308" si="57">K306+E307</f>
        <v>229574</v>
      </c>
      <c r="L307" s="1">
        <f t="shared" ref="L307:L311" si="58">L306+F307</f>
        <v>156318</v>
      </c>
      <c r="M307" s="18">
        <v>0.92</v>
      </c>
      <c r="N307" s="18">
        <v>0.03</v>
      </c>
      <c r="O307" s="18">
        <v>0.97</v>
      </c>
      <c r="P307" s="18">
        <v>0.47</v>
      </c>
      <c r="Q307" s="18">
        <v>0.79</v>
      </c>
      <c r="R307" s="214">
        <v>177</v>
      </c>
      <c r="S307" s="153">
        <v>5.5555555555555558E-3</v>
      </c>
      <c r="T307" s="1">
        <v>12</v>
      </c>
      <c r="U307" s="1" t="str">
        <f t="shared" si="17"/>
        <v>Normal</v>
      </c>
      <c r="V307" s="1" t="str">
        <f t="shared" si="18"/>
        <v>Normal</v>
      </c>
      <c r="W307" s="19">
        <f t="shared" si="19"/>
        <v>-6.4516129032258064E-3</v>
      </c>
      <c r="X307" s="19">
        <f t="shared" si="20"/>
        <v>1.4905149051490514E-2</v>
      </c>
      <c r="AN307">
        <f>MINUTE(Table7[[#This Row],[AHT]])</f>
        <v>0</v>
      </c>
      <c r="AO307">
        <f>SECOND(Table7[[#This Row],[AHT]])</f>
        <v>0</v>
      </c>
      <c r="AQ307">
        <v>177</v>
      </c>
    </row>
    <row r="308" spans="1:43">
      <c r="A308" s="21">
        <v>44958</v>
      </c>
      <c r="B308" s="17">
        <f>IF(YEAR(Table9[[#This Row],[Date]]) = 2022, WEEKNUM(Table9[[#This Row],[Date]])-13, WEEKNUM(Table9[[#This Row],[Date]])+40)</f>
        <v>45</v>
      </c>
      <c r="C308" s="34" t="s">
        <v>50</v>
      </c>
      <c r="D308" s="35" t="s">
        <v>59</v>
      </c>
      <c r="E308" s="1">
        <v>746</v>
      </c>
      <c r="F308" s="1">
        <v>718</v>
      </c>
      <c r="G308" s="19">
        <f t="shared" si="54"/>
        <v>5.9659090909090912E-2</v>
      </c>
      <c r="H308" s="19">
        <f>(F308-F301)/F301</f>
        <v>8.7878787878787876E-2</v>
      </c>
      <c r="I308" s="1">
        <f>Table7[[#This Row],[Calls Off]]</f>
        <v>746</v>
      </c>
      <c r="J308" s="1">
        <f>Table7[[#This Row],[Calls Ans]]</f>
        <v>718</v>
      </c>
      <c r="K308" s="1">
        <f t="shared" si="57"/>
        <v>230320</v>
      </c>
      <c r="L308" s="1">
        <f t="shared" si="58"/>
        <v>157036</v>
      </c>
      <c r="M308" s="18">
        <v>0.91</v>
      </c>
      <c r="N308" s="18">
        <v>0.04</v>
      </c>
      <c r="O308" s="18">
        <v>0.96</v>
      </c>
      <c r="P308" s="18">
        <v>0.41</v>
      </c>
      <c r="Q308" s="18">
        <v>0.78</v>
      </c>
      <c r="R308" s="214">
        <v>178</v>
      </c>
      <c r="S308" s="153">
        <v>5.5555555555555558E-3</v>
      </c>
      <c r="T308" s="1">
        <v>13</v>
      </c>
      <c r="U308" s="1" t="str">
        <f t="shared" si="17"/>
        <v>Normal</v>
      </c>
      <c r="V308" s="1" t="str">
        <f t="shared" si="18"/>
        <v>Normal</v>
      </c>
      <c r="W308" s="19">
        <f t="shared" si="19"/>
        <v>5.9659090909090912E-2</v>
      </c>
      <c r="X308" s="19">
        <f t="shared" si="20"/>
        <v>8.7878787878787876E-2</v>
      </c>
      <c r="AN308">
        <f>MINUTE(Table7[[#This Row],[AHT]])</f>
        <v>0</v>
      </c>
      <c r="AO308">
        <f>SECOND(Table7[[#This Row],[AHT]])</f>
        <v>0</v>
      </c>
      <c r="AQ308">
        <v>178</v>
      </c>
    </row>
    <row r="309" spans="1:43">
      <c r="A309" s="21">
        <v>44959</v>
      </c>
      <c r="B309" s="17">
        <f>IF(YEAR(Table9[[#This Row],[Date]]) = 2022, WEEKNUM(Table9[[#This Row],[Date]])-13, WEEKNUM(Table9[[#This Row],[Date]])+40)</f>
        <v>45</v>
      </c>
      <c r="C309" s="35" t="s">
        <v>51</v>
      </c>
      <c r="D309" s="35" t="s">
        <v>59</v>
      </c>
      <c r="E309" s="1">
        <v>719</v>
      </c>
      <c r="F309" s="1">
        <v>710</v>
      </c>
      <c r="G309" s="19">
        <f t="shared" si="54"/>
        <v>-5.7667103538663174E-2</v>
      </c>
      <c r="H309" s="19">
        <f>(F309-F302)/F302</f>
        <v>-4.3126684636118601E-2</v>
      </c>
      <c r="I309" s="1">
        <f>I308+E309</f>
        <v>1465</v>
      </c>
      <c r="J309" s="1">
        <f>J308+F309</f>
        <v>1428</v>
      </c>
      <c r="K309" s="1">
        <f>K308+E309</f>
        <v>231039</v>
      </c>
      <c r="L309" s="1">
        <f t="shared" si="58"/>
        <v>157746</v>
      </c>
      <c r="M309" s="18">
        <v>0.95</v>
      </c>
      <c r="N309" s="18">
        <v>0.01</v>
      </c>
      <c r="O309" s="18">
        <v>0.99</v>
      </c>
      <c r="P309" s="18">
        <v>0.43</v>
      </c>
      <c r="Q309" s="18">
        <v>0.8</v>
      </c>
      <c r="R309" s="214">
        <v>163</v>
      </c>
      <c r="S309" s="153">
        <v>3.472222222222222E-3</v>
      </c>
      <c r="T309" s="1">
        <v>12</v>
      </c>
      <c r="U309" s="1" t="str">
        <f t="shared" si="17"/>
        <v>Normal</v>
      </c>
      <c r="V309" s="1" t="str">
        <f t="shared" si="18"/>
        <v>Normal</v>
      </c>
      <c r="W309" s="19">
        <f t="shared" si="19"/>
        <v>-5.7667103538663174E-2</v>
      </c>
      <c r="X309" s="19">
        <f t="shared" si="20"/>
        <v>-4.3126684636118601E-2</v>
      </c>
      <c r="AN309">
        <f>MINUTE(Table7[[#This Row],[AHT]])</f>
        <v>0</v>
      </c>
      <c r="AO309">
        <f>SECOND(Table7[[#This Row],[AHT]])</f>
        <v>0</v>
      </c>
      <c r="AQ309">
        <v>163</v>
      </c>
    </row>
    <row r="310" spans="1:43">
      <c r="A310" s="21">
        <v>44960</v>
      </c>
      <c r="B310" s="17">
        <f>IF(YEAR(Table9[[#This Row],[Date]]) = 2022, WEEKNUM(Table9[[#This Row],[Date]])-13, WEEKNUM(Table9[[#This Row],[Date]])+40)</f>
        <v>45</v>
      </c>
      <c r="C310" s="35" t="s">
        <v>52</v>
      </c>
      <c r="D310" s="35" t="s">
        <v>59</v>
      </c>
      <c r="E310" s="1">
        <v>672</v>
      </c>
      <c r="F310" s="1">
        <v>651</v>
      </c>
      <c r="G310" s="19">
        <f t="shared" si="54"/>
        <v>-6.6666666666666666E-2</v>
      </c>
      <c r="H310" s="19">
        <f t="shared" ref="H310:H311" si="59">(F310-F303)/F303</f>
        <v>-4.9635036496350364E-2</v>
      </c>
      <c r="I310" s="1">
        <f t="shared" ref="I310:I311" si="60">I309+E310</f>
        <v>2137</v>
      </c>
      <c r="J310" s="1">
        <f t="shared" ref="J310:J311" si="61">J309+F310</f>
        <v>2079</v>
      </c>
      <c r="K310" s="1">
        <f t="shared" ref="K310:K311" si="62">K309+E310</f>
        <v>231711</v>
      </c>
      <c r="L310" s="1">
        <f t="shared" si="58"/>
        <v>158397</v>
      </c>
      <c r="M310" s="18">
        <v>0.93</v>
      </c>
      <c r="N310" s="18">
        <v>0.03</v>
      </c>
      <c r="O310" s="18">
        <v>0.97</v>
      </c>
      <c r="P310" s="18">
        <v>0.4</v>
      </c>
      <c r="Q310" s="18">
        <v>0.8</v>
      </c>
      <c r="R310" s="214">
        <v>153</v>
      </c>
      <c r="S310" s="153">
        <v>4.8611111111111112E-3</v>
      </c>
      <c r="T310" s="1">
        <v>12</v>
      </c>
      <c r="U310" s="1" t="str">
        <f t="shared" si="17"/>
        <v>Normal</v>
      </c>
      <c r="V310" s="1" t="str">
        <f t="shared" si="18"/>
        <v>Normal</v>
      </c>
      <c r="W310" s="19">
        <f t="shared" si="19"/>
        <v>-6.6666666666666666E-2</v>
      </c>
      <c r="X310" s="19">
        <f t="shared" si="20"/>
        <v>-4.9635036496350364E-2</v>
      </c>
      <c r="AN310">
        <f>MINUTE(Table7[[#This Row],[AHT]])</f>
        <v>0</v>
      </c>
      <c r="AO310">
        <f>SECOND(Table7[[#This Row],[AHT]])</f>
        <v>0</v>
      </c>
      <c r="AQ310">
        <v>153</v>
      </c>
    </row>
    <row r="311" spans="1:43">
      <c r="A311" s="21">
        <v>44961</v>
      </c>
      <c r="B311" s="17">
        <f>IF(YEAR(Table9[[#This Row],[Date]]) = 2022, WEEKNUM(Table9[[#This Row],[Date]])-13, WEEKNUM(Table9[[#This Row],[Date]])+40)</f>
        <v>45</v>
      </c>
      <c r="C311" s="35" t="s">
        <v>53</v>
      </c>
      <c r="D311" s="35" t="s">
        <v>59</v>
      </c>
      <c r="E311" s="1">
        <v>423</v>
      </c>
      <c r="F311" s="1">
        <v>418</v>
      </c>
      <c r="G311" s="19">
        <f t="shared" si="54"/>
        <v>1.4388489208633094E-2</v>
      </c>
      <c r="H311" s="19">
        <f t="shared" si="59"/>
        <v>8.8541666666666671E-2</v>
      </c>
      <c r="I311" s="1">
        <f t="shared" si="60"/>
        <v>2560</v>
      </c>
      <c r="J311" s="1">
        <f t="shared" si="61"/>
        <v>2497</v>
      </c>
      <c r="K311" s="1">
        <f t="shared" si="62"/>
        <v>232134</v>
      </c>
      <c r="L311" s="1">
        <f t="shared" si="58"/>
        <v>158815</v>
      </c>
      <c r="M311" s="18">
        <v>0.97</v>
      </c>
      <c r="N311" s="18">
        <v>0.01</v>
      </c>
      <c r="O311" s="18">
        <v>0.99</v>
      </c>
      <c r="P311" s="18">
        <v>0.38</v>
      </c>
      <c r="Q311" s="18">
        <v>0.86</v>
      </c>
      <c r="R311" s="214">
        <v>162</v>
      </c>
      <c r="S311" s="153">
        <v>4.1666666666666666E-3</v>
      </c>
      <c r="T311" s="1">
        <v>12</v>
      </c>
      <c r="U311" s="1" t="str">
        <f t="shared" si="17"/>
        <v>Normal</v>
      </c>
      <c r="V311" s="1" t="str">
        <f t="shared" si="18"/>
        <v>Normal</v>
      </c>
      <c r="W311" s="19">
        <f t="shared" si="19"/>
        <v>1.4388489208633094E-2</v>
      </c>
      <c r="X311" s="19">
        <f t="shared" si="20"/>
        <v>8.8541666666666671E-2</v>
      </c>
      <c r="AN311">
        <f>MINUTE(Table7[[#This Row],[AHT]])</f>
        <v>0</v>
      </c>
      <c r="AO311">
        <f>SECOND(Table7[[#This Row],[AHT]])</f>
        <v>0</v>
      </c>
      <c r="AQ311">
        <v>162</v>
      </c>
    </row>
    <row r="312" spans="1:43">
      <c r="A312" s="21">
        <v>44962</v>
      </c>
      <c r="B312" s="17">
        <f>IF(YEAR(Table9[[#This Row],[Date]]) = 2022, WEEKNUM(Table9[[#This Row],[Date]])-13, WEEKNUM(Table9[[#This Row],[Date]])+40)</f>
        <v>46</v>
      </c>
      <c r="C312" s="35" t="s">
        <v>47</v>
      </c>
      <c r="D312" s="35" t="s">
        <v>59</v>
      </c>
      <c r="E312" s="1">
        <v>0</v>
      </c>
      <c r="F312" s="1">
        <v>0</v>
      </c>
      <c r="G312" s="19">
        <v>0</v>
      </c>
      <c r="H312" s="19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69">
        <v>0</v>
      </c>
      <c r="Q312" s="1">
        <v>0</v>
      </c>
      <c r="R312" s="214">
        <v>0</v>
      </c>
      <c r="S312" s="153">
        <v>0</v>
      </c>
      <c r="T312" s="1">
        <v>0</v>
      </c>
      <c r="U312" s="1" t="str">
        <f t="shared" si="17"/>
        <v>Normal</v>
      </c>
      <c r="V312" s="1" t="str">
        <f t="shared" si="18"/>
        <v>Normal</v>
      </c>
      <c r="W312" s="19">
        <f t="shared" si="19"/>
        <v>0</v>
      </c>
      <c r="X312" s="19">
        <f t="shared" si="20"/>
        <v>0</v>
      </c>
      <c r="AN312">
        <f>MINUTE(Table7[[#This Row],[AHT]])</f>
        <v>0</v>
      </c>
      <c r="AO312">
        <f>SECOND(Table7[[#This Row],[AHT]])</f>
        <v>0</v>
      </c>
      <c r="AQ312">
        <v>0</v>
      </c>
    </row>
    <row r="313" spans="1:43">
      <c r="A313" s="21">
        <v>44963</v>
      </c>
      <c r="B313" s="17">
        <f>IF(YEAR(Table9[[#This Row],[Date]]) = 2022, WEEKNUM(Table9[[#This Row],[Date]])-13, WEEKNUM(Table9[[#This Row],[Date]])+40)</f>
        <v>46</v>
      </c>
      <c r="C313" s="35" t="s">
        <v>48</v>
      </c>
      <c r="D313" s="35" t="s">
        <v>59</v>
      </c>
      <c r="E313" s="1">
        <v>832</v>
      </c>
      <c r="F313" s="1">
        <v>805</v>
      </c>
      <c r="G313" s="19">
        <f>IFERROR(((E313-E306)/E306),0)</f>
        <v>4.5226130653266333E-2</v>
      </c>
      <c r="H313" s="19">
        <f>IFERROR(((F313-F306)/F306),0)</f>
        <v>3.7371134020618556E-2</v>
      </c>
      <c r="I313" s="1">
        <f>I311+E313</f>
        <v>3392</v>
      </c>
      <c r="J313" s="1">
        <f>J311+F313</f>
        <v>3302</v>
      </c>
      <c r="K313" s="1">
        <f>K311+E313</f>
        <v>232966</v>
      </c>
      <c r="L313" s="1">
        <f>L311+F313</f>
        <v>159620</v>
      </c>
      <c r="M313" s="18">
        <v>0.88</v>
      </c>
      <c r="N313" s="18">
        <v>0.03</v>
      </c>
      <c r="O313" s="18">
        <v>0.97</v>
      </c>
      <c r="P313" s="18">
        <v>0.53</v>
      </c>
      <c r="Q313" s="18">
        <v>0.79</v>
      </c>
      <c r="R313" s="214">
        <v>183</v>
      </c>
      <c r="S313" s="153">
        <v>5.5555555555555558E-3</v>
      </c>
      <c r="T313" s="1">
        <v>12</v>
      </c>
      <c r="U313" s="1" t="str">
        <f t="shared" si="17"/>
        <v>Normal</v>
      </c>
      <c r="V313" s="1" t="str">
        <f t="shared" si="18"/>
        <v>Normal</v>
      </c>
      <c r="W313" s="19">
        <f t="shared" si="19"/>
        <v>4.5226130653266333E-2</v>
      </c>
      <c r="X313" s="19">
        <f t="shared" si="20"/>
        <v>3.7371134020618556E-2</v>
      </c>
      <c r="AN313">
        <f>MINUTE(Table7[[#This Row],[AHT]])</f>
        <v>0</v>
      </c>
      <c r="AO313">
        <f>SECOND(Table7[[#This Row],[AHT]])</f>
        <v>0</v>
      </c>
      <c r="AQ313">
        <v>183</v>
      </c>
    </row>
    <row r="314" spans="1:43">
      <c r="A314" s="21">
        <v>44964</v>
      </c>
      <c r="B314" s="17">
        <f>IF(YEAR(Table9[[#This Row],[Date]]) = 2022, WEEKNUM(Table9[[#This Row],[Date]])-13, WEEKNUM(Table9[[#This Row],[Date]])+40)</f>
        <v>46</v>
      </c>
      <c r="C314" s="35" t="s">
        <v>49</v>
      </c>
      <c r="D314" s="35" t="s">
        <v>59</v>
      </c>
      <c r="E314" s="1">
        <v>804</v>
      </c>
      <c r="F314" s="1">
        <v>793</v>
      </c>
      <c r="G314" s="19">
        <f t="shared" ref="G314:G318" si="63">(E314-E307)/E307</f>
        <v>4.4155844155844157E-2</v>
      </c>
      <c r="H314" s="19">
        <f>(F314-F307)/F307</f>
        <v>5.8744993324432573E-2</v>
      </c>
      <c r="I314" s="1">
        <f t="shared" ref="I314:I315" si="64">I313+E314</f>
        <v>4196</v>
      </c>
      <c r="J314" s="1">
        <f t="shared" ref="J314:J315" si="65">J313+F314</f>
        <v>4095</v>
      </c>
      <c r="K314" s="1">
        <f t="shared" ref="K314:K315" si="66">K313+E314</f>
        <v>233770</v>
      </c>
      <c r="L314" s="1">
        <f t="shared" ref="L314:L318" si="67">L313+F314</f>
        <v>160413</v>
      </c>
      <c r="M314" s="18">
        <v>0.98</v>
      </c>
      <c r="N314" s="18">
        <v>0.01</v>
      </c>
      <c r="O314" s="18">
        <v>0.99</v>
      </c>
      <c r="P314" s="18">
        <v>0.49</v>
      </c>
      <c r="Q314" s="18">
        <v>0.82</v>
      </c>
      <c r="R314" s="214">
        <v>150</v>
      </c>
      <c r="S314" s="153">
        <v>3.472222222222222E-3</v>
      </c>
      <c r="T314" s="1">
        <v>13</v>
      </c>
      <c r="U314" s="1" t="str">
        <f t="shared" si="17"/>
        <v>Normal</v>
      </c>
      <c r="V314" s="1" t="str">
        <f t="shared" si="18"/>
        <v>Normal</v>
      </c>
      <c r="W314" s="19">
        <f t="shared" si="19"/>
        <v>4.4155844155844157E-2</v>
      </c>
      <c r="X314" s="19">
        <f t="shared" si="20"/>
        <v>5.8744993324432573E-2</v>
      </c>
      <c r="AN314">
        <f>MINUTE(Table7[[#This Row],[AHT]])</f>
        <v>0</v>
      </c>
      <c r="AO314">
        <f>SECOND(Table7[[#This Row],[AHT]])</f>
        <v>0</v>
      </c>
      <c r="AQ314">
        <v>150</v>
      </c>
    </row>
    <row r="315" spans="1:43">
      <c r="A315" s="21">
        <v>44965</v>
      </c>
      <c r="B315" s="17">
        <f>IF(YEAR(Table9[[#This Row],[Date]]) = 2022, WEEKNUM(Table9[[#This Row],[Date]])-13, WEEKNUM(Table9[[#This Row],[Date]])+40)</f>
        <v>46</v>
      </c>
      <c r="C315" s="35" t="s">
        <v>50</v>
      </c>
      <c r="D315" s="35" t="s">
        <v>59</v>
      </c>
      <c r="E315" s="1">
        <v>711</v>
      </c>
      <c r="F315" s="1">
        <v>700</v>
      </c>
      <c r="G315" s="19">
        <f t="shared" si="63"/>
        <v>-4.6916890080428951E-2</v>
      </c>
      <c r="H315" s="19">
        <f>(F315-F308)/F308</f>
        <v>-2.5069637883008356E-2</v>
      </c>
      <c r="I315" s="1">
        <f t="shared" si="64"/>
        <v>4907</v>
      </c>
      <c r="J315" s="1">
        <f t="shared" si="65"/>
        <v>4795</v>
      </c>
      <c r="K315" s="1">
        <f t="shared" si="66"/>
        <v>234481</v>
      </c>
      <c r="L315" s="1">
        <f t="shared" si="67"/>
        <v>161113</v>
      </c>
      <c r="M315" s="18">
        <v>0.97</v>
      </c>
      <c r="N315" s="18">
        <v>0.02</v>
      </c>
      <c r="O315" s="18">
        <v>0.98</v>
      </c>
      <c r="P315" s="18">
        <v>0.35</v>
      </c>
      <c r="Q315" s="18">
        <v>0.82</v>
      </c>
      <c r="R315" s="214">
        <v>150</v>
      </c>
      <c r="S315" s="153">
        <v>4.1666666666666666E-3</v>
      </c>
      <c r="T315" s="1">
        <v>13</v>
      </c>
      <c r="U315" s="1" t="str">
        <f t="shared" si="17"/>
        <v>Normal</v>
      </c>
      <c r="V315" s="1" t="str">
        <f t="shared" si="18"/>
        <v>Normal</v>
      </c>
      <c r="W315" s="19">
        <f t="shared" si="19"/>
        <v>-4.6916890080428951E-2</v>
      </c>
      <c r="X315" s="19">
        <f t="shared" si="20"/>
        <v>-2.5069637883008356E-2</v>
      </c>
      <c r="AN315">
        <f>MINUTE(Table7[[#This Row],[AHT]])</f>
        <v>0</v>
      </c>
      <c r="AO315">
        <f>SECOND(Table7[[#This Row],[AHT]])</f>
        <v>0</v>
      </c>
      <c r="AQ315">
        <v>150</v>
      </c>
    </row>
    <row r="316" spans="1:43">
      <c r="A316" s="21">
        <v>44966</v>
      </c>
      <c r="B316" s="17">
        <f>IF(YEAR(Table9[[#This Row],[Date]]) = 2022, WEEKNUM(Table9[[#This Row],[Date]])-13, WEEKNUM(Table9[[#This Row],[Date]])+40)</f>
        <v>46</v>
      </c>
      <c r="C316" s="35" t="s">
        <v>51</v>
      </c>
      <c r="D316" s="35" t="s">
        <v>59</v>
      </c>
      <c r="E316" s="1">
        <v>703</v>
      </c>
      <c r="F316" s="1">
        <v>661</v>
      </c>
      <c r="G316" s="19">
        <f t="shared" si="63"/>
        <v>-2.2253129346314324E-2</v>
      </c>
      <c r="H316" s="19">
        <f>(F316-F309)/F309</f>
        <v>-6.9014084507042259E-2</v>
      </c>
      <c r="I316" s="1">
        <f>I315+E316</f>
        <v>5610</v>
      </c>
      <c r="J316" s="1">
        <f>J315+F316</f>
        <v>5456</v>
      </c>
      <c r="K316" s="1">
        <f>K315+E316</f>
        <v>235184</v>
      </c>
      <c r="L316" s="1">
        <f t="shared" si="67"/>
        <v>161774</v>
      </c>
      <c r="M316" s="18">
        <v>0.86</v>
      </c>
      <c r="N316" s="18">
        <v>0.06</v>
      </c>
      <c r="O316" s="18">
        <v>0.94</v>
      </c>
      <c r="P316" s="18">
        <v>0.5</v>
      </c>
      <c r="Q316" s="18">
        <v>0.75</v>
      </c>
      <c r="R316" s="214">
        <v>176</v>
      </c>
      <c r="S316" s="153">
        <v>8.3333333333333332E-3</v>
      </c>
      <c r="T316" s="1">
        <v>11</v>
      </c>
      <c r="U316" s="1" t="str">
        <f t="shared" si="17"/>
        <v>Normal</v>
      </c>
      <c r="V316" s="1" t="str">
        <f t="shared" si="18"/>
        <v>Normal</v>
      </c>
      <c r="W316" s="19">
        <f t="shared" si="19"/>
        <v>-2.2253129346314324E-2</v>
      </c>
      <c r="X316" s="19">
        <f t="shared" si="20"/>
        <v>-6.9014084507042259E-2</v>
      </c>
      <c r="AN316">
        <f>MINUTE(Table7[[#This Row],[AHT]])</f>
        <v>0</v>
      </c>
      <c r="AO316">
        <f>SECOND(Table7[[#This Row],[AHT]])</f>
        <v>0</v>
      </c>
      <c r="AQ316">
        <v>176</v>
      </c>
    </row>
    <row r="317" spans="1:43">
      <c r="A317" s="21">
        <v>44967</v>
      </c>
      <c r="B317" s="17">
        <f>IF(YEAR(Table9[[#This Row],[Date]]) = 2022, WEEKNUM(Table9[[#This Row],[Date]])-13, WEEKNUM(Table9[[#This Row],[Date]])+40)</f>
        <v>46</v>
      </c>
      <c r="C317" s="35" t="s">
        <v>52</v>
      </c>
      <c r="D317" s="35" t="s">
        <v>59</v>
      </c>
      <c r="E317" s="1">
        <v>693</v>
      </c>
      <c r="F317" s="1">
        <v>684</v>
      </c>
      <c r="G317" s="19">
        <f t="shared" si="63"/>
        <v>3.125E-2</v>
      </c>
      <c r="H317" s="19">
        <f t="shared" ref="H317:H318" si="68">(F317-F310)/F310</f>
        <v>5.0691244239631339E-2</v>
      </c>
      <c r="I317" s="1">
        <f t="shared" ref="I317:I318" si="69">I316+E317</f>
        <v>6303</v>
      </c>
      <c r="J317" s="1">
        <f t="shared" ref="J317:J318" si="70">J316+F317</f>
        <v>6140</v>
      </c>
      <c r="K317" s="1">
        <f t="shared" ref="K317:K318" si="71">K316+E317</f>
        <v>235877</v>
      </c>
      <c r="L317" s="1">
        <f t="shared" si="67"/>
        <v>162458</v>
      </c>
      <c r="M317" s="18">
        <v>0.96</v>
      </c>
      <c r="N317" s="18">
        <v>0.01</v>
      </c>
      <c r="O317" s="18">
        <v>0.99</v>
      </c>
      <c r="P317" s="18">
        <v>0.43</v>
      </c>
      <c r="Q317" s="18">
        <v>0.79</v>
      </c>
      <c r="R317" s="214">
        <v>151</v>
      </c>
      <c r="S317" s="153">
        <v>3.472222222222222E-3</v>
      </c>
      <c r="T317" s="1">
        <v>11</v>
      </c>
      <c r="U317" s="1" t="str">
        <f t="shared" si="17"/>
        <v>Normal</v>
      </c>
      <c r="V317" s="1" t="str">
        <f t="shared" si="18"/>
        <v>Normal</v>
      </c>
      <c r="W317" s="19">
        <f t="shared" si="19"/>
        <v>3.125E-2</v>
      </c>
      <c r="X317" s="19">
        <f t="shared" si="20"/>
        <v>5.0691244239631339E-2</v>
      </c>
      <c r="AN317">
        <f>MINUTE(Table7[[#This Row],[AHT]])</f>
        <v>0</v>
      </c>
      <c r="AO317">
        <f>SECOND(Table7[[#This Row],[AHT]])</f>
        <v>0</v>
      </c>
      <c r="AQ317">
        <v>151</v>
      </c>
    </row>
    <row r="318" spans="1:43">
      <c r="A318" s="21">
        <v>44968</v>
      </c>
      <c r="B318" s="17">
        <f>IF(YEAR(Table9[[#This Row],[Date]]) = 2022, WEEKNUM(Table9[[#This Row],[Date]])-13, WEEKNUM(Table9[[#This Row],[Date]])+40)</f>
        <v>46</v>
      </c>
      <c r="C318" s="35" t="s">
        <v>53</v>
      </c>
      <c r="D318" s="35" t="s">
        <v>59</v>
      </c>
      <c r="E318" s="1">
        <v>390</v>
      </c>
      <c r="F318" s="1">
        <v>372</v>
      </c>
      <c r="G318" s="19">
        <f t="shared" si="63"/>
        <v>-7.8014184397163122E-2</v>
      </c>
      <c r="H318" s="19">
        <f t="shared" si="68"/>
        <v>-0.11004784688995216</v>
      </c>
      <c r="I318" s="1">
        <f t="shared" si="69"/>
        <v>6693</v>
      </c>
      <c r="J318" s="1">
        <f t="shared" si="70"/>
        <v>6512</v>
      </c>
      <c r="K318" s="1">
        <f t="shared" si="71"/>
        <v>236267</v>
      </c>
      <c r="L318" s="1">
        <f t="shared" si="67"/>
        <v>162830</v>
      </c>
      <c r="M318" s="18">
        <v>0.95</v>
      </c>
      <c r="N318" s="18">
        <v>0.05</v>
      </c>
      <c r="O318" s="18">
        <v>0.95</v>
      </c>
      <c r="P318" s="18">
        <v>0.33</v>
      </c>
      <c r="Q318" s="18">
        <v>0.88</v>
      </c>
      <c r="R318" s="214">
        <v>140</v>
      </c>
      <c r="S318" s="153">
        <v>4.8611111111111112E-3</v>
      </c>
      <c r="T318" s="1">
        <v>12</v>
      </c>
      <c r="U318" s="1" t="str">
        <f t="shared" si="17"/>
        <v>Normal</v>
      </c>
      <c r="V318" s="1" t="str">
        <f t="shared" si="18"/>
        <v>Normal</v>
      </c>
      <c r="W318" s="19">
        <f t="shared" si="19"/>
        <v>-7.8014184397163122E-2</v>
      </c>
      <c r="X318" s="19">
        <f t="shared" si="20"/>
        <v>-0.11004784688995216</v>
      </c>
      <c r="AN318">
        <f>MINUTE(Table7[[#This Row],[AHT]])</f>
        <v>0</v>
      </c>
      <c r="AO318">
        <f>SECOND(Table7[[#This Row],[AHT]])</f>
        <v>0</v>
      </c>
      <c r="AQ318">
        <v>140</v>
      </c>
    </row>
    <row r="319" spans="1:43">
      <c r="A319" s="21">
        <v>44969</v>
      </c>
      <c r="B319" s="17">
        <f>IF(YEAR(Table9[[#This Row],[Date]]) = 2022, WEEKNUM(Table9[[#This Row],[Date]])-13, WEEKNUM(Table9[[#This Row],[Date]])+40)</f>
        <v>47</v>
      </c>
      <c r="C319" s="35" t="s">
        <v>47</v>
      </c>
      <c r="D319" s="35" t="s">
        <v>59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9">
        <v>0</v>
      </c>
      <c r="Q319" s="1">
        <v>0</v>
      </c>
      <c r="R319" s="214">
        <v>0</v>
      </c>
      <c r="S319" s="153">
        <v>0</v>
      </c>
      <c r="T319" s="1">
        <v>0</v>
      </c>
      <c r="U319" s="1" t="str">
        <f t="shared" si="17"/>
        <v>Normal</v>
      </c>
      <c r="V319" s="1" t="str">
        <f t="shared" si="18"/>
        <v>Normal</v>
      </c>
      <c r="W319" s="19">
        <f t="shared" si="19"/>
        <v>0</v>
      </c>
      <c r="X319" s="19">
        <f t="shared" si="20"/>
        <v>0</v>
      </c>
      <c r="AN319">
        <f>MINUTE(Table7[[#This Row],[AHT]])</f>
        <v>0</v>
      </c>
      <c r="AO319">
        <f>SECOND(Table7[[#This Row],[AHT]])</f>
        <v>0</v>
      </c>
      <c r="AQ319">
        <v>0</v>
      </c>
    </row>
    <row r="320" spans="1:43">
      <c r="A320" s="21">
        <v>44970</v>
      </c>
      <c r="B320" s="17">
        <f>IF(YEAR(Table9[[#This Row],[Date]]) = 2022, WEEKNUM(Table9[[#This Row],[Date]])-13, WEEKNUM(Table9[[#This Row],[Date]])+40)</f>
        <v>47</v>
      </c>
      <c r="C320" s="35" t="s">
        <v>48</v>
      </c>
      <c r="D320" s="35" t="s">
        <v>59</v>
      </c>
      <c r="E320" s="1">
        <v>801</v>
      </c>
      <c r="F320" s="1">
        <v>700</v>
      </c>
      <c r="G320" s="19">
        <f>IFERROR(((E320-E313)/E313),0)</f>
        <v>-3.7259615384615384E-2</v>
      </c>
      <c r="H320" s="19">
        <f>IFERROR(((F320-F313)/F313),0)</f>
        <v>-0.13043478260869565</v>
      </c>
      <c r="I320" s="1">
        <f>I318+E320</f>
        <v>7494</v>
      </c>
      <c r="J320" s="1">
        <f>J318+F320</f>
        <v>7212</v>
      </c>
      <c r="K320" s="1">
        <f>K318+E320</f>
        <v>237068</v>
      </c>
      <c r="L320" s="1">
        <f>L318+F320</f>
        <v>163530</v>
      </c>
      <c r="M320" s="18">
        <v>0.63</v>
      </c>
      <c r="N320" s="18">
        <v>0.13</v>
      </c>
      <c r="O320" s="18">
        <v>0.87</v>
      </c>
      <c r="P320" s="18">
        <v>0.51</v>
      </c>
      <c r="Q320" s="18">
        <v>0.82</v>
      </c>
      <c r="R320" s="214">
        <v>207</v>
      </c>
      <c r="S320" s="153">
        <v>2.7777777777777776E-2</v>
      </c>
      <c r="T320" s="1">
        <v>11</v>
      </c>
      <c r="U320" s="1" t="str">
        <f t="shared" si="17"/>
        <v>Normal</v>
      </c>
      <c r="V320" s="1" t="str">
        <f t="shared" si="18"/>
        <v>Normal</v>
      </c>
      <c r="W320" s="19">
        <f t="shared" si="19"/>
        <v>-3.7259615384615384E-2</v>
      </c>
      <c r="X320" s="19">
        <f t="shared" si="20"/>
        <v>-0.13043478260869565</v>
      </c>
      <c r="AN320">
        <f>MINUTE(Table7[[#This Row],[AHT]])</f>
        <v>0</v>
      </c>
      <c r="AO320">
        <f>SECOND(Table7[[#This Row],[AHT]])</f>
        <v>0</v>
      </c>
      <c r="AQ320">
        <v>207</v>
      </c>
    </row>
    <row r="321" spans="1:43">
      <c r="A321" s="21">
        <v>44971</v>
      </c>
      <c r="B321" s="17">
        <f>IF(YEAR(Table9[[#This Row],[Date]]) = 2022, WEEKNUM(Table9[[#This Row],[Date]])-13, WEEKNUM(Table9[[#This Row],[Date]])+40)</f>
        <v>47</v>
      </c>
      <c r="C321" s="35" t="s">
        <v>49</v>
      </c>
      <c r="D321" s="35" t="s">
        <v>59</v>
      </c>
      <c r="E321" s="1">
        <v>642</v>
      </c>
      <c r="F321" s="1">
        <v>632</v>
      </c>
      <c r="G321" s="19">
        <f t="shared" ref="G321:G325" si="72">(E321-E314)/E314</f>
        <v>-0.20149253731343283</v>
      </c>
      <c r="H321" s="19">
        <f>(F321-F314)/F314</f>
        <v>-0.20302648171500631</v>
      </c>
      <c r="I321" s="1">
        <f t="shared" ref="I321:I322" si="73">I320+E321</f>
        <v>8136</v>
      </c>
      <c r="J321" s="1">
        <f t="shared" ref="J321:J322" si="74">J320+F321</f>
        <v>7844</v>
      </c>
      <c r="K321" s="1">
        <f t="shared" ref="K321:K322" si="75">K320+E321</f>
        <v>237710</v>
      </c>
      <c r="L321" s="1">
        <f t="shared" ref="L321:L325" si="76">L320+F321</f>
        <v>164162</v>
      </c>
      <c r="M321" s="18">
        <v>0.96</v>
      </c>
      <c r="N321" s="18">
        <v>0.02</v>
      </c>
      <c r="O321" s="18">
        <v>0.98</v>
      </c>
      <c r="P321" s="18">
        <v>0.33</v>
      </c>
      <c r="Q321" s="18">
        <v>0.81</v>
      </c>
      <c r="R321" s="214">
        <v>170</v>
      </c>
      <c r="S321" s="153">
        <v>3.472222222222222E-3</v>
      </c>
      <c r="T321" s="1">
        <v>11</v>
      </c>
      <c r="U321" s="1" t="str">
        <f t="shared" si="17"/>
        <v>Normal</v>
      </c>
      <c r="V321" s="1" t="str">
        <f t="shared" si="18"/>
        <v>Normal</v>
      </c>
      <c r="W321" s="19">
        <f t="shared" si="19"/>
        <v>-0.20149253731343283</v>
      </c>
      <c r="X321" s="19">
        <f t="shared" si="20"/>
        <v>-0.20302648171500631</v>
      </c>
      <c r="AN321">
        <f>MINUTE(Table7[[#This Row],[AHT]])</f>
        <v>0</v>
      </c>
      <c r="AO321">
        <f>SECOND(Table7[[#This Row],[AHT]])</f>
        <v>0</v>
      </c>
      <c r="AQ321">
        <v>170</v>
      </c>
    </row>
    <row r="322" spans="1:43">
      <c r="A322" s="21">
        <v>44972</v>
      </c>
      <c r="B322" s="17">
        <f>IF(YEAR(Table9[[#This Row],[Date]]) = 2022, WEEKNUM(Table9[[#This Row],[Date]])-13, WEEKNUM(Table9[[#This Row],[Date]])+40)</f>
        <v>47</v>
      </c>
      <c r="C322" s="35" t="s">
        <v>50</v>
      </c>
      <c r="D322" s="35" t="s">
        <v>59</v>
      </c>
      <c r="E322" s="1">
        <v>633</v>
      </c>
      <c r="F322" s="1">
        <v>616</v>
      </c>
      <c r="G322" s="19">
        <f t="shared" si="72"/>
        <v>-0.10970464135021098</v>
      </c>
      <c r="H322" s="19">
        <f>(F322-F315)/F315</f>
        <v>-0.12</v>
      </c>
      <c r="I322" s="1">
        <f t="shared" si="73"/>
        <v>8769</v>
      </c>
      <c r="J322" s="1">
        <f t="shared" si="74"/>
        <v>8460</v>
      </c>
      <c r="K322" s="1">
        <f t="shared" si="75"/>
        <v>238343</v>
      </c>
      <c r="L322" s="1">
        <f t="shared" si="76"/>
        <v>164778</v>
      </c>
      <c r="M322" s="18">
        <v>0.9</v>
      </c>
      <c r="N322" s="18">
        <v>0.03</v>
      </c>
      <c r="O322" s="18">
        <v>0.97</v>
      </c>
      <c r="P322" s="18">
        <v>0.45</v>
      </c>
      <c r="Q322" s="18">
        <v>0.79</v>
      </c>
      <c r="R322" s="214">
        <v>184</v>
      </c>
      <c r="S322" s="153">
        <v>5.5555555555555558E-3</v>
      </c>
      <c r="T322" s="1">
        <v>11</v>
      </c>
      <c r="U322" s="1" t="str">
        <f t="shared" si="17"/>
        <v>Normal</v>
      </c>
      <c r="V322" s="1" t="str">
        <f t="shared" si="18"/>
        <v>Normal</v>
      </c>
      <c r="W322" s="19">
        <f t="shared" si="19"/>
        <v>-0.10970464135021098</v>
      </c>
      <c r="X322" s="19">
        <f t="shared" si="20"/>
        <v>-0.12</v>
      </c>
      <c r="AN322">
        <f>MINUTE(Table7[[#This Row],[AHT]])</f>
        <v>0</v>
      </c>
      <c r="AO322">
        <f>SECOND(Table7[[#This Row],[AHT]])</f>
        <v>0</v>
      </c>
      <c r="AQ322">
        <v>184</v>
      </c>
    </row>
    <row r="323" spans="1:43">
      <c r="A323" s="21">
        <v>44973</v>
      </c>
      <c r="B323" s="17">
        <f>IF(YEAR(Table9[[#This Row],[Date]]) = 2022, WEEKNUM(Table9[[#This Row],[Date]])-13, WEEKNUM(Table9[[#This Row],[Date]])+40)</f>
        <v>47</v>
      </c>
      <c r="C323" s="35" t="s">
        <v>51</v>
      </c>
      <c r="D323" s="35" t="s">
        <v>59</v>
      </c>
      <c r="E323" s="1">
        <v>580</v>
      </c>
      <c r="F323" s="1">
        <v>559</v>
      </c>
      <c r="G323" s="19">
        <f t="shared" si="72"/>
        <v>-0.17496443812233287</v>
      </c>
      <c r="H323" s="19">
        <f>(F323-F316)/F316</f>
        <v>-0.15431164901664146</v>
      </c>
      <c r="I323" s="1">
        <f>I322+E323</f>
        <v>9349</v>
      </c>
      <c r="J323" s="1">
        <f>J322+F323</f>
        <v>9019</v>
      </c>
      <c r="K323" s="1">
        <f>K322+E323</f>
        <v>238923</v>
      </c>
      <c r="L323" s="1">
        <f t="shared" si="76"/>
        <v>165337</v>
      </c>
      <c r="M323" s="18">
        <v>0.88</v>
      </c>
      <c r="N323" s="18">
        <v>0.04</v>
      </c>
      <c r="O323" s="18">
        <v>0.96</v>
      </c>
      <c r="P323" s="18">
        <v>0.41</v>
      </c>
      <c r="Q323" s="18">
        <v>0.83</v>
      </c>
      <c r="R323" s="214">
        <v>180</v>
      </c>
      <c r="S323" s="153">
        <v>8.3333333333333332E-3</v>
      </c>
      <c r="T323" s="1">
        <v>9</v>
      </c>
      <c r="U323" s="1" t="str">
        <f t="shared" ref="U323:U366" si="77">IF(OR(G323&lt;$AA$5,G323&gt;$AB$5), "Outlier", "Normal")</f>
        <v>Normal</v>
      </c>
      <c r="V323" s="1" t="str">
        <f t="shared" ref="V323:V366" si="78">IF(OR(H323&lt;$AA$6,H323&gt;$AB$6), "Outlier", "Normal")</f>
        <v>Normal</v>
      </c>
      <c r="W323" s="19">
        <f t="shared" ref="W323:W366" si="79">IF(U323="Normal",$G323,IF($G323&lt;150%, $G323, $AA$9))</f>
        <v>-0.17496443812233287</v>
      </c>
      <c r="X323" s="19">
        <f t="shared" ref="X323:X366" si="80">IF(V323="Normal",$H323,IF($H323&lt;150%, $H323, $AE$9))</f>
        <v>-0.15431164901664146</v>
      </c>
      <c r="AN323">
        <f>MINUTE(Table7[[#This Row],[AHT]])</f>
        <v>0</v>
      </c>
      <c r="AO323">
        <f>SECOND(Table7[[#This Row],[AHT]])</f>
        <v>0</v>
      </c>
      <c r="AQ323">
        <v>180</v>
      </c>
    </row>
    <row r="324" spans="1:43">
      <c r="A324" s="21">
        <v>44974</v>
      </c>
      <c r="B324" s="17">
        <f>IF(YEAR(Table9[[#This Row],[Date]]) = 2022, WEEKNUM(Table9[[#This Row],[Date]])-13, WEEKNUM(Table9[[#This Row],[Date]])+40)</f>
        <v>47</v>
      </c>
      <c r="C324" s="35" t="s">
        <v>52</v>
      </c>
      <c r="D324" s="35" t="s">
        <v>59</v>
      </c>
      <c r="E324" s="1">
        <v>612</v>
      </c>
      <c r="F324" s="1">
        <v>549</v>
      </c>
      <c r="G324" s="19">
        <f t="shared" si="72"/>
        <v>-0.11688311688311688</v>
      </c>
      <c r="H324" s="19">
        <f t="shared" ref="H324:H325" si="81">(F324-F317)/F317</f>
        <v>-0.19736842105263158</v>
      </c>
      <c r="I324" s="1">
        <f t="shared" ref="I324:I325" si="82">I323+E324</f>
        <v>9961</v>
      </c>
      <c r="J324" s="1">
        <f t="shared" ref="J324:J325" si="83">J323+F324</f>
        <v>9568</v>
      </c>
      <c r="K324" s="1">
        <f t="shared" ref="K324:K325" si="84">K323+E324</f>
        <v>239535</v>
      </c>
      <c r="L324" s="1">
        <f t="shared" si="76"/>
        <v>165886</v>
      </c>
      <c r="M324" s="18">
        <v>0.74</v>
      </c>
      <c r="N324" s="18">
        <v>0.1</v>
      </c>
      <c r="O324" s="18">
        <v>0.9</v>
      </c>
      <c r="P324" s="18">
        <v>0.31</v>
      </c>
      <c r="Q324" s="18">
        <v>0.8</v>
      </c>
      <c r="R324" s="214">
        <v>189</v>
      </c>
      <c r="S324" s="153">
        <v>2.361111111111111E-2</v>
      </c>
      <c r="T324" s="1">
        <v>9</v>
      </c>
      <c r="U324" s="1" t="str">
        <f t="shared" si="77"/>
        <v>Normal</v>
      </c>
      <c r="V324" s="1" t="str">
        <f t="shared" si="78"/>
        <v>Normal</v>
      </c>
      <c r="W324" s="19">
        <f t="shared" si="79"/>
        <v>-0.11688311688311688</v>
      </c>
      <c r="X324" s="19">
        <f t="shared" si="80"/>
        <v>-0.19736842105263158</v>
      </c>
      <c r="AN324">
        <f>MINUTE(Table7[[#This Row],[AHT]])</f>
        <v>0</v>
      </c>
      <c r="AO324">
        <f>SECOND(Table7[[#This Row],[AHT]])</f>
        <v>0</v>
      </c>
      <c r="AQ324">
        <v>189</v>
      </c>
    </row>
    <row r="325" spans="1:43">
      <c r="A325" s="21">
        <v>44975</v>
      </c>
      <c r="B325" s="17">
        <f>IF(YEAR(Table9[[#This Row],[Date]]) = 2022, WEEKNUM(Table9[[#This Row],[Date]])-13, WEEKNUM(Table9[[#This Row],[Date]])+40)</f>
        <v>47</v>
      </c>
      <c r="C325" s="35" t="s">
        <v>53</v>
      </c>
      <c r="D325" s="35" t="s">
        <v>59</v>
      </c>
      <c r="E325" s="1">
        <v>300</v>
      </c>
      <c r="F325" s="1">
        <v>294</v>
      </c>
      <c r="G325" s="19">
        <f t="shared" si="72"/>
        <v>-0.23076923076923078</v>
      </c>
      <c r="H325" s="19">
        <f t="shared" si="81"/>
        <v>-0.20967741935483872</v>
      </c>
      <c r="I325" s="1">
        <f t="shared" si="82"/>
        <v>10261</v>
      </c>
      <c r="J325" s="1">
        <f t="shared" si="83"/>
        <v>9862</v>
      </c>
      <c r="K325" s="1">
        <f t="shared" si="84"/>
        <v>239835</v>
      </c>
      <c r="L325" s="1">
        <f t="shared" si="76"/>
        <v>166180</v>
      </c>
      <c r="M325" s="18">
        <v>0.94</v>
      </c>
      <c r="N325" s="18">
        <v>0.02</v>
      </c>
      <c r="O325" s="18">
        <v>0.98</v>
      </c>
      <c r="P325" s="18">
        <v>0.31</v>
      </c>
      <c r="Q325" s="18">
        <v>0.88</v>
      </c>
      <c r="R325" s="214">
        <v>137</v>
      </c>
      <c r="S325" s="153">
        <v>4.1666666666666666E-3</v>
      </c>
      <c r="T325" s="1">
        <v>7</v>
      </c>
      <c r="U325" s="1" t="str">
        <f t="shared" si="77"/>
        <v>Normal</v>
      </c>
      <c r="V325" s="1" t="str">
        <f t="shared" si="78"/>
        <v>Normal</v>
      </c>
      <c r="W325" s="19">
        <f t="shared" si="79"/>
        <v>-0.23076923076923078</v>
      </c>
      <c r="X325" s="19">
        <f t="shared" si="80"/>
        <v>-0.20967741935483872</v>
      </c>
      <c r="AN325">
        <f>MINUTE(Table7[[#This Row],[AHT]])</f>
        <v>0</v>
      </c>
      <c r="AO325">
        <f>SECOND(Table7[[#This Row],[AHT]])</f>
        <v>0</v>
      </c>
      <c r="AQ325">
        <v>137</v>
      </c>
    </row>
    <row r="326" spans="1:43">
      <c r="A326" s="21">
        <v>44976</v>
      </c>
      <c r="B326" s="17">
        <f>IF(YEAR(Table9[[#This Row],[Date]]) = 2022, WEEKNUM(Table9[[#This Row],[Date]])-13, WEEKNUM(Table9[[#This Row],[Date]])+40)</f>
        <v>48</v>
      </c>
      <c r="C326" s="35" t="s">
        <v>47</v>
      </c>
      <c r="D326" s="35" t="s">
        <v>59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214">
        <v>0</v>
      </c>
      <c r="S326" s="153">
        <v>0</v>
      </c>
      <c r="T326" s="1">
        <v>0</v>
      </c>
      <c r="U326" s="1" t="str">
        <f t="shared" si="77"/>
        <v>Normal</v>
      </c>
      <c r="V326" s="1" t="str">
        <f t="shared" si="78"/>
        <v>Normal</v>
      </c>
      <c r="W326" s="19">
        <f t="shared" si="79"/>
        <v>0</v>
      </c>
      <c r="X326" s="19">
        <f t="shared" si="80"/>
        <v>0</v>
      </c>
      <c r="AN326">
        <f>MINUTE(Table7[[#This Row],[AHT]])</f>
        <v>0</v>
      </c>
      <c r="AO326">
        <f>SECOND(Table7[[#This Row],[AHT]])</f>
        <v>0</v>
      </c>
      <c r="AQ326">
        <v>0</v>
      </c>
    </row>
    <row r="327" spans="1:43">
      <c r="A327" s="21">
        <v>44977</v>
      </c>
      <c r="B327" s="17">
        <f>IF(YEAR(Table9[[#This Row],[Date]]) = 2022, WEEKNUM(Table9[[#This Row],[Date]])-13, WEEKNUM(Table9[[#This Row],[Date]])+40)</f>
        <v>48</v>
      </c>
      <c r="C327" s="35" t="s">
        <v>48</v>
      </c>
      <c r="D327" s="35" t="s">
        <v>59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214">
        <v>0</v>
      </c>
      <c r="S327" s="153">
        <v>0</v>
      </c>
      <c r="T327" s="1">
        <v>0</v>
      </c>
      <c r="U327" s="1" t="str">
        <f t="shared" si="77"/>
        <v>Normal</v>
      </c>
      <c r="V327" s="1" t="str">
        <f t="shared" si="78"/>
        <v>Normal</v>
      </c>
      <c r="W327" s="19">
        <f t="shared" si="79"/>
        <v>0</v>
      </c>
      <c r="X327" s="19">
        <f t="shared" si="80"/>
        <v>0</v>
      </c>
      <c r="AN327">
        <f>MINUTE(Table7[[#This Row],[AHT]])</f>
        <v>0</v>
      </c>
      <c r="AO327">
        <f>SECOND(Table7[[#This Row],[AHT]])</f>
        <v>0</v>
      </c>
      <c r="AQ327">
        <v>0</v>
      </c>
    </row>
    <row r="328" spans="1:43">
      <c r="A328" s="21">
        <v>44978</v>
      </c>
      <c r="B328" s="17">
        <f>IF(YEAR(Table9[[#This Row],[Date]]) = 2022, WEEKNUM(Table9[[#This Row],[Date]])-13, WEEKNUM(Table9[[#This Row],[Date]])+40)</f>
        <v>48</v>
      </c>
      <c r="C328" s="35" t="s">
        <v>49</v>
      </c>
      <c r="D328" s="35" t="s">
        <v>59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214">
        <v>0</v>
      </c>
      <c r="S328" s="153">
        <v>0</v>
      </c>
      <c r="T328" s="1">
        <v>0</v>
      </c>
      <c r="U328" s="1" t="str">
        <f t="shared" si="77"/>
        <v>Normal</v>
      </c>
      <c r="V328" s="1" t="str">
        <f t="shared" si="78"/>
        <v>Normal</v>
      </c>
      <c r="W328" s="19">
        <f t="shared" si="79"/>
        <v>0</v>
      </c>
      <c r="X328" s="19">
        <f t="shared" si="80"/>
        <v>0</v>
      </c>
      <c r="AN328">
        <f>MINUTE(Table7[[#This Row],[AHT]])</f>
        <v>0</v>
      </c>
      <c r="AO328">
        <f>SECOND(Table7[[#This Row],[AHT]])</f>
        <v>0</v>
      </c>
      <c r="AQ328">
        <v>0</v>
      </c>
    </row>
    <row r="329" spans="1:43">
      <c r="A329" s="21">
        <v>44979</v>
      </c>
      <c r="B329" s="17">
        <f>IF(YEAR(Table9[[#This Row],[Date]]) = 2022, WEEKNUM(Table9[[#This Row],[Date]])-13, WEEKNUM(Table9[[#This Row],[Date]])+40)</f>
        <v>48</v>
      </c>
      <c r="C329" s="35" t="s">
        <v>50</v>
      </c>
      <c r="D329" s="35" t="s">
        <v>59</v>
      </c>
      <c r="E329" s="1">
        <v>902</v>
      </c>
      <c r="F329" s="1">
        <v>829</v>
      </c>
      <c r="G329" s="19">
        <f t="shared" ref="G329:G332" si="85">(E329-E322)/E322</f>
        <v>0.42496050552922593</v>
      </c>
      <c r="H329" s="19">
        <f>(F329-F322)/F322</f>
        <v>0.3457792207792208</v>
      </c>
      <c r="I329" s="1">
        <f>I325+E329</f>
        <v>11163</v>
      </c>
      <c r="J329" s="1">
        <f t="shared" ref="J329" si="86">J325+F329</f>
        <v>10691</v>
      </c>
      <c r="K329" s="1">
        <f>K325+E329</f>
        <v>240737</v>
      </c>
      <c r="L329" s="1">
        <f>L325+F329</f>
        <v>167009</v>
      </c>
      <c r="M329" s="18">
        <v>0.7</v>
      </c>
      <c r="N329" s="18">
        <v>0.08</v>
      </c>
      <c r="O329" s="18">
        <v>0.92</v>
      </c>
      <c r="P329" s="18">
        <v>0.48</v>
      </c>
      <c r="Q329" s="18">
        <v>0.83</v>
      </c>
      <c r="R329" s="214">
        <v>110</v>
      </c>
      <c r="S329" s="153">
        <v>1.7361111111111112E-2</v>
      </c>
      <c r="T329" s="1">
        <v>9</v>
      </c>
      <c r="U329" s="1" t="str">
        <f t="shared" si="77"/>
        <v>Outlier</v>
      </c>
      <c r="V329" s="1" t="str">
        <f t="shared" si="78"/>
        <v>Outlier</v>
      </c>
      <c r="W329" s="19">
        <f t="shared" si="79"/>
        <v>0.42496050552922593</v>
      </c>
      <c r="X329" s="19">
        <f t="shared" si="80"/>
        <v>0.3457792207792208</v>
      </c>
      <c r="AN329">
        <f>MINUTE(Table7[[#This Row],[AHT]])</f>
        <v>0</v>
      </c>
      <c r="AO329">
        <f>SECOND(Table7[[#This Row],[AHT]])</f>
        <v>0</v>
      </c>
      <c r="AQ329">
        <v>110</v>
      </c>
    </row>
    <row r="330" spans="1:43">
      <c r="A330" s="21">
        <v>44980</v>
      </c>
      <c r="B330" s="17">
        <f>IF(YEAR(Table9[[#This Row],[Date]]) = 2022, WEEKNUM(Table9[[#This Row],[Date]])-13, WEEKNUM(Table9[[#This Row],[Date]])+40)</f>
        <v>48</v>
      </c>
      <c r="C330" s="35" t="s">
        <v>51</v>
      </c>
      <c r="D330" s="35" t="s">
        <v>59</v>
      </c>
      <c r="E330" s="1">
        <v>793</v>
      </c>
      <c r="F330" s="1">
        <v>693</v>
      </c>
      <c r="G330" s="19">
        <f t="shared" si="85"/>
        <v>0.36724137931034484</v>
      </c>
      <c r="H330" s="19">
        <f>(F330-F323)/F323</f>
        <v>0.23971377459749552</v>
      </c>
      <c r="I330" s="1">
        <f>I329+E330</f>
        <v>11956</v>
      </c>
      <c r="J330" s="1">
        <f>J329+F330</f>
        <v>11384</v>
      </c>
      <c r="K330" s="1">
        <f>K329+E330</f>
        <v>241530</v>
      </c>
      <c r="L330" s="1">
        <f t="shared" ref="L330:L332" si="87">L329+F330</f>
        <v>167702</v>
      </c>
      <c r="M330" s="18">
        <v>0.63</v>
      </c>
      <c r="N330" s="18">
        <v>0.13</v>
      </c>
      <c r="O330" s="18">
        <v>0.87</v>
      </c>
      <c r="P330" s="18">
        <v>0.53</v>
      </c>
      <c r="Q330" s="18">
        <v>0.8</v>
      </c>
      <c r="R330" s="214">
        <v>201</v>
      </c>
      <c r="S330" s="153">
        <v>2.4999999999999998E-2</v>
      </c>
      <c r="T330" s="1">
        <v>11</v>
      </c>
      <c r="U330" s="1" t="str">
        <f t="shared" si="77"/>
        <v>Outlier</v>
      </c>
      <c r="V330" s="1" t="str">
        <f t="shared" si="78"/>
        <v>Normal</v>
      </c>
      <c r="W330" s="19">
        <f t="shared" si="79"/>
        <v>0.36724137931034484</v>
      </c>
      <c r="X330" s="19">
        <f t="shared" si="80"/>
        <v>0.23971377459749552</v>
      </c>
      <c r="AN330">
        <f>MINUTE(Table7[[#This Row],[AHT]])</f>
        <v>0</v>
      </c>
      <c r="AO330">
        <f>SECOND(Table7[[#This Row],[AHT]])</f>
        <v>0</v>
      </c>
      <c r="AQ330">
        <v>201</v>
      </c>
    </row>
    <row r="331" spans="1:43">
      <c r="A331" s="21">
        <v>44981</v>
      </c>
      <c r="B331" s="17">
        <f>IF(YEAR(Table9[[#This Row],[Date]]) = 2022, WEEKNUM(Table9[[#This Row],[Date]])-13, WEEKNUM(Table9[[#This Row],[Date]])+40)</f>
        <v>48</v>
      </c>
      <c r="C331" s="35" t="s">
        <v>52</v>
      </c>
      <c r="D331" s="35" t="s">
        <v>59</v>
      </c>
      <c r="E331" s="1">
        <v>720</v>
      </c>
      <c r="F331" s="1">
        <v>692</v>
      </c>
      <c r="G331" s="19">
        <f t="shared" si="85"/>
        <v>0.17647058823529413</v>
      </c>
      <c r="H331" s="19">
        <f t="shared" ref="H331:H332" si="88">(F331-F324)/F324</f>
        <v>0.26047358834244078</v>
      </c>
      <c r="I331" s="1">
        <f t="shared" ref="I331:I332" si="89">I330+E331</f>
        <v>12676</v>
      </c>
      <c r="J331" s="1">
        <f t="shared" ref="J331:J332" si="90">J330+F331</f>
        <v>12076</v>
      </c>
      <c r="K331" s="1">
        <f t="shared" ref="K331:K332" si="91">K330+E331</f>
        <v>242250</v>
      </c>
      <c r="L331" s="1">
        <f t="shared" si="87"/>
        <v>168394</v>
      </c>
      <c r="M331" s="18">
        <v>0.87</v>
      </c>
      <c r="N331" s="18">
        <v>0.04</v>
      </c>
      <c r="O331" s="18">
        <v>0.96</v>
      </c>
      <c r="P331" s="18">
        <v>0.53</v>
      </c>
      <c r="Q331" s="18">
        <v>0.84</v>
      </c>
      <c r="R331" s="214">
        <v>170</v>
      </c>
      <c r="S331" s="153">
        <v>6.9444444444444441E-3</v>
      </c>
      <c r="T331" s="1">
        <v>11</v>
      </c>
      <c r="U331" s="1" t="str">
        <f t="shared" si="77"/>
        <v>Normal</v>
      </c>
      <c r="V331" s="1" t="str">
        <f t="shared" si="78"/>
        <v>Normal</v>
      </c>
      <c r="W331" s="19">
        <f t="shared" si="79"/>
        <v>0.17647058823529413</v>
      </c>
      <c r="X331" s="19">
        <f t="shared" si="80"/>
        <v>0.26047358834244078</v>
      </c>
      <c r="AN331">
        <f>MINUTE(Table7[[#This Row],[AHT]])</f>
        <v>0</v>
      </c>
      <c r="AO331">
        <f>SECOND(Table7[[#This Row],[AHT]])</f>
        <v>0</v>
      </c>
      <c r="AQ331">
        <v>170</v>
      </c>
    </row>
    <row r="332" spans="1:43">
      <c r="A332" s="21">
        <v>44982</v>
      </c>
      <c r="B332" s="17">
        <f>IF(YEAR(Table9[[#This Row],[Date]]) = 2022, WEEKNUM(Table9[[#This Row],[Date]])-13, WEEKNUM(Table9[[#This Row],[Date]])+40)</f>
        <v>48</v>
      </c>
      <c r="C332" s="35" t="s">
        <v>53</v>
      </c>
      <c r="D332" s="35" t="s">
        <v>59</v>
      </c>
      <c r="E332" s="1">
        <v>368</v>
      </c>
      <c r="F332" s="1">
        <v>357</v>
      </c>
      <c r="G332" s="19">
        <f t="shared" si="85"/>
        <v>0.22666666666666666</v>
      </c>
      <c r="H332" s="19">
        <f t="shared" si="88"/>
        <v>0.21428571428571427</v>
      </c>
      <c r="I332" s="1">
        <f t="shared" si="89"/>
        <v>13044</v>
      </c>
      <c r="J332" s="1">
        <f t="shared" si="90"/>
        <v>12433</v>
      </c>
      <c r="K332" s="1">
        <f t="shared" si="91"/>
        <v>242618</v>
      </c>
      <c r="L332" s="1">
        <f t="shared" si="87"/>
        <v>168751</v>
      </c>
      <c r="M332" s="18">
        <v>0.9</v>
      </c>
      <c r="N332" s="18">
        <v>0.03</v>
      </c>
      <c r="O332" s="18">
        <v>0.97</v>
      </c>
      <c r="P332" s="18">
        <v>0.46</v>
      </c>
      <c r="Q332" s="18">
        <v>0.9</v>
      </c>
      <c r="R332" s="214">
        <v>209</v>
      </c>
      <c r="S332" s="153">
        <v>6.9444444444444441E-3</v>
      </c>
      <c r="T332" s="1">
        <v>10</v>
      </c>
      <c r="U332" s="1" t="str">
        <f t="shared" si="77"/>
        <v>Normal</v>
      </c>
      <c r="V332" s="1" t="str">
        <f t="shared" si="78"/>
        <v>Normal</v>
      </c>
      <c r="W332" s="19">
        <f t="shared" si="79"/>
        <v>0.22666666666666666</v>
      </c>
      <c r="X332" s="19">
        <f t="shared" si="80"/>
        <v>0.21428571428571427</v>
      </c>
      <c r="AH332" s="163"/>
      <c r="AI332" s="163"/>
      <c r="AJ332" s="163"/>
      <c r="AN332">
        <f>MINUTE(Table7[[#This Row],[AHT]])</f>
        <v>0</v>
      </c>
      <c r="AO332">
        <f>SECOND(Table7[[#This Row],[AHT]])</f>
        <v>0</v>
      </c>
      <c r="AQ332">
        <v>209</v>
      </c>
    </row>
    <row r="333" spans="1:43">
      <c r="A333" s="21">
        <v>44983</v>
      </c>
      <c r="B333" s="17">
        <f>IF(YEAR(Table9[[#This Row],[Date]]) = 2022, WEEKNUM(Table9[[#This Row],[Date]])-13, WEEKNUM(Table9[[#This Row],[Date]])+40)</f>
        <v>49</v>
      </c>
      <c r="C333" s="35" t="s">
        <v>47</v>
      </c>
      <c r="D333" s="35" t="s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9">
        <v>0</v>
      </c>
      <c r="Q333" s="1">
        <v>0</v>
      </c>
      <c r="R333" s="214">
        <v>0</v>
      </c>
      <c r="S333" s="153">
        <v>0</v>
      </c>
      <c r="T333" s="1">
        <v>0</v>
      </c>
      <c r="U333" s="1" t="str">
        <f t="shared" si="77"/>
        <v>Normal</v>
      </c>
      <c r="V333" s="1" t="str">
        <f t="shared" si="78"/>
        <v>Normal</v>
      </c>
      <c r="W333" s="19">
        <f t="shared" si="79"/>
        <v>0</v>
      </c>
      <c r="X333" s="19">
        <f t="shared" si="80"/>
        <v>0</v>
      </c>
      <c r="AN333">
        <f>MINUTE(Table7[[#This Row],[AHT]])</f>
        <v>0</v>
      </c>
      <c r="AO333">
        <f>SECOND(Table7[[#This Row],[AHT]])</f>
        <v>0</v>
      </c>
      <c r="AQ333">
        <v>0</v>
      </c>
    </row>
    <row r="334" spans="1:43">
      <c r="A334" s="21">
        <v>44984</v>
      </c>
      <c r="B334" s="17">
        <f>IF(YEAR(Table9[[#This Row],[Date]]) = 2022, WEEKNUM(Table9[[#This Row],[Date]])-13, WEEKNUM(Table9[[#This Row],[Date]])+40)</f>
        <v>49</v>
      </c>
      <c r="C334" s="35" t="s">
        <v>48</v>
      </c>
      <c r="D334" s="35" t="s">
        <v>59</v>
      </c>
      <c r="E334" s="1">
        <v>862</v>
      </c>
      <c r="F334" s="1">
        <v>778</v>
      </c>
      <c r="G334" s="19">
        <f>IFERROR(((E334-E327)/E327),0)</f>
        <v>0</v>
      </c>
      <c r="H334" s="19">
        <f>IFERROR(((F334-F327)/F327),0)</f>
        <v>0</v>
      </c>
      <c r="I334" s="1">
        <f>I332+E334</f>
        <v>13906</v>
      </c>
      <c r="J334" s="1">
        <f>J332+F334</f>
        <v>13211</v>
      </c>
      <c r="K334" s="1">
        <f>K332+E334</f>
        <v>243480</v>
      </c>
      <c r="L334" s="1">
        <f>L332+F334</f>
        <v>169529</v>
      </c>
      <c r="M334" s="18">
        <v>0.69</v>
      </c>
      <c r="N334" s="18">
        <v>0.1</v>
      </c>
      <c r="O334" s="18">
        <v>0.9</v>
      </c>
      <c r="P334" s="18">
        <v>0.53</v>
      </c>
      <c r="Q334" s="18">
        <v>0.8</v>
      </c>
      <c r="R334" s="214">
        <v>152</v>
      </c>
      <c r="S334" s="153">
        <v>1.8749999999999999E-2</v>
      </c>
      <c r="T334" s="1">
        <v>10</v>
      </c>
      <c r="U334" s="1" t="str">
        <f t="shared" si="77"/>
        <v>Normal</v>
      </c>
      <c r="V334" s="1" t="str">
        <f t="shared" si="78"/>
        <v>Normal</v>
      </c>
      <c r="W334" s="19">
        <f t="shared" si="79"/>
        <v>0</v>
      </c>
      <c r="X334" s="19">
        <f t="shared" si="80"/>
        <v>0</v>
      </c>
      <c r="AN334">
        <f>MINUTE(Table7[[#This Row],[AHT]])</f>
        <v>0</v>
      </c>
      <c r="AO334">
        <f>SECOND(Table7[[#This Row],[AHT]])</f>
        <v>0</v>
      </c>
      <c r="AQ334">
        <v>152</v>
      </c>
    </row>
    <row r="335" spans="1:43">
      <c r="A335" s="21">
        <v>44985</v>
      </c>
      <c r="B335" s="17">
        <f>IF(YEAR(Table9[[#This Row],[Date]]) = 2022, WEEKNUM(Table9[[#This Row],[Date]])-13, WEEKNUM(Table9[[#This Row],[Date]])+40)</f>
        <v>49</v>
      </c>
      <c r="C335" s="35" t="s">
        <v>49</v>
      </c>
      <c r="D335" s="35" t="s">
        <v>59</v>
      </c>
      <c r="E335" s="1">
        <v>876</v>
      </c>
      <c r="F335" s="1">
        <v>822</v>
      </c>
      <c r="G335" s="19">
        <f>IFERROR((E335-E328)/E328,0)</f>
        <v>0</v>
      </c>
      <c r="H335" s="19">
        <f>IFERROR((F335-F328)/F328,0)</f>
        <v>0</v>
      </c>
      <c r="I335" s="1">
        <f t="shared" ref="I335" si="92">I334+E335</f>
        <v>14782</v>
      </c>
      <c r="J335" s="1">
        <f t="shared" ref="J335" si="93">J334+F335</f>
        <v>14033</v>
      </c>
      <c r="K335" s="1">
        <f t="shared" ref="K335" si="94">K334+E335</f>
        <v>244356</v>
      </c>
      <c r="L335" s="1">
        <f t="shared" ref="L335" si="95">L334+F335</f>
        <v>170351</v>
      </c>
      <c r="M335" s="18">
        <v>0.78</v>
      </c>
      <c r="N335" s="18">
        <v>0.06</v>
      </c>
      <c r="O335" s="18">
        <v>0.94</v>
      </c>
      <c r="P335" s="18">
        <v>0.69</v>
      </c>
      <c r="Q335" s="18">
        <v>0.78</v>
      </c>
      <c r="R335" s="214">
        <v>173</v>
      </c>
      <c r="S335" s="153">
        <v>1.3194444444444444E-2</v>
      </c>
      <c r="T335" s="1">
        <v>9</v>
      </c>
      <c r="U335" s="1" t="str">
        <f t="shared" si="77"/>
        <v>Normal</v>
      </c>
      <c r="V335" s="1" t="str">
        <f t="shared" si="78"/>
        <v>Normal</v>
      </c>
      <c r="W335" s="19">
        <f t="shared" si="79"/>
        <v>0</v>
      </c>
      <c r="X335" s="19">
        <f t="shared" si="80"/>
        <v>0</v>
      </c>
      <c r="AN335">
        <f>MINUTE(Table7[[#This Row],[AHT]])</f>
        <v>0</v>
      </c>
      <c r="AO335">
        <f>SECOND(Table7[[#This Row],[AHT]])</f>
        <v>0</v>
      </c>
      <c r="AQ335">
        <v>173</v>
      </c>
    </row>
    <row r="336" spans="1:43" s="50" customFormat="1">
      <c r="A336" s="54">
        <v>44986</v>
      </c>
      <c r="B336" s="131">
        <f>IF(YEAR(Table9[[#This Row],[Date]]) = 2022, WEEKNUM(Table9[[#This Row],[Date]])-13, WEEKNUM(Table9[[#This Row],[Date]])+40)</f>
        <v>49</v>
      </c>
      <c r="C336" s="103" t="s">
        <v>50</v>
      </c>
      <c r="D336" s="51" t="s">
        <v>59</v>
      </c>
      <c r="E336" s="52">
        <v>839</v>
      </c>
      <c r="F336" s="52">
        <v>789</v>
      </c>
      <c r="G336" s="143">
        <f t="shared" ref="G336:G339" si="96">(E336-E329)/E329</f>
        <v>-6.9844789356984474E-2</v>
      </c>
      <c r="H336" s="143">
        <f>(F336-F329)/F329</f>
        <v>-4.8250904704463207E-2</v>
      </c>
      <c r="I336" s="52">
        <f>E336</f>
        <v>839</v>
      </c>
      <c r="J336" s="52">
        <f>F336</f>
        <v>789</v>
      </c>
      <c r="K336" s="52">
        <f>K335+E336</f>
        <v>245195</v>
      </c>
      <c r="L336" s="52">
        <f>L335+F336</f>
        <v>171140</v>
      </c>
      <c r="M336" s="53">
        <v>0.79</v>
      </c>
      <c r="N336" s="53">
        <v>0.06</v>
      </c>
      <c r="O336" s="53">
        <v>0.94</v>
      </c>
      <c r="P336" s="53">
        <v>0.63</v>
      </c>
      <c r="Q336" s="53">
        <v>0.78</v>
      </c>
      <c r="R336" s="231">
        <v>153</v>
      </c>
      <c r="S336" s="154">
        <v>1.4583333333333332E-2</v>
      </c>
      <c r="T336" s="52">
        <v>9</v>
      </c>
      <c r="U336" s="52" t="str">
        <f t="shared" si="77"/>
        <v>Normal</v>
      </c>
      <c r="V336" s="52" t="str">
        <f t="shared" si="78"/>
        <v>Normal</v>
      </c>
      <c r="W336" s="143">
        <f t="shared" si="79"/>
        <v>-6.9844789356984474E-2</v>
      </c>
      <c r="X336" s="143">
        <f t="shared" si="80"/>
        <v>-4.8250904704463207E-2</v>
      </c>
      <c r="AK336"/>
      <c r="AL336"/>
      <c r="AM336"/>
      <c r="AN336">
        <f>MINUTE(Table7[[#This Row],[AHT]])</f>
        <v>0</v>
      </c>
      <c r="AO336">
        <f>SECOND(Table7[[#This Row],[AHT]])</f>
        <v>0</v>
      </c>
      <c r="AQ336">
        <v>153</v>
      </c>
    </row>
    <row r="337" spans="1:43">
      <c r="A337" s="21">
        <v>44987</v>
      </c>
      <c r="B337" s="17">
        <f>IF(YEAR(Table9[[#This Row],[Date]]) = 2022, WEEKNUM(Table9[[#This Row],[Date]])-13, WEEKNUM(Table9[[#This Row],[Date]])+40)</f>
        <v>49</v>
      </c>
      <c r="C337" s="35" t="s">
        <v>51</v>
      </c>
      <c r="D337" s="35" t="s">
        <v>59</v>
      </c>
      <c r="E337" s="1">
        <v>785</v>
      </c>
      <c r="F337" s="1">
        <v>645</v>
      </c>
      <c r="G337" s="19">
        <f t="shared" si="96"/>
        <v>-1.0088272383354351E-2</v>
      </c>
      <c r="H337" s="19">
        <f>(F337-F330)/F330</f>
        <v>-6.9264069264069264E-2</v>
      </c>
      <c r="I337" s="1">
        <f>I336+E337</f>
        <v>1624</v>
      </c>
      <c r="J337" s="1">
        <f>J336+F337</f>
        <v>1434</v>
      </c>
      <c r="K337" s="1">
        <f>K336+E337</f>
        <v>245980</v>
      </c>
      <c r="L337" s="1">
        <f t="shared" ref="L337:L339" si="97">L336+F337</f>
        <v>171785</v>
      </c>
      <c r="M337" s="18">
        <v>0.59</v>
      </c>
      <c r="N337" s="18">
        <v>0.08</v>
      </c>
      <c r="O337" s="18">
        <v>0.92</v>
      </c>
      <c r="P337" s="18">
        <v>0.55000000000000004</v>
      </c>
      <c r="Q337" s="18">
        <v>0.79</v>
      </c>
      <c r="R337" s="214">
        <v>175</v>
      </c>
      <c r="S337" s="153">
        <v>3.125E-2</v>
      </c>
      <c r="T337" s="1">
        <v>9</v>
      </c>
      <c r="U337" s="1" t="str">
        <f t="shared" si="77"/>
        <v>Normal</v>
      </c>
      <c r="V337" s="1" t="str">
        <f t="shared" si="78"/>
        <v>Normal</v>
      </c>
      <c r="W337" s="19">
        <f t="shared" si="79"/>
        <v>-1.0088272383354351E-2</v>
      </c>
      <c r="X337" s="19">
        <f t="shared" si="80"/>
        <v>-6.9264069264069264E-2</v>
      </c>
      <c r="AN337">
        <f>MINUTE(Table7[[#This Row],[AHT]])</f>
        <v>0</v>
      </c>
      <c r="AO337">
        <f>SECOND(Table7[[#This Row],[AHT]])</f>
        <v>0</v>
      </c>
      <c r="AQ337">
        <v>175</v>
      </c>
    </row>
    <row r="338" spans="1:43">
      <c r="A338" s="21">
        <v>44988</v>
      </c>
      <c r="B338" s="17">
        <f>IF(YEAR(Table9[[#This Row],[Date]]) = 2022, WEEKNUM(Table9[[#This Row],[Date]])-13, WEEKNUM(Table9[[#This Row],[Date]])+40)</f>
        <v>49</v>
      </c>
      <c r="C338" s="35" t="s">
        <v>52</v>
      </c>
      <c r="D338" s="35" t="s">
        <v>59</v>
      </c>
      <c r="E338" s="1">
        <v>761</v>
      </c>
      <c r="F338" s="1">
        <v>722</v>
      </c>
      <c r="G338" s="19">
        <f t="shared" si="96"/>
        <v>5.6944444444444443E-2</v>
      </c>
      <c r="H338" s="19">
        <f t="shared" ref="H338:H339" si="98">(F338-F331)/F331</f>
        <v>4.3352601156069363E-2</v>
      </c>
      <c r="I338" s="1">
        <f t="shared" ref="I338:I339" si="99">I337+E338</f>
        <v>2385</v>
      </c>
      <c r="J338" s="1">
        <f t="shared" ref="J338:J339" si="100">J337+F338</f>
        <v>2156</v>
      </c>
      <c r="K338" s="1">
        <f t="shared" ref="K338:K339" si="101">K337+E338</f>
        <v>246741</v>
      </c>
      <c r="L338" s="1">
        <f t="shared" si="97"/>
        <v>172507</v>
      </c>
      <c r="M338" s="18">
        <v>0.84</v>
      </c>
      <c r="N338" s="18">
        <v>0.05</v>
      </c>
      <c r="O338" s="18">
        <v>0.95</v>
      </c>
      <c r="P338" s="18">
        <v>0.45</v>
      </c>
      <c r="Q338" s="18">
        <v>0.79</v>
      </c>
      <c r="R338" s="214">
        <v>168</v>
      </c>
      <c r="S338" s="153">
        <v>7.6388888888888886E-3</v>
      </c>
      <c r="T338" s="1">
        <v>10</v>
      </c>
      <c r="U338" s="1" t="str">
        <f t="shared" si="77"/>
        <v>Normal</v>
      </c>
      <c r="V338" s="1" t="str">
        <f t="shared" si="78"/>
        <v>Normal</v>
      </c>
      <c r="W338" s="19">
        <f t="shared" si="79"/>
        <v>5.6944444444444443E-2</v>
      </c>
      <c r="X338" s="19">
        <f t="shared" si="80"/>
        <v>4.3352601156069363E-2</v>
      </c>
      <c r="AN338">
        <f>MINUTE(Table7[[#This Row],[AHT]])</f>
        <v>0</v>
      </c>
      <c r="AO338">
        <f>SECOND(Table7[[#This Row],[AHT]])</f>
        <v>0</v>
      </c>
      <c r="AQ338">
        <v>168</v>
      </c>
    </row>
    <row r="339" spans="1:43">
      <c r="A339" s="21">
        <v>44989</v>
      </c>
      <c r="B339" s="17">
        <f>IF(YEAR(Table9[[#This Row],[Date]]) = 2022, WEEKNUM(Table9[[#This Row],[Date]])-13, WEEKNUM(Table9[[#This Row],[Date]])+40)</f>
        <v>49</v>
      </c>
      <c r="C339" s="35" t="s">
        <v>53</v>
      </c>
      <c r="D339" s="35" t="s">
        <v>59</v>
      </c>
      <c r="E339" s="1">
        <v>408</v>
      </c>
      <c r="F339" s="1">
        <v>395</v>
      </c>
      <c r="G339" s="19">
        <f t="shared" si="96"/>
        <v>0.10869565217391304</v>
      </c>
      <c r="H339" s="19">
        <f t="shared" si="98"/>
        <v>0.10644257703081232</v>
      </c>
      <c r="I339" s="1">
        <f t="shared" si="99"/>
        <v>2793</v>
      </c>
      <c r="J339" s="1">
        <f t="shared" si="100"/>
        <v>2551</v>
      </c>
      <c r="K339" s="1">
        <f t="shared" si="101"/>
        <v>247149</v>
      </c>
      <c r="L339" s="1">
        <f t="shared" si="97"/>
        <v>172902</v>
      </c>
      <c r="M339" s="18">
        <v>0.92</v>
      </c>
      <c r="N339" s="18">
        <v>0.03</v>
      </c>
      <c r="O339" s="18">
        <v>0.97</v>
      </c>
      <c r="P339" s="18">
        <v>0.31</v>
      </c>
      <c r="Q339" s="18">
        <v>0.9</v>
      </c>
      <c r="R339" s="214">
        <v>135</v>
      </c>
      <c r="S339" s="153">
        <v>7.6388888888888886E-3</v>
      </c>
      <c r="T339" s="1">
        <v>8</v>
      </c>
      <c r="U339" s="1" t="str">
        <f t="shared" si="77"/>
        <v>Normal</v>
      </c>
      <c r="V339" s="1" t="str">
        <f t="shared" si="78"/>
        <v>Normal</v>
      </c>
      <c r="W339" s="19">
        <f t="shared" si="79"/>
        <v>0.10869565217391304</v>
      </c>
      <c r="X339" s="19">
        <f t="shared" si="80"/>
        <v>0.10644257703081232</v>
      </c>
      <c r="AN339">
        <f>MINUTE(Table7[[#This Row],[AHT]])</f>
        <v>0</v>
      </c>
      <c r="AO339">
        <f>SECOND(Table7[[#This Row],[AHT]])</f>
        <v>0</v>
      </c>
      <c r="AQ339">
        <v>135</v>
      </c>
    </row>
    <row r="340" spans="1:43">
      <c r="A340" s="21">
        <v>44990</v>
      </c>
      <c r="B340" s="17">
        <f>IF(YEAR(Table9[[#This Row],[Date]]) = 2022, WEEKNUM(Table9[[#This Row],[Date]])-13, WEEKNUM(Table9[[#This Row],[Date]])+40)</f>
        <v>50</v>
      </c>
      <c r="C340" s="35" t="s">
        <v>47</v>
      </c>
      <c r="D340" s="35" t="s">
        <v>59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69">
        <v>0</v>
      </c>
      <c r="Q340" s="1">
        <v>0</v>
      </c>
      <c r="R340" s="214">
        <v>0</v>
      </c>
      <c r="S340" s="153">
        <v>0</v>
      </c>
      <c r="T340" s="1">
        <v>0</v>
      </c>
      <c r="U340" s="1" t="str">
        <f t="shared" si="77"/>
        <v>Normal</v>
      </c>
      <c r="V340" s="1" t="str">
        <f t="shared" si="78"/>
        <v>Normal</v>
      </c>
      <c r="W340" s="19">
        <f t="shared" si="79"/>
        <v>0</v>
      </c>
      <c r="X340" s="19">
        <f t="shared" si="80"/>
        <v>0</v>
      </c>
      <c r="AK340" s="50"/>
      <c r="AL340" s="50"/>
      <c r="AM340" s="50"/>
      <c r="AN340">
        <f>MINUTE(Table7[[#This Row],[AHT]])</f>
        <v>0</v>
      </c>
      <c r="AO340">
        <f>SECOND(Table7[[#This Row],[AHT]])</f>
        <v>0</v>
      </c>
      <c r="AQ340">
        <v>0</v>
      </c>
    </row>
    <row r="341" spans="1:43">
      <c r="A341" s="21">
        <v>44991</v>
      </c>
      <c r="B341" s="17">
        <f>IF(YEAR(Table9[[#This Row],[Date]]) = 2022, WEEKNUM(Table9[[#This Row],[Date]])-13, WEEKNUM(Table9[[#This Row],[Date]])+40)</f>
        <v>50</v>
      </c>
      <c r="C341" s="35" t="s">
        <v>48</v>
      </c>
      <c r="D341" s="35" t="s">
        <v>59</v>
      </c>
      <c r="E341" s="1">
        <v>817</v>
      </c>
      <c r="F341" s="1">
        <v>797</v>
      </c>
      <c r="G341" s="19">
        <f>IFERROR(((E341-E334)/E334),0)</f>
        <v>-5.2204176334106726E-2</v>
      </c>
      <c r="H341" s="19">
        <f>IFERROR(((F341-F334)/F334),0)</f>
        <v>2.4421593830334189E-2</v>
      </c>
      <c r="I341" s="1">
        <f>I339+E341</f>
        <v>3610</v>
      </c>
      <c r="J341" s="1">
        <f>J339+F341</f>
        <v>3348</v>
      </c>
      <c r="K341" s="1">
        <f>K339+E341</f>
        <v>247966</v>
      </c>
      <c r="L341" s="1">
        <f>L339+F341</f>
        <v>173699</v>
      </c>
      <c r="M341" s="18">
        <v>0.92</v>
      </c>
      <c r="N341" s="18">
        <v>0.02</v>
      </c>
      <c r="O341" s="18">
        <v>0.98</v>
      </c>
      <c r="P341" s="18">
        <v>0.54</v>
      </c>
      <c r="Q341" s="18">
        <v>0.79</v>
      </c>
      <c r="R341" s="214">
        <v>204</v>
      </c>
      <c r="S341" s="153">
        <v>4.8611111111111112E-3</v>
      </c>
      <c r="T341" s="1">
        <v>12</v>
      </c>
      <c r="U341" s="1" t="str">
        <f t="shared" si="77"/>
        <v>Normal</v>
      </c>
      <c r="V341" s="1" t="str">
        <f t="shared" si="78"/>
        <v>Normal</v>
      </c>
      <c r="W341" s="19">
        <f t="shared" si="79"/>
        <v>-5.2204176334106726E-2</v>
      </c>
      <c r="X341" s="19">
        <f t="shared" si="80"/>
        <v>2.4421593830334189E-2</v>
      </c>
      <c r="AN341">
        <f>MINUTE(Table7[[#This Row],[AHT]])</f>
        <v>0</v>
      </c>
      <c r="AO341">
        <f>SECOND(Table7[[#This Row],[AHT]])</f>
        <v>0</v>
      </c>
      <c r="AQ341">
        <v>204</v>
      </c>
    </row>
    <row r="342" spans="1:43">
      <c r="A342" s="21">
        <v>44992</v>
      </c>
      <c r="B342" s="17">
        <f>IF(YEAR(Table9[[#This Row],[Date]]) = 2022, WEEKNUM(Table9[[#This Row],[Date]])-13, WEEKNUM(Table9[[#This Row],[Date]])+40)</f>
        <v>50</v>
      </c>
      <c r="C342" s="34" t="s">
        <v>49</v>
      </c>
      <c r="D342" s="35" t="s">
        <v>59</v>
      </c>
      <c r="E342" s="1">
        <v>663</v>
      </c>
      <c r="F342" s="1">
        <v>643</v>
      </c>
      <c r="G342" s="19">
        <f>IFERROR((E342-E335)/E335,0)</f>
        <v>-0.24315068493150685</v>
      </c>
      <c r="H342" s="19">
        <f>IFERROR((F342-F335)/F335,0)</f>
        <v>-0.21776155717761558</v>
      </c>
      <c r="I342" s="1">
        <f t="shared" ref="I342" si="102">I341+E342</f>
        <v>4273</v>
      </c>
      <c r="J342" s="1">
        <f t="shared" ref="J342" si="103">J341+F342</f>
        <v>3991</v>
      </c>
      <c r="K342" s="1">
        <f t="shared" ref="K342" si="104">K341+E342</f>
        <v>248629</v>
      </c>
      <c r="L342" s="1">
        <f t="shared" ref="L342" si="105">L341+F342</f>
        <v>174342</v>
      </c>
      <c r="M342" s="18">
        <v>0.89</v>
      </c>
      <c r="N342" s="18">
        <v>0.03</v>
      </c>
      <c r="O342" s="18">
        <v>0.97</v>
      </c>
      <c r="P342" s="18">
        <v>0.46</v>
      </c>
      <c r="Q342" s="18">
        <v>0.8</v>
      </c>
      <c r="R342" s="214">
        <v>171</v>
      </c>
      <c r="S342" s="153">
        <v>6.2499999999999995E-3</v>
      </c>
      <c r="T342" s="1">
        <v>10</v>
      </c>
      <c r="U342" s="1" t="str">
        <f t="shared" si="77"/>
        <v>Outlier</v>
      </c>
      <c r="V342" s="1" t="str">
        <f t="shared" si="78"/>
        <v>Normal</v>
      </c>
      <c r="W342" s="19">
        <f t="shared" si="79"/>
        <v>-0.24315068493150685</v>
      </c>
      <c r="X342" s="19">
        <f t="shared" si="80"/>
        <v>-0.21776155717761558</v>
      </c>
      <c r="AN342">
        <f>MINUTE(Table7[[#This Row],[AHT]])</f>
        <v>0</v>
      </c>
      <c r="AO342">
        <f>SECOND(Table7[[#This Row],[AHT]])</f>
        <v>0</v>
      </c>
      <c r="AQ342">
        <v>171</v>
      </c>
    </row>
    <row r="343" spans="1:43">
      <c r="A343" s="21">
        <v>44993</v>
      </c>
      <c r="B343" s="17">
        <f>IF(YEAR(Table9[[#This Row],[Date]]) = 2022, WEEKNUM(Table9[[#This Row],[Date]])-13, WEEKNUM(Table9[[#This Row],[Date]])+40)</f>
        <v>50</v>
      </c>
      <c r="C343" s="35" t="s">
        <v>50</v>
      </c>
      <c r="D343" s="35" t="s">
        <v>59</v>
      </c>
      <c r="E343" s="1">
        <v>626</v>
      </c>
      <c r="F343" s="1">
        <v>607</v>
      </c>
      <c r="G343" s="87">
        <f t="shared" ref="G343:G346" si="106">(E343-E336)/E336</f>
        <v>-0.25387365911799764</v>
      </c>
      <c r="H343" s="87">
        <f>(F343-F336)/F336</f>
        <v>-0.23067173637515842</v>
      </c>
      <c r="I343" s="1">
        <f>E343+I342</f>
        <v>4899</v>
      </c>
      <c r="J343" s="1">
        <f>F343+J342</f>
        <v>4598</v>
      </c>
      <c r="K343" s="1">
        <f>K342+E343</f>
        <v>249255</v>
      </c>
      <c r="L343" s="1">
        <f>L342+F343</f>
        <v>174949</v>
      </c>
      <c r="M343" s="18">
        <v>0.89</v>
      </c>
      <c r="N343" s="18">
        <v>0.03</v>
      </c>
      <c r="O343" s="18">
        <v>0.97</v>
      </c>
      <c r="P343" s="18">
        <v>0.5</v>
      </c>
      <c r="Q343" s="18">
        <v>0.78</v>
      </c>
      <c r="R343" s="214">
        <v>173</v>
      </c>
      <c r="S343" s="153">
        <v>6.2499999999999995E-3</v>
      </c>
      <c r="T343" s="1">
        <v>10</v>
      </c>
      <c r="U343" s="1" t="str">
        <f t="shared" si="77"/>
        <v>Outlier</v>
      </c>
      <c r="V343" s="1" t="str">
        <f t="shared" si="78"/>
        <v>Normal</v>
      </c>
      <c r="W343" s="19">
        <f t="shared" si="79"/>
        <v>-0.25387365911799764</v>
      </c>
      <c r="X343" s="19">
        <f t="shared" si="80"/>
        <v>-0.23067173637515842</v>
      </c>
      <c r="AN343">
        <f>MINUTE(Table7[[#This Row],[AHT]])</f>
        <v>0</v>
      </c>
      <c r="AO343">
        <f>SECOND(Table7[[#This Row],[AHT]])</f>
        <v>0</v>
      </c>
      <c r="AQ343">
        <v>173</v>
      </c>
    </row>
    <row r="344" spans="1:43">
      <c r="A344" s="21">
        <v>44994</v>
      </c>
      <c r="B344" s="17">
        <f>IF(YEAR(Table9[[#This Row],[Date]]) = 2022, WEEKNUM(Table9[[#This Row],[Date]])-13, WEEKNUM(Table9[[#This Row],[Date]])+40)</f>
        <v>50</v>
      </c>
      <c r="C344" s="35" t="s">
        <v>51</v>
      </c>
      <c r="D344" s="35" t="s">
        <v>59</v>
      </c>
      <c r="E344" s="1">
        <v>625</v>
      </c>
      <c r="F344" s="1">
        <v>588</v>
      </c>
      <c r="G344" s="19">
        <f t="shared" si="106"/>
        <v>-0.20382165605095542</v>
      </c>
      <c r="H344" s="19">
        <f>(F344-F337)/F337</f>
        <v>-8.8372093023255813E-2</v>
      </c>
      <c r="I344" s="1">
        <f>I343+E344</f>
        <v>5524</v>
      </c>
      <c r="J344" s="1">
        <f>J343+F344</f>
        <v>5186</v>
      </c>
      <c r="K344" s="1">
        <f>K343+E344</f>
        <v>249880</v>
      </c>
      <c r="L344" s="1">
        <f t="shared" ref="L344:L346" si="107">L343+F344</f>
        <v>175537</v>
      </c>
      <c r="M344" s="18">
        <v>0.82</v>
      </c>
      <c r="N344" s="18">
        <v>0.06</v>
      </c>
      <c r="O344" s="18">
        <v>0.94</v>
      </c>
      <c r="P344" s="18">
        <v>0.45</v>
      </c>
      <c r="Q344" s="18">
        <v>0.79</v>
      </c>
      <c r="R344" s="214">
        <v>199</v>
      </c>
      <c r="S344" s="153">
        <v>1.1805555555555555E-2</v>
      </c>
      <c r="T344" s="1">
        <v>10</v>
      </c>
      <c r="U344" s="1" t="str">
        <f t="shared" si="77"/>
        <v>Normal</v>
      </c>
      <c r="V344" s="1" t="str">
        <f t="shared" si="78"/>
        <v>Normal</v>
      </c>
      <c r="W344" s="19">
        <f t="shared" si="79"/>
        <v>-0.20382165605095542</v>
      </c>
      <c r="X344" s="19">
        <f t="shared" si="80"/>
        <v>-8.8372093023255813E-2</v>
      </c>
      <c r="AN344">
        <f>MINUTE(Table7[[#This Row],[AHT]])</f>
        <v>0</v>
      </c>
      <c r="AO344">
        <f>SECOND(Table7[[#This Row],[AHT]])</f>
        <v>0</v>
      </c>
      <c r="AQ344">
        <v>199</v>
      </c>
    </row>
    <row r="345" spans="1:43">
      <c r="A345" s="21">
        <v>44995</v>
      </c>
      <c r="B345" s="17">
        <f>IF(YEAR(Table9[[#This Row],[Date]]) = 2022, WEEKNUM(Table9[[#This Row],[Date]])-13, WEEKNUM(Table9[[#This Row],[Date]])+40)</f>
        <v>50</v>
      </c>
      <c r="C345" s="35" t="s">
        <v>52</v>
      </c>
      <c r="D345" s="35" t="s">
        <v>59</v>
      </c>
      <c r="E345" s="1">
        <v>614</v>
      </c>
      <c r="F345" s="1">
        <v>554</v>
      </c>
      <c r="G345" s="19">
        <f t="shared" si="106"/>
        <v>-0.19316688567674112</v>
      </c>
      <c r="H345" s="19">
        <f t="shared" ref="H345:H346" si="108">(F345-F338)/F338</f>
        <v>-0.23268698060941828</v>
      </c>
      <c r="I345" s="1">
        <f t="shared" ref="I345:I346" si="109">I344+E345</f>
        <v>6138</v>
      </c>
      <c r="J345" s="1">
        <f t="shared" ref="J345:J346" si="110">J344+F345</f>
        <v>5740</v>
      </c>
      <c r="K345" s="1">
        <f t="shared" ref="K345:K346" si="111">K344+E345</f>
        <v>250494</v>
      </c>
      <c r="L345" s="1">
        <f t="shared" si="107"/>
        <v>176091</v>
      </c>
      <c r="M345" s="18">
        <v>0.86</v>
      </c>
      <c r="N345" s="18">
        <v>0.1</v>
      </c>
      <c r="O345" s="18">
        <v>0.9</v>
      </c>
      <c r="P345" s="18">
        <v>0.28999999999999998</v>
      </c>
      <c r="Q345" s="18">
        <v>0.8</v>
      </c>
      <c r="R345" s="214">
        <v>175</v>
      </c>
      <c r="S345" s="153">
        <v>2.013888888888889E-2</v>
      </c>
      <c r="T345" s="1">
        <v>12</v>
      </c>
      <c r="U345" s="1" t="str">
        <f t="shared" si="77"/>
        <v>Normal</v>
      </c>
      <c r="V345" s="1" t="str">
        <f t="shared" si="78"/>
        <v>Normal</v>
      </c>
      <c r="W345" s="19">
        <f t="shared" si="79"/>
        <v>-0.19316688567674112</v>
      </c>
      <c r="X345" s="19">
        <f t="shared" si="80"/>
        <v>-0.23268698060941828</v>
      </c>
      <c r="AN345">
        <f>MINUTE(Table7[[#This Row],[AHT]])</f>
        <v>0</v>
      </c>
      <c r="AO345">
        <f>SECOND(Table7[[#This Row],[AHT]])</f>
        <v>0</v>
      </c>
      <c r="AQ345">
        <v>175</v>
      </c>
    </row>
    <row r="346" spans="1:43">
      <c r="A346" s="21">
        <v>44996</v>
      </c>
      <c r="B346" s="17">
        <f>IF(YEAR(Table9[[#This Row],[Date]]) = 2022, WEEKNUM(Table9[[#This Row],[Date]])-13, WEEKNUM(Table9[[#This Row],[Date]])+40)</f>
        <v>50</v>
      </c>
      <c r="C346" s="35" t="s">
        <v>53</v>
      </c>
      <c r="D346" s="35" t="s">
        <v>59</v>
      </c>
      <c r="E346" s="1">
        <v>353</v>
      </c>
      <c r="F346" s="1">
        <v>339</v>
      </c>
      <c r="G346" s="19">
        <f t="shared" si="106"/>
        <v>-0.13480392156862744</v>
      </c>
      <c r="H346" s="19">
        <f t="shared" si="108"/>
        <v>-0.14177215189873418</v>
      </c>
      <c r="I346" s="1">
        <f t="shared" si="109"/>
        <v>6491</v>
      </c>
      <c r="J346" s="1">
        <f t="shared" si="110"/>
        <v>6079</v>
      </c>
      <c r="K346" s="1">
        <f t="shared" si="111"/>
        <v>250847</v>
      </c>
      <c r="L346" s="1">
        <f t="shared" si="107"/>
        <v>176430</v>
      </c>
      <c r="M346" s="18">
        <v>0.87</v>
      </c>
      <c r="N346" s="18">
        <v>0.04</v>
      </c>
      <c r="O346" s="18">
        <v>0.96</v>
      </c>
      <c r="P346" s="18">
        <v>0.5</v>
      </c>
      <c r="Q346" s="18">
        <v>0.89</v>
      </c>
      <c r="R346" s="214">
        <v>174</v>
      </c>
      <c r="S346" s="153">
        <v>7.6388888888888886E-3</v>
      </c>
      <c r="T346" s="1">
        <v>8</v>
      </c>
      <c r="U346" s="1" t="str">
        <f t="shared" si="77"/>
        <v>Normal</v>
      </c>
      <c r="V346" s="1" t="str">
        <f t="shared" si="78"/>
        <v>Normal</v>
      </c>
      <c r="W346" s="19">
        <f t="shared" si="79"/>
        <v>-0.13480392156862744</v>
      </c>
      <c r="X346" s="19">
        <f t="shared" si="80"/>
        <v>-0.14177215189873418</v>
      </c>
      <c r="AN346">
        <f>MINUTE(Table7[[#This Row],[AHT]])</f>
        <v>0</v>
      </c>
      <c r="AO346">
        <f>SECOND(Table7[[#This Row],[AHT]])</f>
        <v>0</v>
      </c>
      <c r="AQ346">
        <v>174</v>
      </c>
    </row>
    <row r="347" spans="1:43">
      <c r="A347" s="21">
        <v>44997</v>
      </c>
      <c r="B347" s="17">
        <f>IF(YEAR(Table9[[#This Row],[Date]]) = 2022, WEEKNUM(Table9[[#This Row],[Date]])-13, WEEKNUM(Table9[[#This Row],[Date]])+40)</f>
        <v>51</v>
      </c>
      <c r="C347" s="35" t="s">
        <v>47</v>
      </c>
      <c r="D347" s="35" t="s">
        <v>59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69">
        <v>0</v>
      </c>
      <c r="Q347" s="1">
        <v>0</v>
      </c>
      <c r="R347" s="214">
        <v>0</v>
      </c>
      <c r="S347" s="153">
        <v>0</v>
      </c>
      <c r="T347" s="1">
        <v>0</v>
      </c>
      <c r="U347" s="1" t="str">
        <f t="shared" si="77"/>
        <v>Normal</v>
      </c>
      <c r="V347" s="1" t="str">
        <f t="shared" si="78"/>
        <v>Normal</v>
      </c>
      <c r="W347" s="19">
        <f t="shared" si="79"/>
        <v>0</v>
      </c>
      <c r="X347" s="19">
        <f t="shared" si="80"/>
        <v>0</v>
      </c>
      <c r="AN347">
        <f>MINUTE(Table7[[#This Row],[AHT]])</f>
        <v>0</v>
      </c>
      <c r="AO347">
        <f>SECOND(Table7[[#This Row],[AHT]])</f>
        <v>0</v>
      </c>
      <c r="AQ347">
        <v>0</v>
      </c>
    </row>
    <row r="348" spans="1:43">
      <c r="A348" s="21">
        <v>44998</v>
      </c>
      <c r="B348" s="17">
        <f>IF(YEAR(Table9[[#This Row],[Date]]) = 2022, WEEKNUM(Table9[[#This Row],[Date]])-13, WEEKNUM(Table9[[#This Row],[Date]])+40)</f>
        <v>51</v>
      </c>
      <c r="C348" s="35" t="s">
        <v>48</v>
      </c>
      <c r="D348" s="35" t="s">
        <v>59</v>
      </c>
      <c r="E348" s="1">
        <v>748</v>
      </c>
      <c r="F348" s="1">
        <v>734</v>
      </c>
      <c r="G348" s="19">
        <f>IFERROR(((E348-E341)/E341),0)</f>
        <v>-8.4455324357405145E-2</v>
      </c>
      <c r="H348" s="19">
        <f>IFERROR(((F348-F341)/F341),0)</f>
        <v>-7.9046424090338768E-2</v>
      </c>
      <c r="I348" s="1">
        <f>I346+E348</f>
        <v>7239</v>
      </c>
      <c r="J348" s="1">
        <f>J346+F348</f>
        <v>6813</v>
      </c>
      <c r="K348" s="1">
        <f>K346+E348</f>
        <v>251595</v>
      </c>
      <c r="L348" s="1">
        <f>L346+F348</f>
        <v>177164</v>
      </c>
      <c r="M348" s="18">
        <v>0.95</v>
      </c>
      <c r="N348" s="18">
        <v>0.02</v>
      </c>
      <c r="O348" s="18">
        <v>0.98</v>
      </c>
      <c r="P348" s="18">
        <v>0.51</v>
      </c>
      <c r="Q348" s="18">
        <v>0.81</v>
      </c>
      <c r="R348" s="214">
        <v>171</v>
      </c>
      <c r="S348" s="153">
        <v>4.8611111111111112E-3</v>
      </c>
      <c r="T348" s="1">
        <v>11</v>
      </c>
      <c r="U348" s="1" t="str">
        <f t="shared" si="77"/>
        <v>Normal</v>
      </c>
      <c r="V348" s="1" t="str">
        <f t="shared" si="78"/>
        <v>Normal</v>
      </c>
      <c r="W348" s="19">
        <f t="shared" si="79"/>
        <v>-8.4455324357405145E-2</v>
      </c>
      <c r="X348" s="19">
        <f t="shared" si="80"/>
        <v>-7.9046424090338768E-2</v>
      </c>
      <c r="AN348">
        <f>MINUTE(Table7[[#This Row],[AHT]])</f>
        <v>0</v>
      </c>
      <c r="AO348">
        <f>SECOND(Table7[[#This Row],[AHT]])</f>
        <v>0</v>
      </c>
      <c r="AQ348">
        <v>171</v>
      </c>
    </row>
    <row r="349" spans="1:43">
      <c r="A349" s="21">
        <v>44999</v>
      </c>
      <c r="B349" s="17">
        <f>IF(YEAR(Table9[[#This Row],[Date]]) = 2022, WEEKNUM(Table9[[#This Row],[Date]])-13, WEEKNUM(Table9[[#This Row],[Date]])+40)</f>
        <v>51</v>
      </c>
      <c r="C349" s="35" t="s">
        <v>49</v>
      </c>
      <c r="D349" s="35" t="s">
        <v>59</v>
      </c>
      <c r="E349" s="1">
        <v>600</v>
      </c>
      <c r="F349" s="1">
        <v>581</v>
      </c>
      <c r="G349" s="19">
        <f>IFERROR((E349-E342)/E342,0)</f>
        <v>-9.5022624434389136E-2</v>
      </c>
      <c r="H349" s="19">
        <f>IFERROR((F349-F342)/F342,0)</f>
        <v>-9.6423017107309481E-2</v>
      </c>
      <c r="I349" s="1">
        <f t="shared" ref="I349" si="112">I348+E349</f>
        <v>7839</v>
      </c>
      <c r="J349" s="1">
        <f t="shared" ref="J349" si="113">J348+F349</f>
        <v>7394</v>
      </c>
      <c r="K349" s="1">
        <f t="shared" ref="K349" si="114">K348+E349</f>
        <v>252195</v>
      </c>
      <c r="L349" s="1">
        <f t="shared" ref="L349" si="115">L348+F349</f>
        <v>177745</v>
      </c>
      <c r="M349" s="18">
        <v>0.93</v>
      </c>
      <c r="N349" s="18">
        <v>0.03</v>
      </c>
      <c r="O349" s="18">
        <v>0.97</v>
      </c>
      <c r="P349" s="18">
        <v>0.33</v>
      </c>
      <c r="Q349" s="18">
        <v>0.81</v>
      </c>
      <c r="R349" s="214">
        <v>172</v>
      </c>
      <c r="S349" s="153">
        <v>4.8611111111111112E-3</v>
      </c>
      <c r="T349" s="1">
        <v>10</v>
      </c>
      <c r="U349" s="1" t="str">
        <f t="shared" si="77"/>
        <v>Normal</v>
      </c>
      <c r="V349" s="1" t="str">
        <f t="shared" si="78"/>
        <v>Normal</v>
      </c>
      <c r="W349" s="19">
        <f t="shared" si="79"/>
        <v>-9.5022624434389136E-2</v>
      </c>
      <c r="X349" s="19">
        <f t="shared" si="80"/>
        <v>-9.6423017107309481E-2</v>
      </c>
      <c r="AN349">
        <f>MINUTE(Table7[[#This Row],[AHT]])</f>
        <v>0</v>
      </c>
      <c r="AO349">
        <f>SECOND(Table7[[#This Row],[AHT]])</f>
        <v>0</v>
      </c>
      <c r="AQ349">
        <v>172</v>
      </c>
    </row>
    <row r="350" spans="1:43">
      <c r="A350" s="21">
        <v>45000</v>
      </c>
      <c r="B350" s="17">
        <f>IF(YEAR(Table9[[#This Row],[Date]]) = 2022, WEEKNUM(Table9[[#This Row],[Date]])-13, WEEKNUM(Table9[[#This Row],[Date]])+40)</f>
        <v>51</v>
      </c>
      <c r="C350" s="35" t="s">
        <v>50</v>
      </c>
      <c r="D350" s="35" t="s">
        <v>59</v>
      </c>
      <c r="E350" s="1">
        <v>627</v>
      </c>
      <c r="F350" s="1">
        <v>614</v>
      </c>
      <c r="G350" s="87">
        <f t="shared" ref="G350:G353" si="116">(E350-E343)/E343</f>
        <v>1.5974440894568689E-3</v>
      </c>
      <c r="H350" s="87">
        <f>(F350-F343)/F343</f>
        <v>1.1532125205930808E-2</v>
      </c>
      <c r="I350" s="1">
        <f>E350+I349</f>
        <v>8466</v>
      </c>
      <c r="J350" s="1">
        <f>F350+J349</f>
        <v>8008</v>
      </c>
      <c r="K350" s="1">
        <f>K349+E350</f>
        <v>252822</v>
      </c>
      <c r="L350" s="1">
        <f>L349+F350</f>
        <v>178359</v>
      </c>
      <c r="M350" s="18">
        <v>0.94</v>
      </c>
      <c r="N350" s="18">
        <v>0.02</v>
      </c>
      <c r="O350" s="18">
        <v>0.98</v>
      </c>
      <c r="P350" s="18">
        <v>0.44</v>
      </c>
      <c r="Q350" s="18">
        <v>0.8</v>
      </c>
      <c r="R350" s="214">
        <v>186</v>
      </c>
      <c r="S350" s="153">
        <v>5.5555555555555558E-3</v>
      </c>
      <c r="T350" s="1">
        <v>12</v>
      </c>
      <c r="U350" s="1" t="str">
        <f t="shared" si="77"/>
        <v>Normal</v>
      </c>
      <c r="V350" s="1" t="str">
        <f t="shared" si="78"/>
        <v>Normal</v>
      </c>
      <c r="W350" s="19">
        <f t="shared" si="79"/>
        <v>1.5974440894568689E-3</v>
      </c>
      <c r="X350" s="19">
        <f t="shared" si="80"/>
        <v>1.1532125205930808E-2</v>
      </c>
      <c r="AN350">
        <f>MINUTE(Table7[[#This Row],[AHT]])</f>
        <v>0</v>
      </c>
      <c r="AO350">
        <f>SECOND(Table7[[#This Row],[AHT]])</f>
        <v>0</v>
      </c>
      <c r="AQ350">
        <v>186</v>
      </c>
    </row>
    <row r="351" spans="1:43">
      <c r="A351" s="21">
        <v>45001</v>
      </c>
      <c r="B351" s="17">
        <f>IF(YEAR(Table9[[#This Row],[Date]]) = 2022, WEEKNUM(Table9[[#This Row],[Date]])-13, WEEKNUM(Table9[[#This Row],[Date]])+40)</f>
        <v>51</v>
      </c>
      <c r="C351" s="35" t="s">
        <v>51</v>
      </c>
      <c r="D351" s="35" t="s">
        <v>59</v>
      </c>
      <c r="E351" s="1">
        <v>608</v>
      </c>
      <c r="F351" s="1">
        <v>593</v>
      </c>
      <c r="G351" s="19">
        <f t="shared" si="116"/>
        <v>-2.7199999999999998E-2</v>
      </c>
      <c r="H351" s="19">
        <f>(F351-F344)/F344</f>
        <v>8.5034013605442185E-3</v>
      </c>
      <c r="I351" s="1">
        <f>I350+E351</f>
        <v>9074</v>
      </c>
      <c r="J351" s="1">
        <f>J350+F351</f>
        <v>8601</v>
      </c>
      <c r="K351" s="1">
        <f>K350+E351</f>
        <v>253430</v>
      </c>
      <c r="L351" s="1">
        <f t="shared" ref="L351:L353" si="117">L350+F351</f>
        <v>178952</v>
      </c>
      <c r="M351" s="18">
        <v>0.91</v>
      </c>
      <c r="N351" s="18">
        <v>0.02</v>
      </c>
      <c r="O351" s="18">
        <v>0.98</v>
      </c>
      <c r="P351" s="18">
        <v>0.45</v>
      </c>
      <c r="Q351" s="18">
        <v>0.82</v>
      </c>
      <c r="R351" s="214">
        <v>198</v>
      </c>
      <c r="S351" s="153">
        <v>4.8611111111111112E-3</v>
      </c>
      <c r="T351" s="1">
        <v>10</v>
      </c>
      <c r="U351" s="1" t="str">
        <f t="shared" si="77"/>
        <v>Normal</v>
      </c>
      <c r="V351" s="1" t="str">
        <f t="shared" si="78"/>
        <v>Normal</v>
      </c>
      <c r="W351" s="19">
        <f t="shared" si="79"/>
        <v>-2.7199999999999998E-2</v>
      </c>
      <c r="X351" s="19">
        <f t="shared" si="80"/>
        <v>8.5034013605442185E-3</v>
      </c>
      <c r="AN351">
        <f>MINUTE(Table7[[#This Row],[AHT]])</f>
        <v>0</v>
      </c>
      <c r="AO351">
        <f>SECOND(Table7[[#This Row],[AHT]])</f>
        <v>0</v>
      </c>
      <c r="AQ351">
        <v>198</v>
      </c>
    </row>
    <row r="352" spans="1:43">
      <c r="A352" s="21">
        <v>45002</v>
      </c>
      <c r="B352" s="17">
        <f>IF(YEAR(Table9[[#This Row],[Date]]) = 2022, WEEKNUM(Table9[[#This Row],[Date]])-13, WEEKNUM(Table9[[#This Row],[Date]])+40)</f>
        <v>51</v>
      </c>
      <c r="C352" s="35" t="s">
        <v>52</v>
      </c>
      <c r="D352" s="35" t="s">
        <v>59</v>
      </c>
      <c r="E352" s="1">
        <v>587</v>
      </c>
      <c r="F352" s="1">
        <v>561</v>
      </c>
      <c r="G352" s="19">
        <f t="shared" si="116"/>
        <v>-4.3973941368078175E-2</v>
      </c>
      <c r="H352" s="19">
        <f t="shared" ref="H352:H353" si="118">(F352-F345)/F345</f>
        <v>1.263537906137184E-2</v>
      </c>
      <c r="I352" s="1">
        <f t="shared" ref="I352:I353" si="119">I351+E352</f>
        <v>9661</v>
      </c>
      <c r="J352" s="1">
        <f t="shared" ref="J352:J353" si="120">J351+F352</f>
        <v>9162</v>
      </c>
      <c r="K352" s="1">
        <f t="shared" ref="K352:K353" si="121">K351+E352</f>
        <v>254017</v>
      </c>
      <c r="L352" s="1">
        <f t="shared" si="117"/>
        <v>179513</v>
      </c>
      <c r="M352" s="18">
        <v>0.88</v>
      </c>
      <c r="N352" s="18">
        <v>0.04</v>
      </c>
      <c r="O352" s="18">
        <v>0.96</v>
      </c>
      <c r="P352" s="18">
        <v>0.42</v>
      </c>
      <c r="Q352" s="18">
        <v>0.79</v>
      </c>
      <c r="R352" s="214">
        <v>199</v>
      </c>
      <c r="S352" s="153">
        <v>9.7222222222222224E-3</v>
      </c>
      <c r="T352" s="1">
        <v>10</v>
      </c>
      <c r="U352" s="1" t="str">
        <f t="shared" si="77"/>
        <v>Normal</v>
      </c>
      <c r="V352" s="1" t="str">
        <f t="shared" si="78"/>
        <v>Normal</v>
      </c>
      <c r="W352" s="19">
        <f t="shared" si="79"/>
        <v>-4.3973941368078175E-2</v>
      </c>
      <c r="X352" s="19">
        <f t="shared" si="80"/>
        <v>1.263537906137184E-2</v>
      </c>
      <c r="AN352">
        <f>MINUTE(Table7[[#This Row],[AHT]])</f>
        <v>0</v>
      </c>
      <c r="AO352">
        <f>SECOND(Table7[[#This Row],[AHT]])</f>
        <v>0</v>
      </c>
      <c r="AQ352">
        <v>199</v>
      </c>
    </row>
    <row r="353" spans="1:43">
      <c r="A353" s="21">
        <v>45003</v>
      </c>
      <c r="B353" s="17">
        <f>IF(YEAR(Table9[[#This Row],[Date]]) = 2022, WEEKNUM(Table9[[#This Row],[Date]])-13, WEEKNUM(Table9[[#This Row],[Date]])+40)</f>
        <v>51</v>
      </c>
      <c r="C353" s="35" t="s">
        <v>53</v>
      </c>
      <c r="D353" s="35" t="s">
        <v>59</v>
      </c>
      <c r="E353" s="1">
        <v>321</v>
      </c>
      <c r="F353" s="1">
        <v>299</v>
      </c>
      <c r="G353" s="19">
        <f t="shared" si="116"/>
        <v>-9.0651558073654395E-2</v>
      </c>
      <c r="H353" s="19">
        <f t="shared" si="118"/>
        <v>-0.11799410029498525</v>
      </c>
      <c r="I353" s="1">
        <f t="shared" si="119"/>
        <v>9982</v>
      </c>
      <c r="J353" s="1">
        <f t="shared" si="120"/>
        <v>9461</v>
      </c>
      <c r="K353" s="1">
        <f t="shared" si="121"/>
        <v>254338</v>
      </c>
      <c r="L353" s="1">
        <f t="shared" si="117"/>
        <v>179812</v>
      </c>
      <c r="M353" s="18">
        <v>0.94</v>
      </c>
      <c r="N353" s="18">
        <v>7.0000000000000007E-2</v>
      </c>
      <c r="O353" s="18">
        <v>0.93</v>
      </c>
      <c r="P353" s="18">
        <v>0.13</v>
      </c>
      <c r="Q353" s="18">
        <v>0.91</v>
      </c>
      <c r="R353" s="214">
        <v>159</v>
      </c>
      <c r="S353" s="153">
        <v>6.2499999999999995E-3</v>
      </c>
      <c r="T353" s="1">
        <v>9</v>
      </c>
      <c r="U353" s="1" t="str">
        <f t="shared" si="77"/>
        <v>Normal</v>
      </c>
      <c r="V353" s="1" t="str">
        <f t="shared" si="78"/>
        <v>Normal</v>
      </c>
      <c r="W353" s="19">
        <f t="shared" si="79"/>
        <v>-9.0651558073654395E-2</v>
      </c>
      <c r="X353" s="19">
        <f t="shared" si="80"/>
        <v>-0.11799410029498525</v>
      </c>
      <c r="AN353">
        <f>MINUTE(Table7[[#This Row],[AHT]])</f>
        <v>0</v>
      </c>
      <c r="AO353">
        <f>SECOND(Table7[[#This Row],[AHT]])</f>
        <v>0</v>
      </c>
      <c r="AQ353">
        <v>159</v>
      </c>
    </row>
    <row r="354" spans="1:43">
      <c r="A354" s="21">
        <v>45004</v>
      </c>
      <c r="B354" s="17">
        <f>IF(YEAR(Table9[[#This Row],[Date]]) = 2022, WEEKNUM(Table9[[#This Row],[Date]])-13, WEEKNUM(Table9[[#This Row],[Date]])+40)</f>
        <v>52</v>
      </c>
      <c r="C354" s="35" t="s">
        <v>47</v>
      </c>
      <c r="D354" s="35" t="s">
        <v>59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69">
        <v>0</v>
      </c>
      <c r="Q354" s="1">
        <v>0</v>
      </c>
      <c r="R354" s="214">
        <v>0</v>
      </c>
      <c r="S354" s="153">
        <v>0</v>
      </c>
      <c r="T354" s="1">
        <v>0</v>
      </c>
      <c r="U354" s="1" t="str">
        <f t="shared" si="77"/>
        <v>Normal</v>
      </c>
      <c r="V354" s="1" t="str">
        <f t="shared" si="78"/>
        <v>Normal</v>
      </c>
      <c r="W354" s="19">
        <f t="shared" si="79"/>
        <v>0</v>
      </c>
      <c r="X354" s="19">
        <f t="shared" si="80"/>
        <v>0</v>
      </c>
      <c r="AN354">
        <f>MINUTE(Table7[[#This Row],[AHT]])</f>
        <v>0</v>
      </c>
      <c r="AO354">
        <f>SECOND(Table7[[#This Row],[AHT]])</f>
        <v>0</v>
      </c>
      <c r="AQ354">
        <v>0</v>
      </c>
    </row>
    <row r="355" spans="1:43">
      <c r="A355" s="21">
        <v>45005</v>
      </c>
      <c r="B355" s="17">
        <f>IF(YEAR(Table9[[#This Row],[Date]]) = 2022, WEEKNUM(Table9[[#This Row],[Date]])-13, WEEKNUM(Table9[[#This Row],[Date]])+40)</f>
        <v>52</v>
      </c>
      <c r="C355" s="35" t="s">
        <v>48</v>
      </c>
      <c r="D355" s="35" t="s">
        <v>59</v>
      </c>
      <c r="E355" s="1">
        <v>711</v>
      </c>
      <c r="F355" s="1">
        <v>673</v>
      </c>
      <c r="G355" s="19">
        <f>IFERROR(((E355-E348)/E348),0)</f>
        <v>-4.9465240641711233E-2</v>
      </c>
      <c r="H355" s="19">
        <f>IFERROR(((F355-F348)/F348),0)</f>
        <v>-8.3106267029972758E-2</v>
      </c>
      <c r="I355" s="1">
        <f>I353+E355</f>
        <v>10693</v>
      </c>
      <c r="J355" s="1">
        <f>J353+F355</f>
        <v>10134</v>
      </c>
      <c r="K355" s="1">
        <f>K353+E355</f>
        <v>255049</v>
      </c>
      <c r="L355" s="1">
        <f>L353+F355</f>
        <v>180485</v>
      </c>
      <c r="M355" s="18">
        <v>0.8</v>
      </c>
      <c r="N355" s="18">
        <v>0.05</v>
      </c>
      <c r="O355" s="18">
        <v>0.95</v>
      </c>
      <c r="P355" s="18">
        <v>0.52</v>
      </c>
      <c r="Q355" s="18">
        <v>0.77</v>
      </c>
      <c r="R355" s="214">
        <v>175</v>
      </c>
      <c r="S355" s="153">
        <v>1.4583333333333332E-2</v>
      </c>
      <c r="T355" s="1">
        <v>11</v>
      </c>
      <c r="U355" s="1" t="str">
        <f t="shared" si="77"/>
        <v>Normal</v>
      </c>
      <c r="V355" s="1" t="str">
        <f t="shared" si="78"/>
        <v>Normal</v>
      </c>
      <c r="W355" s="19">
        <f t="shared" si="79"/>
        <v>-4.9465240641711233E-2</v>
      </c>
      <c r="X355" s="19">
        <f t="shared" si="80"/>
        <v>-8.3106267029972758E-2</v>
      </c>
      <c r="AN355">
        <f>MINUTE(Table7[[#This Row],[AHT]])</f>
        <v>0</v>
      </c>
      <c r="AO355">
        <f>SECOND(Table7[[#This Row],[AHT]])</f>
        <v>0</v>
      </c>
      <c r="AQ355">
        <v>175</v>
      </c>
    </row>
    <row r="356" spans="1:43">
      <c r="A356" s="21">
        <v>45006</v>
      </c>
      <c r="B356" s="17">
        <f>IF(YEAR(Table9[[#This Row],[Date]]) = 2022, WEEKNUM(Table9[[#This Row],[Date]])-13, WEEKNUM(Table9[[#This Row],[Date]])+40)</f>
        <v>52</v>
      </c>
      <c r="C356" s="34" t="s">
        <v>49</v>
      </c>
      <c r="D356" s="35" t="s">
        <v>59</v>
      </c>
      <c r="E356" s="1">
        <v>658</v>
      </c>
      <c r="F356" s="1">
        <v>593</v>
      </c>
      <c r="G356" s="19">
        <f>IFERROR((E356-E349)/E349,0)</f>
        <v>9.6666666666666665E-2</v>
      </c>
      <c r="H356" s="19">
        <f>IFERROR((F356-F349)/F349,0)</f>
        <v>2.0654044750430294E-2</v>
      </c>
      <c r="I356" s="1">
        <f t="shared" ref="I356" si="122">I355+E356</f>
        <v>11351</v>
      </c>
      <c r="J356" s="1">
        <f t="shared" ref="J356" si="123">J355+F356</f>
        <v>10727</v>
      </c>
      <c r="K356" s="1">
        <f t="shared" ref="K356" si="124">K355+E356</f>
        <v>255707</v>
      </c>
      <c r="L356" s="1">
        <f t="shared" ref="L356" si="125">L355+F356</f>
        <v>181078</v>
      </c>
      <c r="M356" s="18">
        <v>0.71</v>
      </c>
      <c r="N356" s="18">
        <v>0.1</v>
      </c>
      <c r="O356" s="18">
        <v>0.9</v>
      </c>
      <c r="P356" s="18">
        <v>0.5</v>
      </c>
      <c r="Q356" s="18">
        <v>0.79</v>
      </c>
      <c r="R356" s="214">
        <v>220</v>
      </c>
      <c r="S356" s="153">
        <v>4.027777777777778E-2</v>
      </c>
      <c r="T356" s="1">
        <v>9</v>
      </c>
      <c r="U356" s="1" t="str">
        <f t="shared" si="77"/>
        <v>Normal</v>
      </c>
      <c r="V356" s="1" t="str">
        <f t="shared" si="78"/>
        <v>Normal</v>
      </c>
      <c r="W356" s="19">
        <f t="shared" si="79"/>
        <v>9.6666666666666665E-2</v>
      </c>
      <c r="X356" s="19">
        <f t="shared" si="80"/>
        <v>2.0654044750430294E-2</v>
      </c>
      <c r="AN356">
        <f>MINUTE(Table7[[#This Row],[AHT]])</f>
        <v>0</v>
      </c>
      <c r="AO356">
        <f>SECOND(Table7[[#This Row],[AHT]])</f>
        <v>0</v>
      </c>
      <c r="AQ356">
        <v>220</v>
      </c>
    </row>
    <row r="357" spans="1:43">
      <c r="A357" s="21">
        <v>45007</v>
      </c>
      <c r="B357" s="17">
        <f>IF(YEAR(Table9[[#This Row],[Date]]) = 2022, WEEKNUM(Table9[[#This Row],[Date]])-13, WEEKNUM(Table9[[#This Row],[Date]])+40)</f>
        <v>52</v>
      </c>
      <c r="C357" s="35" t="s">
        <v>50</v>
      </c>
      <c r="D357" s="35" t="s">
        <v>59</v>
      </c>
      <c r="E357" s="1">
        <v>616</v>
      </c>
      <c r="F357" s="1">
        <v>536</v>
      </c>
      <c r="G357" s="87">
        <f t="shared" ref="G357:G360" si="126">(E357-E350)/E350</f>
        <v>-1.7543859649122806E-2</v>
      </c>
      <c r="H357" s="87">
        <f>(F357-F350)/F350</f>
        <v>-0.12703583061889251</v>
      </c>
      <c r="I357" s="1">
        <f>E357+I356</f>
        <v>11967</v>
      </c>
      <c r="J357" s="1">
        <f>F357+J356</f>
        <v>11263</v>
      </c>
      <c r="K357" s="1">
        <f>K356+E357</f>
        <v>256323</v>
      </c>
      <c r="L357" s="1">
        <f>L356+F357</f>
        <v>181614</v>
      </c>
      <c r="M357" s="18">
        <v>0.65</v>
      </c>
      <c r="N357" s="18">
        <v>0.13</v>
      </c>
      <c r="O357" s="18">
        <v>0.87</v>
      </c>
      <c r="P357" s="18">
        <v>0.48</v>
      </c>
      <c r="Q357" s="18">
        <v>0.8</v>
      </c>
      <c r="R357" s="214">
        <v>185</v>
      </c>
      <c r="S357" s="153">
        <v>5.0694444444444452E-2</v>
      </c>
      <c r="T357" s="1">
        <v>8</v>
      </c>
      <c r="U357" s="1" t="str">
        <f t="shared" si="77"/>
        <v>Normal</v>
      </c>
      <c r="V357" s="1" t="str">
        <f t="shared" si="78"/>
        <v>Normal</v>
      </c>
      <c r="W357" s="19">
        <f t="shared" si="79"/>
        <v>-1.7543859649122806E-2</v>
      </c>
      <c r="X357" s="19">
        <f t="shared" si="80"/>
        <v>-0.12703583061889251</v>
      </c>
      <c r="AN357">
        <f>MINUTE(Table7[[#This Row],[AHT]])</f>
        <v>0</v>
      </c>
      <c r="AO357">
        <f>SECOND(Table7[[#This Row],[AHT]])</f>
        <v>0</v>
      </c>
      <c r="AQ357">
        <v>185</v>
      </c>
    </row>
    <row r="358" spans="1:43">
      <c r="A358" s="21">
        <v>45008</v>
      </c>
      <c r="B358" s="17">
        <f>IF(YEAR(Table9[[#This Row],[Date]]) = 2022, WEEKNUM(Table9[[#This Row],[Date]])-13, WEEKNUM(Table9[[#This Row],[Date]])+40)</f>
        <v>52</v>
      </c>
      <c r="C358" s="34" t="s">
        <v>51</v>
      </c>
      <c r="D358" s="35" t="s">
        <v>59</v>
      </c>
      <c r="E358" s="1">
        <v>617</v>
      </c>
      <c r="F358" s="1">
        <v>594</v>
      </c>
      <c r="G358" s="19">
        <f t="shared" si="126"/>
        <v>1.4802631578947368E-2</v>
      </c>
      <c r="H358" s="19">
        <f>(F358-F351)/F351</f>
        <v>1.6863406408094434E-3</v>
      </c>
      <c r="I358" s="1">
        <f>I357+E358</f>
        <v>12584</v>
      </c>
      <c r="J358" s="1">
        <f>J357+F358</f>
        <v>11857</v>
      </c>
      <c r="K358" s="1">
        <f>K357+E358</f>
        <v>256940</v>
      </c>
      <c r="L358" s="1">
        <f t="shared" ref="L358:L360" si="127">L357+F358</f>
        <v>182208</v>
      </c>
      <c r="M358" s="18">
        <v>0.86</v>
      </c>
      <c r="N358" s="18">
        <v>0.04</v>
      </c>
      <c r="O358" s="18">
        <v>0.96</v>
      </c>
      <c r="P358" s="18">
        <v>0.46</v>
      </c>
      <c r="Q358" s="18">
        <v>0.78</v>
      </c>
      <c r="R358" s="214">
        <v>200</v>
      </c>
      <c r="S358" s="153">
        <v>6.9444444444444441E-3</v>
      </c>
      <c r="T358" s="1">
        <v>10</v>
      </c>
      <c r="U358" s="1" t="str">
        <f t="shared" si="77"/>
        <v>Normal</v>
      </c>
      <c r="V358" s="1" t="str">
        <f t="shared" si="78"/>
        <v>Normal</v>
      </c>
      <c r="W358" s="19">
        <f t="shared" si="79"/>
        <v>1.4802631578947368E-2</v>
      </c>
      <c r="X358" s="19">
        <f t="shared" si="80"/>
        <v>1.6863406408094434E-3</v>
      </c>
      <c r="AN358">
        <f>MINUTE(Table7[[#This Row],[AHT]])</f>
        <v>0</v>
      </c>
      <c r="AO358">
        <f>SECOND(Table7[[#This Row],[AHT]])</f>
        <v>0</v>
      </c>
      <c r="AQ358">
        <v>200</v>
      </c>
    </row>
    <row r="359" spans="1:43">
      <c r="A359" s="21">
        <v>45009</v>
      </c>
      <c r="B359" s="17">
        <f>IF(YEAR(Table9[[#This Row],[Date]]) = 2022, WEEKNUM(Table9[[#This Row],[Date]])-13, WEEKNUM(Table9[[#This Row],[Date]])+40)</f>
        <v>52</v>
      </c>
      <c r="C359" s="35" t="s">
        <v>52</v>
      </c>
      <c r="D359" s="35" t="s">
        <v>59</v>
      </c>
      <c r="E359" s="1">
        <v>611</v>
      </c>
      <c r="F359" s="1">
        <v>561</v>
      </c>
      <c r="G359" s="19">
        <f t="shared" si="126"/>
        <v>4.0885860306643949E-2</v>
      </c>
      <c r="H359" s="19">
        <f>(F359-F352)/F352</f>
        <v>0</v>
      </c>
      <c r="I359" s="1">
        <f t="shared" ref="I359:I360" si="128">I358+E359</f>
        <v>13195</v>
      </c>
      <c r="J359" s="1">
        <f t="shared" ref="J359:J360" si="129">J358+F359</f>
        <v>12418</v>
      </c>
      <c r="K359" s="1">
        <f t="shared" ref="K359:K360" si="130">K358+E359</f>
        <v>257551</v>
      </c>
      <c r="L359" s="1">
        <f t="shared" si="127"/>
        <v>182769</v>
      </c>
      <c r="M359" s="18">
        <v>0.75</v>
      </c>
      <c r="N359" s="18">
        <v>0.08</v>
      </c>
      <c r="O359" s="18">
        <v>0.92</v>
      </c>
      <c r="P359" s="18">
        <v>0.48</v>
      </c>
      <c r="Q359" s="18">
        <v>0.77</v>
      </c>
      <c r="R359" s="214">
        <v>183</v>
      </c>
      <c r="S359" s="153">
        <v>2.2916666666666669E-2</v>
      </c>
      <c r="T359" s="1">
        <v>10</v>
      </c>
      <c r="U359" s="1" t="str">
        <f t="shared" si="77"/>
        <v>Normal</v>
      </c>
      <c r="V359" s="1" t="str">
        <f t="shared" si="78"/>
        <v>Normal</v>
      </c>
      <c r="W359" s="19">
        <f t="shared" si="79"/>
        <v>4.0885860306643949E-2</v>
      </c>
      <c r="X359" s="19">
        <f t="shared" si="80"/>
        <v>0</v>
      </c>
      <c r="AN359">
        <f>MINUTE(Table7[[#This Row],[AHT]])</f>
        <v>0</v>
      </c>
      <c r="AO359">
        <f>SECOND(Table7[[#This Row],[AHT]])</f>
        <v>0</v>
      </c>
      <c r="AQ359">
        <v>183</v>
      </c>
    </row>
    <row r="360" spans="1:43">
      <c r="A360" s="21">
        <v>45010</v>
      </c>
      <c r="B360" s="17">
        <f>IF(YEAR(Table9[[#This Row],[Date]]) = 2022, WEEKNUM(Table9[[#This Row],[Date]])-13, WEEKNUM(Table9[[#This Row],[Date]])+40)</f>
        <v>52</v>
      </c>
      <c r="C360" s="34" t="s">
        <v>53</v>
      </c>
      <c r="D360" s="35" t="s">
        <v>59</v>
      </c>
      <c r="E360" s="1">
        <v>341</v>
      </c>
      <c r="F360" s="1">
        <v>325</v>
      </c>
      <c r="G360" s="19">
        <f t="shared" si="126"/>
        <v>6.2305295950155763E-2</v>
      </c>
      <c r="H360" s="19">
        <f t="shared" ref="H360" si="131">(F360-F353)/F353</f>
        <v>8.6956521739130432E-2</v>
      </c>
      <c r="I360" s="1">
        <f t="shared" si="128"/>
        <v>13536</v>
      </c>
      <c r="J360" s="1">
        <f t="shared" si="129"/>
        <v>12743</v>
      </c>
      <c r="K360" s="1">
        <f t="shared" si="130"/>
        <v>257892</v>
      </c>
      <c r="L360" s="1">
        <f t="shared" si="127"/>
        <v>183094</v>
      </c>
      <c r="M360" s="18">
        <v>0.85</v>
      </c>
      <c r="N360" s="18">
        <v>0.05</v>
      </c>
      <c r="O360" s="18">
        <v>0.95</v>
      </c>
      <c r="P360" s="18">
        <v>0.31</v>
      </c>
      <c r="Q360" s="18">
        <v>0.86</v>
      </c>
      <c r="R360" s="214">
        <v>171</v>
      </c>
      <c r="S360" s="153">
        <v>1.1805555555555555E-2</v>
      </c>
      <c r="T360" s="1">
        <v>7</v>
      </c>
      <c r="U360" s="1" t="str">
        <f t="shared" si="77"/>
        <v>Normal</v>
      </c>
      <c r="V360" s="1" t="str">
        <f t="shared" si="78"/>
        <v>Normal</v>
      </c>
      <c r="W360" s="19">
        <f t="shared" si="79"/>
        <v>6.2305295950155763E-2</v>
      </c>
      <c r="X360" s="19">
        <f t="shared" si="80"/>
        <v>8.6956521739130432E-2</v>
      </c>
      <c r="AN360">
        <f>MINUTE(Table7[[#This Row],[AHT]])</f>
        <v>0</v>
      </c>
      <c r="AO360">
        <f>SECOND(Table7[[#This Row],[AHT]])</f>
        <v>0</v>
      </c>
      <c r="AQ360">
        <v>171</v>
      </c>
    </row>
    <row r="361" spans="1:43">
      <c r="A361" s="21">
        <v>45011</v>
      </c>
      <c r="B361" s="17">
        <f>IF(YEAR(Table9[[#This Row],[Date]]) = 2022, WEEKNUM(Table9[[#This Row],[Date]])-13, WEEKNUM(Table9[[#This Row],[Date]])+40)</f>
        <v>53</v>
      </c>
      <c r="C361" s="35" t="s">
        <v>47</v>
      </c>
      <c r="D361" s="35" t="s">
        <v>59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9">
        <v>0</v>
      </c>
      <c r="Q361" s="1">
        <v>0</v>
      </c>
      <c r="R361" s="214">
        <v>0</v>
      </c>
      <c r="S361" s="153">
        <v>0</v>
      </c>
      <c r="T361" s="1">
        <v>0</v>
      </c>
      <c r="U361" s="1" t="str">
        <f t="shared" si="77"/>
        <v>Normal</v>
      </c>
      <c r="V361" s="1" t="str">
        <f t="shared" si="78"/>
        <v>Normal</v>
      </c>
      <c r="W361" s="19">
        <f t="shared" si="79"/>
        <v>0</v>
      </c>
      <c r="X361" s="19">
        <f t="shared" si="80"/>
        <v>0</v>
      </c>
      <c r="AN361">
        <f>MINUTE(Table7[[#This Row],[AHT]])</f>
        <v>0</v>
      </c>
      <c r="AO361">
        <f>SECOND(Table7[[#This Row],[AHT]])</f>
        <v>0</v>
      </c>
      <c r="AQ361">
        <v>0</v>
      </c>
    </row>
    <row r="362" spans="1:43">
      <c r="A362" s="21">
        <v>45012</v>
      </c>
      <c r="B362" s="17">
        <f>IF(YEAR(Table9[[#This Row],[Date]]) = 2022, WEEKNUM(Table9[[#This Row],[Date]])-13, WEEKNUM(Table9[[#This Row],[Date]])+40)</f>
        <v>53</v>
      </c>
      <c r="C362" s="34" t="s">
        <v>48</v>
      </c>
      <c r="D362" s="35" t="s">
        <v>59</v>
      </c>
      <c r="E362" s="1">
        <v>717</v>
      </c>
      <c r="F362" s="1">
        <v>628</v>
      </c>
      <c r="G362" s="19">
        <f>IFERROR(((E362-E355)/E355),0)</f>
        <v>8.4388185654008432E-3</v>
      </c>
      <c r="H362" s="19">
        <f>IFERROR(((F362-F355)/F355),0)</f>
        <v>-6.6864784546805348E-2</v>
      </c>
      <c r="I362" s="1">
        <f>I360+E362</f>
        <v>14253</v>
      </c>
      <c r="J362" s="1">
        <f>J360+F362</f>
        <v>13371</v>
      </c>
      <c r="K362" s="1">
        <f>K360+E362</f>
        <v>258609</v>
      </c>
      <c r="L362" s="1">
        <f>L360+F362</f>
        <v>183722</v>
      </c>
      <c r="M362" s="18">
        <v>0.56000000000000005</v>
      </c>
      <c r="N362" s="18">
        <v>0.12</v>
      </c>
      <c r="O362" s="18">
        <v>0.88</v>
      </c>
      <c r="P362" s="18">
        <v>0.61</v>
      </c>
      <c r="Q362" s="18">
        <v>0.77</v>
      </c>
      <c r="R362" s="214">
        <v>186</v>
      </c>
      <c r="S362" s="153">
        <v>2.9861111111111113E-2</v>
      </c>
      <c r="T362" s="1">
        <v>9</v>
      </c>
      <c r="U362" s="1" t="str">
        <f t="shared" si="77"/>
        <v>Normal</v>
      </c>
      <c r="V362" s="1" t="str">
        <f t="shared" si="78"/>
        <v>Normal</v>
      </c>
      <c r="W362" s="19">
        <f t="shared" si="79"/>
        <v>8.4388185654008432E-3</v>
      </c>
      <c r="X362" s="19">
        <f t="shared" si="80"/>
        <v>-6.6864784546805348E-2</v>
      </c>
      <c r="AN362">
        <f>MINUTE(Table7[[#This Row],[AHT]])</f>
        <v>0</v>
      </c>
      <c r="AO362">
        <f>SECOND(Table7[[#This Row],[AHT]])</f>
        <v>0</v>
      </c>
      <c r="AQ362">
        <v>186</v>
      </c>
    </row>
    <row r="363" spans="1:43">
      <c r="A363" s="21">
        <v>45013</v>
      </c>
      <c r="B363" s="17">
        <f>IF(YEAR(Table9[[#This Row],[Date]]) = 2022, WEEKNUM(Table9[[#This Row],[Date]])-13, WEEKNUM(Table9[[#This Row],[Date]])+40)</f>
        <v>53</v>
      </c>
      <c r="C363" s="35" t="s">
        <v>49</v>
      </c>
      <c r="D363" s="35" t="s">
        <v>59</v>
      </c>
      <c r="E363" s="1">
        <v>674</v>
      </c>
      <c r="F363" s="1">
        <v>657</v>
      </c>
      <c r="G363" s="19">
        <f>IFERROR((E363-E356)/E356,0)</f>
        <v>2.4316109422492401E-2</v>
      </c>
      <c r="H363" s="19">
        <f>IFERROR((F363-F356)/F356,0)</f>
        <v>0.10792580101180438</v>
      </c>
      <c r="I363" s="1">
        <f t="shared" ref="I363" si="132">I362+E363</f>
        <v>14927</v>
      </c>
      <c r="J363" s="1">
        <f t="shared" ref="J363" si="133">J362+F363</f>
        <v>14028</v>
      </c>
      <c r="K363" s="1">
        <f t="shared" ref="K363" si="134">K362+E363</f>
        <v>259283</v>
      </c>
      <c r="L363" s="1">
        <f t="shared" ref="L363" si="135">L362+F363</f>
        <v>184379</v>
      </c>
      <c r="M363" s="18">
        <v>0.91</v>
      </c>
      <c r="N363" s="18">
        <v>0.03</v>
      </c>
      <c r="O363" s="18">
        <v>0.97</v>
      </c>
      <c r="P363" s="18">
        <v>0.4</v>
      </c>
      <c r="Q363" s="18">
        <v>0.81</v>
      </c>
      <c r="R363" s="214">
        <v>164</v>
      </c>
      <c r="S363" s="153">
        <v>6.2499999999999995E-3</v>
      </c>
      <c r="T363" s="1">
        <v>11</v>
      </c>
      <c r="U363" s="1" t="str">
        <f t="shared" si="77"/>
        <v>Normal</v>
      </c>
      <c r="V363" s="1" t="str">
        <f t="shared" si="78"/>
        <v>Normal</v>
      </c>
      <c r="W363" s="19">
        <f t="shared" si="79"/>
        <v>2.4316109422492401E-2</v>
      </c>
      <c r="X363" s="19">
        <f t="shared" si="80"/>
        <v>0.10792580101180438</v>
      </c>
      <c r="AN363">
        <f>MINUTE(Table7[[#This Row],[AHT]])</f>
        <v>0</v>
      </c>
      <c r="AO363">
        <f>SECOND(Table7[[#This Row],[AHT]])</f>
        <v>0</v>
      </c>
      <c r="AQ363">
        <v>164</v>
      </c>
    </row>
    <row r="364" spans="1:43">
      <c r="A364" s="21">
        <v>45014</v>
      </c>
      <c r="B364" s="17">
        <f>IF(YEAR(Table9[[#This Row],[Date]]) = 2022, WEEKNUM(Table9[[#This Row],[Date]])-13, WEEKNUM(Table9[[#This Row],[Date]])+40)</f>
        <v>53</v>
      </c>
      <c r="C364" s="34" t="s">
        <v>50</v>
      </c>
      <c r="D364" s="35" t="s">
        <v>59</v>
      </c>
      <c r="E364" s="1">
        <v>719</v>
      </c>
      <c r="F364" s="1">
        <v>679</v>
      </c>
      <c r="G364" s="87">
        <f t="shared" ref="G364" si="136">(E364-E357)/E357</f>
        <v>0.16720779220779219</v>
      </c>
      <c r="H364" s="87">
        <f>(F364-F357)/F357</f>
        <v>0.26679104477611942</v>
      </c>
      <c r="I364" s="1">
        <f>E364+I363</f>
        <v>15646</v>
      </c>
      <c r="J364" s="1">
        <f>F364+J363</f>
        <v>14707</v>
      </c>
      <c r="K364" s="1">
        <f>K363+E364</f>
        <v>260002</v>
      </c>
      <c r="L364" s="1">
        <f>L363+F364</f>
        <v>185058</v>
      </c>
      <c r="M364" s="18">
        <v>0.82</v>
      </c>
      <c r="N364" s="18">
        <v>0.06</v>
      </c>
      <c r="O364" s="18">
        <v>0.94</v>
      </c>
      <c r="P364" s="18">
        <v>0.56000000000000005</v>
      </c>
      <c r="Q364" s="18">
        <v>0.78</v>
      </c>
      <c r="R364" s="214">
        <v>198</v>
      </c>
      <c r="S364" s="153">
        <v>1.1111111111111112E-2</v>
      </c>
      <c r="T364" s="1">
        <v>10</v>
      </c>
      <c r="U364" s="1" t="str">
        <f t="shared" si="77"/>
        <v>Normal</v>
      </c>
      <c r="V364" s="1" t="str">
        <f t="shared" si="78"/>
        <v>Normal</v>
      </c>
      <c r="W364" s="19">
        <f t="shared" si="79"/>
        <v>0.16720779220779219</v>
      </c>
      <c r="X364" s="19">
        <f t="shared" si="80"/>
        <v>0.26679104477611942</v>
      </c>
      <c r="AN364">
        <f>MINUTE(Table7[[#This Row],[AHT]])</f>
        <v>0</v>
      </c>
      <c r="AO364">
        <f>SECOND(Table7[[#This Row],[AHT]])</f>
        <v>0</v>
      </c>
      <c r="AQ364">
        <v>198</v>
      </c>
    </row>
    <row r="365" spans="1:43">
      <c r="A365" s="21">
        <v>45015</v>
      </c>
      <c r="B365" s="17">
        <f>IF(YEAR(Table9[[#This Row],[Date]]) = 2022, WEEKNUM(Table9[[#This Row],[Date]])-13, WEEKNUM(Table9[[#This Row],[Date]])+40)</f>
        <v>53</v>
      </c>
      <c r="C365" s="35" t="s">
        <v>51</v>
      </c>
      <c r="D365" s="35" t="s">
        <v>59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9">
        <v>0</v>
      </c>
      <c r="Q365" s="1">
        <v>0</v>
      </c>
      <c r="R365" s="214">
        <v>0</v>
      </c>
      <c r="S365" s="153">
        <v>0</v>
      </c>
      <c r="T365" s="1">
        <v>0</v>
      </c>
      <c r="U365" s="1" t="str">
        <f t="shared" si="77"/>
        <v>Normal</v>
      </c>
      <c r="V365" s="1" t="str">
        <f t="shared" si="78"/>
        <v>Normal</v>
      </c>
      <c r="W365" s="19">
        <f t="shared" si="79"/>
        <v>0</v>
      </c>
      <c r="X365" s="19">
        <f t="shared" si="80"/>
        <v>0</v>
      </c>
      <c r="AN365">
        <f>MINUTE(Table7[[#This Row],[AHT]])</f>
        <v>0</v>
      </c>
      <c r="AO365">
        <f>SECOND(Table7[[#This Row],[AHT]])</f>
        <v>0</v>
      </c>
      <c r="AQ365">
        <v>0</v>
      </c>
    </row>
    <row r="366" spans="1:43">
      <c r="A366" s="21">
        <v>45016</v>
      </c>
      <c r="B366" s="17">
        <f>IF(YEAR(Table9[[#This Row],[Date]]) = 2022, WEEKNUM(Table9[[#This Row],[Date]])-13, WEEKNUM(Table9[[#This Row],[Date]])+40)</f>
        <v>53</v>
      </c>
      <c r="C366" s="34" t="s">
        <v>52</v>
      </c>
      <c r="D366" s="35" t="s">
        <v>59</v>
      </c>
      <c r="E366" s="1">
        <v>758</v>
      </c>
      <c r="F366" s="1">
        <v>683</v>
      </c>
      <c r="G366" s="19">
        <f t="shared" ref="G366" si="137">(E366-E359)/E359</f>
        <v>0.24058919803600654</v>
      </c>
      <c r="H366" s="19">
        <f>(F366-F359)/F359</f>
        <v>0.21746880570409982</v>
      </c>
      <c r="I366" s="1">
        <f>I364+E366</f>
        <v>16404</v>
      </c>
      <c r="J366" s="1">
        <f>J364+F366</f>
        <v>15390</v>
      </c>
      <c r="K366" s="1">
        <f t="shared" ref="K366" si="138">K365+E366</f>
        <v>758</v>
      </c>
      <c r="L366" s="1">
        <f t="shared" ref="L366" si="139">L365+F366</f>
        <v>683</v>
      </c>
      <c r="M366" s="18">
        <v>0.62</v>
      </c>
      <c r="N366" s="18">
        <v>0.1</v>
      </c>
      <c r="O366" s="18">
        <v>0.9</v>
      </c>
      <c r="P366" s="18">
        <v>0.62</v>
      </c>
      <c r="Q366" s="18">
        <v>0.78</v>
      </c>
      <c r="R366" s="214">
        <v>182</v>
      </c>
      <c r="S366" s="153">
        <v>2.6388888888888889E-2</v>
      </c>
      <c r="T366" s="1">
        <v>9</v>
      </c>
      <c r="U366" s="1" t="str">
        <f t="shared" si="77"/>
        <v>Outlier</v>
      </c>
      <c r="V366" s="1" t="str">
        <f t="shared" si="78"/>
        <v>Normal</v>
      </c>
      <c r="W366" s="19">
        <f t="shared" si="79"/>
        <v>0.24058919803600654</v>
      </c>
      <c r="X366" s="19">
        <f t="shared" si="80"/>
        <v>0.21746880570409982</v>
      </c>
      <c r="AN366">
        <f>MINUTE(Table7[[#This Row],[AHT]])</f>
        <v>0</v>
      </c>
      <c r="AO366">
        <f>SECOND(Table7[[#This Row],[AHT]])</f>
        <v>0</v>
      </c>
      <c r="AQ366">
        <v>182</v>
      </c>
    </row>
    <row r="367" spans="1:43">
      <c r="M367" s="172"/>
    </row>
  </sheetData>
  <mergeCells count="6">
    <mergeCell ref="AL141:AM141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R20:AR21 AL120:AL121" xr:uid="{4B0DD217-3BFE-4080-B100-903B8DA6A89D}">
      <formula1>period_TT</formula1>
    </dataValidation>
    <dataValidation type="list" allowBlank="1" showInputMessage="1" showErrorMessage="1" sqref="AO6:AO7" xr:uid="{99CF4F32-FDBA-406A-B66E-6FACCCB4D56D}">
      <formula1>WoW_dates_TT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X366"/>
  <sheetViews>
    <sheetView tabSelected="1" zoomScale="80" zoomScaleNormal="80" workbookViewId="0">
      <pane xSplit="1" ySplit="1" topLeftCell="H2" activePane="bottomRight" state="frozen"/>
      <selection pane="topRight" activeCell="B1" sqref="B1"/>
      <selection pane="bottomLeft" activeCell="A3" sqref="A3"/>
      <selection pane="bottomRight" activeCell="K1" sqref="K1:K366"/>
    </sheetView>
  </sheetViews>
  <sheetFormatPr defaultRowHeight="14.5"/>
  <cols>
    <col min="2" max="2" width="16.453125" bestFit="1" customWidth="1"/>
    <col min="3" max="3" width="19" bestFit="1" customWidth="1"/>
    <col min="4" max="4" width="7.6328125" customWidth="1"/>
    <col min="5" max="5" width="11.81640625" bestFit="1" customWidth="1"/>
    <col min="6" max="6" width="19.08984375" customWidth="1"/>
    <col min="7" max="7" width="28.6328125" bestFit="1" customWidth="1"/>
    <col min="8" max="8" width="25.1796875" bestFit="1" customWidth="1"/>
    <col min="9" max="9" width="19.6328125" customWidth="1"/>
    <col min="10" max="10" width="18.36328125" customWidth="1"/>
    <col min="11" max="11" width="19" customWidth="1"/>
    <col min="12" max="12" width="15.54296875" customWidth="1"/>
    <col min="13" max="16" width="11.81640625" bestFit="1" customWidth="1"/>
    <col min="20" max="20" width="11.08984375" customWidth="1"/>
    <col min="21" max="21" width="53.7265625" bestFit="1" customWidth="1"/>
    <col min="22" max="22" width="49.1796875" bestFit="1" customWidth="1"/>
    <col min="23" max="23" width="33.81640625" bestFit="1" customWidth="1"/>
    <col min="24" max="24" width="29.26953125" bestFit="1" customWidth="1"/>
    <col min="25" max="26" width="11.08984375" customWidth="1"/>
    <col min="27" max="27" width="13.08984375" bestFit="1" customWidth="1"/>
    <col min="28" max="28" width="13.1796875" bestFit="1" customWidth="1"/>
    <col min="29" max="37" width="11.08984375" customWidth="1"/>
    <col min="39" max="39" width="10.08984375" customWidth="1"/>
    <col min="40" max="40" width="21.6328125" bestFit="1" customWidth="1"/>
    <col min="41" max="41" width="24" bestFit="1" customWidth="1"/>
    <col min="43" max="43" width="10.81640625" bestFit="1" customWidth="1"/>
    <col min="44" max="44" width="6.90625" bestFit="1" customWidth="1"/>
    <col min="49" max="49" width="11.7265625" bestFit="1" customWidth="1"/>
  </cols>
  <sheetData>
    <row r="1" spans="1:50">
      <c r="A1" s="96" t="s">
        <v>35</v>
      </c>
      <c r="B1" s="96" t="s">
        <v>176</v>
      </c>
      <c r="C1" s="40" t="s">
        <v>54</v>
      </c>
      <c r="D1" s="40" t="s">
        <v>58</v>
      </c>
      <c r="E1" s="40" t="s">
        <v>57</v>
      </c>
      <c r="F1" s="40" t="s">
        <v>33</v>
      </c>
      <c r="G1" s="40" t="s">
        <v>155</v>
      </c>
      <c r="H1" s="40" t="s">
        <v>156</v>
      </c>
      <c r="I1" s="40" t="s">
        <v>55</v>
      </c>
      <c r="J1" s="40" t="s">
        <v>56</v>
      </c>
      <c r="K1" s="40" t="s">
        <v>152</v>
      </c>
      <c r="L1" s="40" t="s">
        <v>151</v>
      </c>
      <c r="M1" s="40" t="s">
        <v>32</v>
      </c>
      <c r="N1" s="40" t="s">
        <v>5</v>
      </c>
      <c r="O1" s="40" t="s">
        <v>4</v>
      </c>
      <c r="P1" s="40" t="s">
        <v>178</v>
      </c>
      <c r="Q1" s="41" t="s">
        <v>7</v>
      </c>
      <c r="R1" s="41" t="s">
        <v>81</v>
      </c>
      <c r="S1" s="41" t="s">
        <v>82</v>
      </c>
      <c r="T1" s="40" t="s">
        <v>79</v>
      </c>
      <c r="U1" s="40" t="s">
        <v>157</v>
      </c>
      <c r="V1" s="40" t="s">
        <v>158</v>
      </c>
      <c r="W1" s="40" t="s">
        <v>159</v>
      </c>
      <c r="X1" s="40" t="s">
        <v>160</v>
      </c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</row>
    <row r="2" spans="1:50">
      <c r="A2" s="27">
        <v>44652</v>
      </c>
      <c r="B2" s="306">
        <f>IF(YEAR(Table9[[#This Row],[Date]]) = 2022, WEEKNUM(Table9[[#This Row],[Date]])-13, WEEKNUM(Table9[[#This Row],[Date]])+40)</f>
        <v>1</v>
      </c>
      <c r="C2" s="34" t="s">
        <v>52</v>
      </c>
      <c r="D2" s="65" t="s">
        <v>59</v>
      </c>
      <c r="E2" s="32">
        <v>529</v>
      </c>
      <c r="F2" s="32">
        <v>434</v>
      </c>
      <c r="G2" s="66">
        <v>-8.4775086505190306E-2</v>
      </c>
      <c r="H2" s="66">
        <v>-0.17647058823529413</v>
      </c>
      <c r="I2" s="32">
        <v>529</v>
      </c>
      <c r="J2" s="32">
        <v>434</v>
      </c>
      <c r="K2" s="32">
        <v>529</v>
      </c>
      <c r="L2" s="32">
        <v>434</v>
      </c>
      <c r="M2" s="70">
        <v>0.51</v>
      </c>
      <c r="N2" s="70">
        <v>0.18</v>
      </c>
      <c r="O2" s="70">
        <v>0.82</v>
      </c>
      <c r="P2" s="70">
        <v>0.75</v>
      </c>
      <c r="Q2" s="94">
        <v>0.97</v>
      </c>
      <c r="R2" s="226">
        <v>0</v>
      </c>
      <c r="S2" s="226">
        <v>0</v>
      </c>
      <c r="T2" s="225">
        <v>0</v>
      </c>
      <c r="U2" s="271" t="str">
        <f>IF(OR(G2&lt;$AA$5,G2&gt;$AB$5), "Outlier", "Normal")</f>
        <v>Normal</v>
      </c>
      <c r="V2" s="271" t="str">
        <f>IF(OR(H2&lt;$AA$6,H2&gt;$AB$6), "Outlier", "Normal")</f>
        <v>Normal</v>
      </c>
      <c r="W2" s="270">
        <f>IF(U2="Normal",$G2,IF($G2&lt;150%, $G2, $AA$9))</f>
        <v>-8.4775086505190306E-2</v>
      </c>
      <c r="X2" s="270">
        <f>IF(V2="Normal",$H2,IF($H2&lt;150%, $H2, $AE$9))</f>
        <v>-0.17647058823529413</v>
      </c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</row>
    <row r="3" spans="1:50">
      <c r="A3" s="281">
        <v>44653</v>
      </c>
      <c r="B3" s="314">
        <f>IF(YEAR(Table9[[#This Row],[Date]]) = 2022, WEEKNUM(Table9[[#This Row],[Date]])-13, WEEKNUM(Table9[[#This Row],[Date]])+40)</f>
        <v>1</v>
      </c>
      <c r="C3" s="255" t="s">
        <v>53</v>
      </c>
      <c r="D3" s="65" t="s">
        <v>59</v>
      </c>
      <c r="E3" s="269">
        <v>409</v>
      </c>
      <c r="F3" s="269">
        <v>310</v>
      </c>
      <c r="G3" s="282">
        <v>0.59765625</v>
      </c>
      <c r="H3" s="282">
        <v>0.41552511415525112</v>
      </c>
      <c r="I3" s="269">
        <v>938</v>
      </c>
      <c r="J3" s="269">
        <v>744</v>
      </c>
      <c r="K3" s="269">
        <v>938</v>
      </c>
      <c r="L3" s="269">
        <v>744</v>
      </c>
      <c r="M3" s="127">
        <v>0.37</v>
      </c>
      <c r="N3" s="127">
        <v>0.24</v>
      </c>
      <c r="O3" s="127">
        <v>0.76</v>
      </c>
      <c r="P3" s="127">
        <v>1.07</v>
      </c>
      <c r="Q3" s="283">
        <v>0.98</v>
      </c>
      <c r="R3" s="284">
        <v>0</v>
      </c>
      <c r="S3" s="284">
        <v>0</v>
      </c>
      <c r="T3" s="285">
        <v>0</v>
      </c>
      <c r="U3" s="127" t="str">
        <f t="shared" ref="U3:U66" si="0">IF(OR(G3&lt;$AA$5,G3&gt;$AB$5), "Outlier", "Normal")</f>
        <v>Outlier</v>
      </c>
      <c r="V3" s="127" t="str">
        <f t="shared" ref="V3:V66" si="1">IF(OR(H3&lt;$AA$6,H3&gt;$AB$6), "Outlier", "Normal")</f>
        <v>Outlier</v>
      </c>
      <c r="W3" s="87">
        <f t="shared" ref="W3:W66" si="2">IF(U3="Normal",$G3,IF($G3&lt;150%, $G3, $AA$9))</f>
        <v>0.59765625</v>
      </c>
      <c r="X3" s="87">
        <f t="shared" ref="X3:X66" si="3">IF(V3="Normal",$H3,IF($H3&lt;150%, $H3, $AE$9))</f>
        <v>0.41552511415525112</v>
      </c>
      <c r="Y3" s="272"/>
      <c r="Z3" s="329" t="s">
        <v>161</v>
      </c>
      <c r="AA3" s="329"/>
      <c r="AB3" s="329"/>
      <c r="AD3" s="329" t="s">
        <v>162</v>
      </c>
      <c r="AE3" s="329"/>
      <c r="AF3" s="247"/>
      <c r="AG3" s="329" t="s">
        <v>163</v>
      </c>
      <c r="AH3" s="329"/>
      <c r="AI3" s="272"/>
      <c r="AJ3" s="272"/>
      <c r="AK3" s="272"/>
      <c r="AM3" s="6" t="s">
        <v>64</v>
      </c>
      <c r="AN3" s="7" t="s">
        <v>65</v>
      </c>
      <c r="AO3" s="99" t="s">
        <v>66</v>
      </c>
      <c r="AW3" t="s">
        <v>67</v>
      </c>
      <c r="AX3" s="16">
        <v>44655</v>
      </c>
    </row>
    <row r="4" spans="1:50">
      <c r="A4" s="281">
        <v>44654</v>
      </c>
      <c r="B4" s="314">
        <f>IF(YEAR(Table9[[#This Row],[Date]]) = 2022, WEEKNUM(Table9[[#This Row],[Date]])-13, WEEKNUM(Table9[[#This Row],[Date]])+40)</f>
        <v>2</v>
      </c>
      <c r="C4" s="255" t="s">
        <v>47</v>
      </c>
      <c r="D4" s="65" t="s">
        <v>59</v>
      </c>
      <c r="E4" s="269">
        <v>0</v>
      </c>
      <c r="F4" s="269">
        <v>0</v>
      </c>
      <c r="G4" s="282">
        <v>0</v>
      </c>
      <c r="H4" s="282">
        <v>0</v>
      </c>
      <c r="I4" s="269">
        <v>0</v>
      </c>
      <c r="J4" s="269">
        <v>0</v>
      </c>
      <c r="K4" s="269">
        <v>0</v>
      </c>
      <c r="L4" s="269">
        <v>0</v>
      </c>
      <c r="M4" s="127">
        <v>0</v>
      </c>
      <c r="N4" s="127">
        <v>0</v>
      </c>
      <c r="O4" s="127">
        <v>0</v>
      </c>
      <c r="P4" s="127">
        <v>0</v>
      </c>
      <c r="Q4" s="283">
        <v>0</v>
      </c>
      <c r="R4" s="284">
        <v>0</v>
      </c>
      <c r="S4" s="284">
        <v>0</v>
      </c>
      <c r="T4" s="285">
        <v>0</v>
      </c>
      <c r="U4" s="127" t="str">
        <f t="shared" si="0"/>
        <v>Normal</v>
      </c>
      <c r="V4" s="127" t="str">
        <f t="shared" si="1"/>
        <v>Normal</v>
      </c>
      <c r="W4" s="87">
        <f t="shared" si="2"/>
        <v>0</v>
      </c>
      <c r="X4" s="87">
        <f t="shared" si="3"/>
        <v>0</v>
      </c>
      <c r="Y4" s="272"/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-0.1184573002754821</v>
      </c>
      <c r="AF4" s="247"/>
      <c r="AG4" s="1" t="s">
        <v>167</v>
      </c>
      <c r="AH4" s="248">
        <f>_xlfn.QUARTILE.INC(H:H, 1)</f>
        <v>-6.1946902654867256E-2</v>
      </c>
      <c r="AI4" s="272"/>
      <c r="AJ4" s="272"/>
      <c r="AK4" s="272"/>
      <c r="AM4" s="27">
        <v>44655</v>
      </c>
      <c r="AN4" s="1">
        <f t="shared" ref="AN4:AN18" si="4">SUMIFS(calls_off_BAR,period_BAR,"&gt;="&amp;AM4,period_BAR,"&lt;"&amp;AM5)</f>
        <v>2421</v>
      </c>
      <c r="AO4" s="100">
        <f t="shared" ref="AO4:AO18" si="5">SUMIFS(calls_ans_BAR,period_BAR,"&gt;="&amp;AM4,period_BAR,"&lt;"&amp;AM5)</f>
        <v>2281</v>
      </c>
      <c r="AW4" t="s">
        <v>68</v>
      </c>
      <c r="AX4" s="16">
        <v>44977</v>
      </c>
    </row>
    <row r="5" spans="1:50">
      <c r="A5" s="281">
        <v>44655</v>
      </c>
      <c r="B5" s="314">
        <f>IF(YEAR(Table9[[#This Row],[Date]]) = 2022, WEEKNUM(Table9[[#This Row],[Date]])-13, WEEKNUM(Table9[[#This Row],[Date]])+40)</f>
        <v>2</v>
      </c>
      <c r="C5" s="255" t="s">
        <v>48</v>
      </c>
      <c r="D5" s="65" t="s">
        <v>59</v>
      </c>
      <c r="E5" s="269">
        <v>447</v>
      </c>
      <c r="F5" s="269">
        <v>416</v>
      </c>
      <c r="G5" s="282">
        <v>-0.28821656050955413</v>
      </c>
      <c r="H5" s="282">
        <v>-0.26889279437609842</v>
      </c>
      <c r="I5" s="269">
        <v>1385</v>
      </c>
      <c r="J5" s="269">
        <v>1160</v>
      </c>
      <c r="K5" s="269">
        <v>1385</v>
      </c>
      <c r="L5" s="269">
        <v>1160</v>
      </c>
      <c r="M5" s="127">
        <v>0.67</v>
      </c>
      <c r="N5" s="127">
        <v>7.0000000000000007E-2</v>
      </c>
      <c r="O5" s="127">
        <v>0.93</v>
      </c>
      <c r="P5" s="127">
        <v>0.56999999999999995</v>
      </c>
      <c r="Q5" s="283">
        <v>0.97</v>
      </c>
      <c r="R5" s="284">
        <v>0</v>
      </c>
      <c r="S5" s="284">
        <v>0</v>
      </c>
      <c r="T5" s="285">
        <v>0</v>
      </c>
      <c r="U5" s="127" t="str">
        <f t="shared" si="0"/>
        <v>Normal</v>
      </c>
      <c r="V5" s="127" t="str">
        <f t="shared" si="1"/>
        <v>Normal</v>
      </c>
      <c r="W5" s="87">
        <f t="shared" si="2"/>
        <v>-0.28821656050955413</v>
      </c>
      <c r="X5" s="87">
        <f t="shared" si="3"/>
        <v>-0.26889279437609842</v>
      </c>
      <c r="Y5" s="272"/>
      <c r="Z5" s="203" t="s">
        <v>168</v>
      </c>
      <c r="AA5" s="19">
        <f>AE4-1.5*AE6</f>
        <v>-0.45993635413698108</v>
      </c>
      <c r="AB5" s="19">
        <f>AE5+1.5*AE6</f>
        <v>0.45067445616034962</v>
      </c>
      <c r="AD5" s="1" t="s">
        <v>169</v>
      </c>
      <c r="AE5" s="248">
        <f>_xlfn.QUARTILE.INC(G:G, 3)</f>
        <v>0.10919540229885058</v>
      </c>
      <c r="AF5" s="247"/>
      <c r="AG5" s="1" t="s">
        <v>169</v>
      </c>
      <c r="AH5" s="248">
        <f>_xlfn.QUARTILE.INC(H:H, 3)</f>
        <v>9.0909090909090912E-2</v>
      </c>
      <c r="AI5" s="272"/>
      <c r="AJ5" s="272"/>
      <c r="AK5" s="272"/>
      <c r="AM5" s="27">
        <f>AM4+7</f>
        <v>44662</v>
      </c>
      <c r="AN5" s="1">
        <f t="shared" si="4"/>
        <v>2421</v>
      </c>
      <c r="AO5" s="100">
        <f t="shared" si="5"/>
        <v>2254</v>
      </c>
    </row>
    <row r="6" spans="1:50">
      <c r="A6" s="281">
        <v>44656</v>
      </c>
      <c r="B6" s="314">
        <f>IF(YEAR(Table9[[#This Row],[Date]]) = 2022, WEEKNUM(Table9[[#This Row],[Date]])-13, WEEKNUM(Table9[[#This Row],[Date]])+40)</f>
        <v>2</v>
      </c>
      <c r="C6" s="255" t="s">
        <v>49</v>
      </c>
      <c r="D6" s="65" t="s">
        <v>59</v>
      </c>
      <c r="E6" s="269">
        <v>433</v>
      </c>
      <c r="F6" s="269">
        <v>400</v>
      </c>
      <c r="G6" s="282">
        <v>-0.12170385395537525</v>
      </c>
      <c r="H6" s="282">
        <v>-6.1032863849765258E-2</v>
      </c>
      <c r="I6" s="269">
        <v>1818</v>
      </c>
      <c r="J6" s="269">
        <v>1560</v>
      </c>
      <c r="K6" s="269">
        <v>1818</v>
      </c>
      <c r="L6" s="269">
        <v>1560</v>
      </c>
      <c r="M6" s="127">
        <v>0.79</v>
      </c>
      <c r="N6" s="127">
        <v>0.08</v>
      </c>
      <c r="O6" s="127">
        <v>0.92</v>
      </c>
      <c r="P6" s="127">
        <v>0.79</v>
      </c>
      <c r="Q6" s="283">
        <v>0.92</v>
      </c>
      <c r="R6" s="284">
        <v>0</v>
      </c>
      <c r="S6" s="284">
        <v>0</v>
      </c>
      <c r="T6" s="285">
        <v>0</v>
      </c>
      <c r="U6" s="127" t="str">
        <f t="shared" si="0"/>
        <v>Normal</v>
      </c>
      <c r="V6" s="127" t="str">
        <f t="shared" si="1"/>
        <v>Normal</v>
      </c>
      <c r="W6" s="87">
        <f t="shared" si="2"/>
        <v>-0.12170385395537525</v>
      </c>
      <c r="X6" s="87">
        <f t="shared" si="3"/>
        <v>-6.1032863849765258E-2</v>
      </c>
      <c r="Y6" s="272"/>
      <c r="Z6" s="203" t="s">
        <v>33</v>
      </c>
      <c r="AA6" s="19">
        <f>AH4-1.5*AH6</f>
        <v>-0.29123089300080451</v>
      </c>
      <c r="AB6" s="19">
        <f>AH5+1.5*AH6</f>
        <v>0.32019308125502821</v>
      </c>
      <c r="AD6" s="68" t="s">
        <v>170</v>
      </c>
      <c r="AE6" s="148">
        <f>AE5-AE4</f>
        <v>0.22765270257433268</v>
      </c>
      <c r="AF6" s="247"/>
      <c r="AG6" s="68" t="s">
        <v>170</v>
      </c>
      <c r="AH6" s="148">
        <f>AH5-AH4</f>
        <v>0.15285599356395818</v>
      </c>
      <c r="AI6" s="272"/>
      <c r="AJ6" s="272"/>
      <c r="AK6" s="272"/>
      <c r="AM6" s="27">
        <f t="shared" ref="AM6:AM18" si="6">AM5+7</f>
        <v>44669</v>
      </c>
      <c r="AN6" s="1">
        <f t="shared" si="4"/>
        <v>2580</v>
      </c>
      <c r="AO6" s="100">
        <f t="shared" si="5"/>
        <v>2331</v>
      </c>
    </row>
    <row r="7" spans="1:50">
      <c r="A7" s="281">
        <v>44657</v>
      </c>
      <c r="B7" s="314">
        <f>IF(YEAR(Table9[[#This Row],[Date]]) = 2022, WEEKNUM(Table9[[#This Row],[Date]])-13, WEEKNUM(Table9[[#This Row],[Date]])+40)</f>
        <v>2</v>
      </c>
      <c r="C7" s="255" t="s">
        <v>50</v>
      </c>
      <c r="D7" s="65" t="s">
        <v>59</v>
      </c>
      <c r="E7" s="269">
        <v>448</v>
      </c>
      <c r="F7" s="269">
        <v>423</v>
      </c>
      <c r="G7" s="282">
        <v>-0.16728624535315986</v>
      </c>
      <c r="H7" s="282">
        <v>-0.11320754716981132</v>
      </c>
      <c r="I7" s="269">
        <v>2266</v>
      </c>
      <c r="J7" s="269">
        <v>1983</v>
      </c>
      <c r="K7" s="269">
        <v>2266</v>
      </c>
      <c r="L7" s="269">
        <v>1983</v>
      </c>
      <c r="M7" s="127">
        <v>0.85</v>
      </c>
      <c r="N7" s="127">
        <v>0.06</v>
      </c>
      <c r="O7" s="127">
        <v>0.94</v>
      </c>
      <c r="P7" s="127">
        <v>0.96</v>
      </c>
      <c r="Q7" s="283">
        <v>0.89</v>
      </c>
      <c r="R7" s="284">
        <v>0</v>
      </c>
      <c r="S7" s="284">
        <v>0</v>
      </c>
      <c r="T7" s="285">
        <v>0</v>
      </c>
      <c r="U7" s="127" t="str">
        <f t="shared" si="0"/>
        <v>Normal</v>
      </c>
      <c r="V7" s="127" t="str">
        <f t="shared" si="1"/>
        <v>Normal</v>
      </c>
      <c r="W7" s="87">
        <f t="shared" si="2"/>
        <v>-0.16728624535315986</v>
      </c>
      <c r="X7" s="87">
        <f t="shared" si="3"/>
        <v>-0.11320754716981132</v>
      </c>
      <c r="Y7" s="272"/>
      <c r="AF7" s="247"/>
      <c r="AG7" s="247"/>
      <c r="AH7" s="247"/>
      <c r="AI7" s="272"/>
      <c r="AJ7" s="272"/>
      <c r="AK7" s="272"/>
      <c r="AM7" s="27">
        <f t="shared" si="6"/>
        <v>44676</v>
      </c>
      <c r="AN7" s="1">
        <f t="shared" si="4"/>
        <v>2930</v>
      </c>
      <c r="AO7" s="100">
        <f t="shared" si="5"/>
        <v>2551</v>
      </c>
    </row>
    <row r="8" spans="1:50">
      <c r="A8" s="281">
        <v>44658</v>
      </c>
      <c r="B8" s="314">
        <f>IF(YEAR(Table9[[#This Row],[Date]]) = 2022, WEEKNUM(Table9[[#This Row],[Date]])-13, WEEKNUM(Table9[[#This Row],[Date]])+40)</f>
        <v>2</v>
      </c>
      <c r="C8" s="255" t="s">
        <v>51</v>
      </c>
      <c r="D8" s="65" t="s">
        <v>59</v>
      </c>
      <c r="E8" s="269">
        <v>349</v>
      </c>
      <c r="F8" s="269">
        <v>320</v>
      </c>
      <c r="G8" s="282">
        <v>-0.3500931098696462</v>
      </c>
      <c r="H8" s="282">
        <v>-0.34959349593495936</v>
      </c>
      <c r="I8" s="269">
        <v>2615</v>
      </c>
      <c r="J8" s="269">
        <v>2303</v>
      </c>
      <c r="K8" s="269">
        <v>2615</v>
      </c>
      <c r="L8" s="269">
        <v>2303</v>
      </c>
      <c r="M8" s="127">
        <v>0.79</v>
      </c>
      <c r="N8" s="127">
        <v>0.08</v>
      </c>
      <c r="O8" s="127">
        <v>0.92</v>
      </c>
      <c r="P8" s="127">
        <v>0.74</v>
      </c>
      <c r="Q8" s="283">
        <v>0.96</v>
      </c>
      <c r="R8" s="284">
        <v>0</v>
      </c>
      <c r="S8" s="284">
        <v>0</v>
      </c>
      <c r="T8" s="285">
        <v>0</v>
      </c>
      <c r="U8" s="127" t="str">
        <f t="shared" si="0"/>
        <v>Normal</v>
      </c>
      <c r="V8" s="127" t="str">
        <f t="shared" si="1"/>
        <v>Outlier</v>
      </c>
      <c r="W8" s="87">
        <f t="shared" si="2"/>
        <v>-0.3500931098696462</v>
      </c>
      <c r="X8" s="87">
        <f t="shared" si="3"/>
        <v>-0.34959349593495936</v>
      </c>
      <c r="Y8" s="272"/>
      <c r="Z8" s="325" t="s">
        <v>171</v>
      </c>
      <c r="AA8" s="327"/>
      <c r="AD8" s="325" t="s">
        <v>172</v>
      </c>
      <c r="AE8" s="327"/>
      <c r="AF8" s="247"/>
      <c r="AG8" s="247"/>
      <c r="AH8" s="247"/>
      <c r="AI8" s="272"/>
      <c r="AJ8" s="272"/>
      <c r="AK8" s="272"/>
      <c r="AM8" s="27">
        <f t="shared" si="6"/>
        <v>44683</v>
      </c>
      <c r="AN8" s="1">
        <f t="shared" si="4"/>
        <v>2363</v>
      </c>
      <c r="AO8" s="100">
        <f t="shared" si="5"/>
        <v>2162</v>
      </c>
    </row>
    <row r="9" spans="1:50">
      <c r="A9" s="281">
        <v>44659</v>
      </c>
      <c r="B9" s="314">
        <f>IF(YEAR(Table9[[#This Row],[Date]]) = 2022, WEEKNUM(Table9[[#This Row],[Date]])-13, WEEKNUM(Table9[[#This Row],[Date]])+40)</f>
        <v>2</v>
      </c>
      <c r="C9" s="255" t="s">
        <v>52</v>
      </c>
      <c r="D9" s="65" t="s">
        <v>59</v>
      </c>
      <c r="E9" s="269">
        <v>453</v>
      </c>
      <c r="F9" s="269">
        <v>441</v>
      </c>
      <c r="G9" s="282">
        <v>-0.14366729678638943</v>
      </c>
      <c r="H9" s="282">
        <v>1.6129032258064516E-2</v>
      </c>
      <c r="I9" s="269">
        <v>3068</v>
      </c>
      <c r="J9" s="269">
        <v>2744</v>
      </c>
      <c r="K9" s="269">
        <v>3068</v>
      </c>
      <c r="L9" s="269">
        <v>2744</v>
      </c>
      <c r="M9" s="127">
        <v>0.89</v>
      </c>
      <c r="N9" s="127">
        <v>0.03</v>
      </c>
      <c r="O9" s="127">
        <v>0.97</v>
      </c>
      <c r="P9" s="127">
        <v>1</v>
      </c>
      <c r="Q9" s="283">
        <v>0.92</v>
      </c>
      <c r="R9" s="284">
        <v>0</v>
      </c>
      <c r="S9" s="284">
        <v>0</v>
      </c>
      <c r="T9" s="285">
        <v>0</v>
      </c>
      <c r="U9" s="127" t="str">
        <f t="shared" si="0"/>
        <v>Normal</v>
      </c>
      <c r="V9" s="127" t="str">
        <f t="shared" si="1"/>
        <v>Normal</v>
      </c>
      <c r="W9" s="87">
        <f t="shared" si="2"/>
        <v>-0.14366729678638943</v>
      </c>
      <c r="X9" s="87">
        <f t="shared" si="3"/>
        <v>1.6129032258064516E-2</v>
      </c>
      <c r="Y9" s="272"/>
      <c r="Z9" s="1" t="s">
        <v>173</v>
      </c>
      <c r="AA9" s="67">
        <f>AVERAGEIF(G2:G367,"&lt;&gt;0")</f>
        <v>4.4841853321405972E-2</v>
      </c>
      <c r="AD9" s="1" t="s">
        <v>173</v>
      </c>
      <c r="AE9" s="67">
        <f>AVERAGEIF(H2:H367, "&lt;&gt;0")</f>
        <v>3.4005886614527088E-2</v>
      </c>
      <c r="AF9" s="247"/>
      <c r="AG9" s="247"/>
      <c r="AH9" s="247"/>
      <c r="AI9" s="272"/>
      <c r="AJ9" s="272"/>
      <c r="AK9" s="272"/>
      <c r="AM9" s="27">
        <f t="shared" si="6"/>
        <v>44690</v>
      </c>
      <c r="AN9" s="1">
        <f t="shared" si="4"/>
        <v>2810</v>
      </c>
      <c r="AO9" s="100">
        <f t="shared" si="5"/>
        <v>2561</v>
      </c>
    </row>
    <row r="10" spans="1:50">
      <c r="A10" s="281">
        <v>44660</v>
      </c>
      <c r="B10" s="314">
        <f>IF(YEAR(Table9[[#This Row],[Date]]) = 2022, WEEKNUM(Table9[[#This Row],[Date]])-13, WEEKNUM(Table9[[#This Row],[Date]])+40)</f>
        <v>2</v>
      </c>
      <c r="C10" s="255" t="s">
        <v>53</v>
      </c>
      <c r="D10" s="65" t="s">
        <v>59</v>
      </c>
      <c r="E10" s="269">
        <v>291</v>
      </c>
      <c r="F10" s="269">
        <v>281</v>
      </c>
      <c r="G10" s="282">
        <v>-0.28850855745721271</v>
      </c>
      <c r="H10" s="282">
        <v>-9.3548387096774197E-2</v>
      </c>
      <c r="I10" s="269">
        <v>3359</v>
      </c>
      <c r="J10" s="269">
        <v>3025</v>
      </c>
      <c r="K10" s="269">
        <v>3359</v>
      </c>
      <c r="L10" s="269">
        <v>3025</v>
      </c>
      <c r="M10" s="127">
        <v>0.87</v>
      </c>
      <c r="N10" s="127">
        <v>0.03</v>
      </c>
      <c r="O10" s="127">
        <v>0.97</v>
      </c>
      <c r="P10" s="127">
        <v>0.65</v>
      </c>
      <c r="Q10" s="283">
        <v>0.92</v>
      </c>
      <c r="R10" s="284">
        <v>0</v>
      </c>
      <c r="S10" s="284">
        <v>0</v>
      </c>
      <c r="T10" s="285">
        <v>0</v>
      </c>
      <c r="U10" s="127" t="str">
        <f t="shared" si="0"/>
        <v>Normal</v>
      </c>
      <c r="V10" s="127" t="str">
        <f t="shared" si="1"/>
        <v>Normal</v>
      </c>
      <c r="W10" s="87">
        <f t="shared" si="2"/>
        <v>-0.28850855745721271</v>
      </c>
      <c r="X10" s="87">
        <f t="shared" si="3"/>
        <v>-9.3548387096774197E-2</v>
      </c>
      <c r="Y10" s="272"/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  <c r="AI10" s="272"/>
      <c r="AJ10" s="272"/>
      <c r="AK10" s="272"/>
      <c r="AM10" s="27">
        <f t="shared" si="6"/>
        <v>44697</v>
      </c>
      <c r="AN10" s="1">
        <f t="shared" si="4"/>
        <v>3123</v>
      </c>
      <c r="AO10" s="100">
        <f t="shared" si="5"/>
        <v>2934</v>
      </c>
    </row>
    <row r="11" spans="1:50">
      <c r="A11" s="281">
        <v>44661</v>
      </c>
      <c r="B11" s="314">
        <f>IF(YEAR(Table9[[#This Row],[Date]]) = 2022, WEEKNUM(Table9[[#This Row],[Date]])-13, WEEKNUM(Table9[[#This Row],[Date]])+40)</f>
        <v>3</v>
      </c>
      <c r="C11" s="255" t="s">
        <v>47</v>
      </c>
      <c r="D11" s="65" t="s">
        <v>59</v>
      </c>
      <c r="E11" s="269">
        <v>0</v>
      </c>
      <c r="F11" s="269">
        <v>0</v>
      </c>
      <c r="G11" s="282">
        <v>0</v>
      </c>
      <c r="H11" s="282">
        <v>0</v>
      </c>
      <c r="I11" s="269">
        <v>0</v>
      </c>
      <c r="J11" s="269">
        <v>0</v>
      </c>
      <c r="K11" s="269">
        <v>0</v>
      </c>
      <c r="L11" s="269">
        <v>0</v>
      </c>
      <c r="M11" s="127">
        <v>0</v>
      </c>
      <c r="N11" s="127">
        <v>0</v>
      </c>
      <c r="O11" s="127">
        <v>0</v>
      </c>
      <c r="P11" s="127">
        <v>0</v>
      </c>
      <c r="Q11" s="283">
        <v>0</v>
      </c>
      <c r="R11" s="284">
        <v>0</v>
      </c>
      <c r="S11" s="284">
        <v>0</v>
      </c>
      <c r="T11" s="285">
        <v>0</v>
      </c>
      <c r="U11" s="127" t="str">
        <f t="shared" si="0"/>
        <v>Normal</v>
      </c>
      <c r="V11" s="127" t="str">
        <f t="shared" si="1"/>
        <v>Normal</v>
      </c>
      <c r="W11" s="87">
        <f t="shared" si="2"/>
        <v>0</v>
      </c>
      <c r="X11" s="87">
        <f t="shared" si="3"/>
        <v>0</v>
      </c>
      <c r="Y11" s="272"/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  <c r="AI11" s="272"/>
      <c r="AJ11" s="272"/>
      <c r="AK11" s="272"/>
      <c r="AM11" s="27">
        <f t="shared" si="6"/>
        <v>44704</v>
      </c>
      <c r="AN11" s="1">
        <f t="shared" si="4"/>
        <v>2538</v>
      </c>
      <c r="AO11" s="100">
        <f t="shared" si="5"/>
        <v>2402</v>
      </c>
    </row>
    <row r="12" spans="1:50">
      <c r="A12" s="281">
        <v>44662</v>
      </c>
      <c r="B12" s="314">
        <f>IF(YEAR(Table9[[#This Row],[Date]]) = 2022, WEEKNUM(Table9[[#This Row],[Date]])-13, WEEKNUM(Table9[[#This Row],[Date]])+40)</f>
        <v>3</v>
      </c>
      <c r="C12" s="255" t="s">
        <v>48</v>
      </c>
      <c r="D12" s="65" t="s">
        <v>59</v>
      </c>
      <c r="E12" s="269">
        <v>544</v>
      </c>
      <c r="F12" s="269">
        <v>511</v>
      </c>
      <c r="G12" s="282">
        <v>0.21700223713646533</v>
      </c>
      <c r="H12" s="282">
        <v>0.22836538461538461</v>
      </c>
      <c r="I12" s="269">
        <v>3903</v>
      </c>
      <c r="J12" s="269">
        <v>3536</v>
      </c>
      <c r="K12" s="269">
        <v>3903</v>
      </c>
      <c r="L12" s="269">
        <v>3536</v>
      </c>
      <c r="M12" s="127">
        <v>0.79</v>
      </c>
      <c r="N12" s="127">
        <v>0.06</v>
      </c>
      <c r="O12" s="127">
        <v>0.94</v>
      </c>
      <c r="P12" s="127">
        <v>0.7</v>
      </c>
      <c r="Q12" s="283">
        <v>0.96</v>
      </c>
      <c r="R12" s="284">
        <v>0</v>
      </c>
      <c r="S12" s="284">
        <v>0</v>
      </c>
      <c r="T12" s="285">
        <v>0</v>
      </c>
      <c r="U12" s="127" t="str">
        <f t="shared" si="0"/>
        <v>Normal</v>
      </c>
      <c r="V12" s="127" t="str">
        <f t="shared" si="1"/>
        <v>Normal</v>
      </c>
      <c r="W12" s="87">
        <f t="shared" si="2"/>
        <v>0.21700223713646533</v>
      </c>
      <c r="X12" s="87">
        <f t="shared" si="3"/>
        <v>0.22836538461538461</v>
      </c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M12" s="27">
        <f t="shared" si="6"/>
        <v>44711</v>
      </c>
      <c r="AN12" s="1">
        <f t="shared" si="4"/>
        <v>2284</v>
      </c>
      <c r="AO12" s="100">
        <f t="shared" si="5"/>
        <v>2202</v>
      </c>
    </row>
    <row r="13" spans="1:50">
      <c r="A13" s="281">
        <v>44663</v>
      </c>
      <c r="B13" s="314">
        <f>IF(YEAR(Table9[[#This Row],[Date]]) = 2022, WEEKNUM(Table9[[#This Row],[Date]])-13, WEEKNUM(Table9[[#This Row],[Date]])+40)</f>
        <v>3</v>
      </c>
      <c r="C13" s="255" t="s">
        <v>49</v>
      </c>
      <c r="D13" s="65" t="s">
        <v>59</v>
      </c>
      <c r="E13" s="269">
        <v>636</v>
      </c>
      <c r="F13" s="269">
        <v>580</v>
      </c>
      <c r="G13" s="282">
        <v>0.46882217090069284</v>
      </c>
      <c r="H13" s="282">
        <v>0.45</v>
      </c>
      <c r="I13" s="269">
        <v>4539</v>
      </c>
      <c r="J13" s="269">
        <v>4116</v>
      </c>
      <c r="K13" s="269">
        <v>4539</v>
      </c>
      <c r="L13" s="269">
        <v>4116</v>
      </c>
      <c r="M13" s="127">
        <v>0.74</v>
      </c>
      <c r="N13" s="127">
        <v>0.09</v>
      </c>
      <c r="O13" s="127">
        <v>0.91</v>
      </c>
      <c r="P13" s="127">
        <v>1.1499999999999999</v>
      </c>
      <c r="Q13" s="283">
        <v>0.97</v>
      </c>
      <c r="R13" s="284">
        <v>0</v>
      </c>
      <c r="S13" s="284">
        <v>0</v>
      </c>
      <c r="T13" s="285">
        <v>0</v>
      </c>
      <c r="U13" s="127" t="str">
        <f t="shared" si="0"/>
        <v>Outlier</v>
      </c>
      <c r="V13" s="127" t="str">
        <f t="shared" si="1"/>
        <v>Outlier</v>
      </c>
      <c r="W13" s="87">
        <f t="shared" si="2"/>
        <v>0.46882217090069284</v>
      </c>
      <c r="X13" s="87">
        <f t="shared" si="3"/>
        <v>0.45</v>
      </c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M13" s="27">
        <f t="shared" si="6"/>
        <v>44718</v>
      </c>
      <c r="AN13" s="1">
        <f t="shared" si="4"/>
        <v>2285</v>
      </c>
      <c r="AO13" s="100">
        <f t="shared" si="5"/>
        <v>2180</v>
      </c>
    </row>
    <row r="14" spans="1:50">
      <c r="A14" s="281">
        <v>44664</v>
      </c>
      <c r="B14" s="314">
        <f>IF(YEAR(Table9[[#This Row],[Date]]) = 2022, WEEKNUM(Table9[[#This Row],[Date]])-13, WEEKNUM(Table9[[#This Row],[Date]])+40)</f>
        <v>3</v>
      </c>
      <c r="C14" s="255" t="s">
        <v>50</v>
      </c>
      <c r="D14" s="65" t="s">
        <v>59</v>
      </c>
      <c r="E14" s="269">
        <v>515</v>
      </c>
      <c r="F14" s="269">
        <v>494</v>
      </c>
      <c r="G14" s="282">
        <v>0.14955357142857142</v>
      </c>
      <c r="H14" s="282">
        <v>0.16784869976359337</v>
      </c>
      <c r="I14" s="269">
        <v>5054</v>
      </c>
      <c r="J14" s="269">
        <v>4610</v>
      </c>
      <c r="K14" s="269">
        <v>5054</v>
      </c>
      <c r="L14" s="269">
        <v>4610</v>
      </c>
      <c r="M14" s="127">
        <v>0.87</v>
      </c>
      <c r="N14" s="127">
        <v>0.04</v>
      </c>
      <c r="O14" s="127">
        <v>0.96</v>
      </c>
      <c r="P14" s="127">
        <v>0.68</v>
      </c>
      <c r="Q14" s="283">
        <v>0.9</v>
      </c>
      <c r="R14" s="284">
        <v>0</v>
      </c>
      <c r="S14" s="284">
        <v>0</v>
      </c>
      <c r="T14" s="285">
        <v>0</v>
      </c>
      <c r="U14" s="127" t="str">
        <f t="shared" si="0"/>
        <v>Normal</v>
      </c>
      <c r="V14" s="127" t="str">
        <f t="shared" si="1"/>
        <v>Normal</v>
      </c>
      <c r="W14" s="87">
        <f t="shared" si="2"/>
        <v>0.14955357142857142</v>
      </c>
      <c r="X14" s="87">
        <f t="shared" si="3"/>
        <v>0.16784869976359337</v>
      </c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M14" s="27">
        <f t="shared" si="6"/>
        <v>44725</v>
      </c>
      <c r="AN14" s="1">
        <f t="shared" si="4"/>
        <v>2160</v>
      </c>
      <c r="AO14" s="100">
        <f t="shared" si="5"/>
        <v>2075</v>
      </c>
    </row>
    <row r="15" spans="1:50">
      <c r="A15" s="281">
        <v>44665</v>
      </c>
      <c r="B15" s="314">
        <f>IF(YEAR(Table9[[#This Row],[Date]]) = 2022, WEEKNUM(Table9[[#This Row],[Date]])-13, WEEKNUM(Table9[[#This Row],[Date]])+40)</f>
        <v>3</v>
      </c>
      <c r="C15" s="255" t="s">
        <v>51</v>
      </c>
      <c r="D15" s="65" t="s">
        <v>59</v>
      </c>
      <c r="E15" s="269">
        <v>463</v>
      </c>
      <c r="F15" s="269">
        <v>435</v>
      </c>
      <c r="G15" s="282">
        <v>0.32664756446991405</v>
      </c>
      <c r="H15" s="282">
        <v>0.359375</v>
      </c>
      <c r="I15" s="269">
        <v>5517</v>
      </c>
      <c r="J15" s="269">
        <v>5045</v>
      </c>
      <c r="K15" s="269">
        <v>5517</v>
      </c>
      <c r="L15" s="269">
        <v>5045</v>
      </c>
      <c r="M15" s="127">
        <v>0.84</v>
      </c>
      <c r="N15" s="127">
        <v>0.06</v>
      </c>
      <c r="O15" s="127">
        <v>0.94</v>
      </c>
      <c r="P15" s="127">
        <v>0.75</v>
      </c>
      <c r="Q15" s="283">
        <v>0.95</v>
      </c>
      <c r="R15" s="284">
        <v>0</v>
      </c>
      <c r="S15" s="284">
        <v>0</v>
      </c>
      <c r="T15" s="285">
        <v>0</v>
      </c>
      <c r="U15" s="127" t="str">
        <f t="shared" si="0"/>
        <v>Normal</v>
      </c>
      <c r="V15" s="127" t="str">
        <f t="shared" si="1"/>
        <v>Outlier</v>
      </c>
      <c r="W15" s="87">
        <f t="shared" si="2"/>
        <v>0.32664756446991405</v>
      </c>
      <c r="X15" s="87">
        <f t="shared" si="3"/>
        <v>0.359375</v>
      </c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M15" s="27">
        <f>AM14+7</f>
        <v>44732</v>
      </c>
      <c r="AN15" s="1">
        <f t="shared" si="4"/>
        <v>3021</v>
      </c>
      <c r="AO15" s="100">
        <f t="shared" si="5"/>
        <v>2748</v>
      </c>
    </row>
    <row r="16" spans="1:50">
      <c r="A16" s="281">
        <v>44666</v>
      </c>
      <c r="B16" s="314">
        <f>IF(YEAR(Table9[[#This Row],[Date]]) = 2022, WEEKNUM(Table9[[#This Row],[Date]])-13, WEEKNUM(Table9[[#This Row],[Date]])+40)</f>
        <v>3</v>
      </c>
      <c r="C16" s="255" t="s">
        <v>52</v>
      </c>
      <c r="D16" s="65" t="s">
        <v>59</v>
      </c>
      <c r="E16" s="269">
        <v>0</v>
      </c>
      <c r="F16" s="269">
        <v>0</v>
      </c>
      <c r="G16" s="282">
        <v>0</v>
      </c>
      <c r="H16" s="282">
        <v>0</v>
      </c>
      <c r="I16" s="269">
        <v>0</v>
      </c>
      <c r="J16" s="269">
        <v>0</v>
      </c>
      <c r="K16" s="269">
        <v>0</v>
      </c>
      <c r="L16" s="269">
        <v>0</v>
      </c>
      <c r="M16" s="127">
        <v>0</v>
      </c>
      <c r="N16" s="127">
        <v>0</v>
      </c>
      <c r="O16" s="127">
        <v>0</v>
      </c>
      <c r="P16" s="127">
        <v>0</v>
      </c>
      <c r="Q16" s="283">
        <v>0</v>
      </c>
      <c r="R16" s="284">
        <v>0</v>
      </c>
      <c r="S16" s="284">
        <v>0</v>
      </c>
      <c r="T16" s="285">
        <v>0</v>
      </c>
      <c r="U16" s="127" t="str">
        <f t="shared" si="0"/>
        <v>Normal</v>
      </c>
      <c r="V16" s="127" t="str">
        <f t="shared" si="1"/>
        <v>Normal</v>
      </c>
      <c r="W16" s="87">
        <f t="shared" si="2"/>
        <v>0</v>
      </c>
      <c r="X16" s="87">
        <f t="shared" si="3"/>
        <v>0</v>
      </c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M16" s="27">
        <f t="shared" si="6"/>
        <v>44739</v>
      </c>
      <c r="AN16" s="1">
        <f t="shared" si="4"/>
        <v>2787</v>
      </c>
      <c r="AO16" s="100">
        <f t="shared" si="5"/>
        <v>2525</v>
      </c>
    </row>
    <row r="17" spans="1:41">
      <c r="A17" s="281">
        <v>44667</v>
      </c>
      <c r="B17" s="314">
        <f>IF(YEAR(Table9[[#This Row],[Date]]) = 2022, WEEKNUM(Table9[[#This Row],[Date]])-13, WEEKNUM(Table9[[#This Row],[Date]])+40)</f>
        <v>3</v>
      </c>
      <c r="C17" s="255" t="s">
        <v>53</v>
      </c>
      <c r="D17" s="65" t="s">
        <v>59</v>
      </c>
      <c r="E17" s="269">
        <v>263</v>
      </c>
      <c r="F17" s="269">
        <v>234</v>
      </c>
      <c r="G17" s="282">
        <v>-9.6219931271477668E-2</v>
      </c>
      <c r="H17" s="282">
        <v>-0.16725978647686832</v>
      </c>
      <c r="I17" s="269">
        <v>5780</v>
      </c>
      <c r="J17" s="269">
        <v>5279</v>
      </c>
      <c r="K17" s="269">
        <v>5780</v>
      </c>
      <c r="L17" s="269">
        <v>5279</v>
      </c>
      <c r="M17" s="127">
        <v>0.74</v>
      </c>
      <c r="N17" s="127">
        <v>0.11</v>
      </c>
      <c r="O17" s="127">
        <v>0.89</v>
      </c>
      <c r="P17" s="127">
        <v>0.54</v>
      </c>
      <c r="Q17" s="283">
        <v>0.9</v>
      </c>
      <c r="R17" s="284">
        <v>0</v>
      </c>
      <c r="S17" s="284">
        <v>0</v>
      </c>
      <c r="T17" s="285">
        <v>0</v>
      </c>
      <c r="U17" s="127" t="str">
        <f t="shared" si="0"/>
        <v>Normal</v>
      </c>
      <c r="V17" s="127" t="str">
        <f t="shared" si="1"/>
        <v>Normal</v>
      </c>
      <c r="W17" s="87">
        <f t="shared" si="2"/>
        <v>-9.6219931271477668E-2</v>
      </c>
      <c r="X17" s="87">
        <f t="shared" si="3"/>
        <v>-0.16725978647686832</v>
      </c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M17" s="27">
        <f t="shared" si="6"/>
        <v>44746</v>
      </c>
      <c r="AN17" s="1">
        <f t="shared" si="4"/>
        <v>2109</v>
      </c>
      <c r="AO17" s="100">
        <f t="shared" si="5"/>
        <v>1661</v>
      </c>
    </row>
    <row r="18" spans="1:41">
      <c r="A18" s="281">
        <v>44668</v>
      </c>
      <c r="B18" s="314">
        <f>IF(YEAR(Table9[[#This Row],[Date]]) = 2022, WEEKNUM(Table9[[#This Row],[Date]])-13, WEEKNUM(Table9[[#This Row],[Date]])+40)</f>
        <v>4</v>
      </c>
      <c r="C18" s="255" t="s">
        <v>47</v>
      </c>
      <c r="D18" s="65" t="s">
        <v>59</v>
      </c>
      <c r="E18" s="269">
        <v>0</v>
      </c>
      <c r="F18" s="269">
        <v>0</v>
      </c>
      <c r="G18" s="282">
        <v>0</v>
      </c>
      <c r="H18" s="282">
        <v>0</v>
      </c>
      <c r="I18" s="269">
        <v>0</v>
      </c>
      <c r="J18" s="269">
        <v>0</v>
      </c>
      <c r="K18" s="269">
        <v>0</v>
      </c>
      <c r="L18" s="269">
        <v>0</v>
      </c>
      <c r="M18" s="127">
        <v>0</v>
      </c>
      <c r="N18" s="127">
        <v>0</v>
      </c>
      <c r="O18" s="127">
        <v>0</v>
      </c>
      <c r="P18" s="127">
        <v>0</v>
      </c>
      <c r="Q18" s="283">
        <v>0</v>
      </c>
      <c r="R18" s="284">
        <v>0</v>
      </c>
      <c r="S18" s="284">
        <v>0</v>
      </c>
      <c r="T18" s="285">
        <v>0</v>
      </c>
      <c r="U18" s="127" t="str">
        <f t="shared" si="0"/>
        <v>Normal</v>
      </c>
      <c r="V18" s="127" t="str">
        <f t="shared" si="1"/>
        <v>Normal</v>
      </c>
      <c r="W18" s="87">
        <f t="shared" si="2"/>
        <v>0</v>
      </c>
      <c r="X18" s="87">
        <f t="shared" si="3"/>
        <v>0</v>
      </c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M18" s="27">
        <f t="shared" si="6"/>
        <v>44753</v>
      </c>
      <c r="AN18" s="1">
        <f t="shared" si="4"/>
        <v>2404</v>
      </c>
      <c r="AO18" s="100">
        <f t="shared" si="5"/>
        <v>2134</v>
      </c>
    </row>
    <row r="19" spans="1:41">
      <c r="A19" s="281">
        <v>44669</v>
      </c>
      <c r="B19" s="314">
        <f>IF(YEAR(Table9[[#This Row],[Date]]) = 2022, WEEKNUM(Table9[[#This Row],[Date]])-13, WEEKNUM(Table9[[#This Row],[Date]])+40)</f>
        <v>4</v>
      </c>
      <c r="C19" s="255" t="s">
        <v>48</v>
      </c>
      <c r="D19" s="65" t="s">
        <v>59</v>
      </c>
      <c r="E19" s="269">
        <v>0</v>
      </c>
      <c r="F19" s="269">
        <v>0</v>
      </c>
      <c r="G19" s="282">
        <v>0</v>
      </c>
      <c r="H19" s="282">
        <v>0</v>
      </c>
      <c r="I19" s="269">
        <v>0</v>
      </c>
      <c r="J19" s="269">
        <v>0</v>
      </c>
      <c r="K19" s="269">
        <v>0</v>
      </c>
      <c r="L19" s="269">
        <v>0</v>
      </c>
      <c r="M19" s="127">
        <v>0</v>
      </c>
      <c r="N19" s="127">
        <v>0</v>
      </c>
      <c r="O19" s="127">
        <v>0</v>
      </c>
      <c r="P19" s="127">
        <v>0</v>
      </c>
      <c r="Q19" s="283">
        <v>0</v>
      </c>
      <c r="R19" s="284">
        <v>0</v>
      </c>
      <c r="S19" s="284">
        <v>0</v>
      </c>
      <c r="T19" s="285">
        <v>0</v>
      </c>
      <c r="U19" s="127" t="str">
        <f t="shared" si="0"/>
        <v>Normal</v>
      </c>
      <c r="V19" s="127" t="str">
        <f t="shared" si="1"/>
        <v>Normal</v>
      </c>
      <c r="W19" s="87">
        <f t="shared" si="2"/>
        <v>0</v>
      </c>
      <c r="X19" s="87">
        <f t="shared" si="3"/>
        <v>0</v>
      </c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M19" s="33">
        <f t="shared" ref="AM19:AM56" si="7">AM18+7</f>
        <v>44760</v>
      </c>
      <c r="AN19" s="38" cm="1">
        <f t="array" ref="AN19">SUMIFS(calls_off_BAR,period_BAR,"&gt;="&amp;AM19,period_BAR,"&lt;"&amp;AM20)</f>
        <v>3228</v>
      </c>
      <c r="AO19" s="98" cm="1">
        <f t="array" ref="AO19">SUMIFS(calls_ans_BAR,period_BAR,"&gt;="&amp;AM19,period_BAR,"&lt;"&amp;AM20)</f>
        <v>2728</v>
      </c>
    </row>
    <row r="20" spans="1:41">
      <c r="A20" s="281">
        <v>44670</v>
      </c>
      <c r="B20" s="314">
        <f>IF(YEAR(Table9[[#This Row],[Date]]) = 2022, WEEKNUM(Table9[[#This Row],[Date]])-13, WEEKNUM(Table9[[#This Row],[Date]])+40)</f>
        <v>4</v>
      </c>
      <c r="C20" s="255" t="s">
        <v>49</v>
      </c>
      <c r="D20" s="65" t="s">
        <v>59</v>
      </c>
      <c r="E20" s="269">
        <v>630</v>
      </c>
      <c r="F20" s="269">
        <v>580</v>
      </c>
      <c r="G20" s="282">
        <v>-9.433962264150943E-3</v>
      </c>
      <c r="H20" s="282">
        <v>0</v>
      </c>
      <c r="I20" s="269">
        <v>6410</v>
      </c>
      <c r="J20" s="269">
        <v>5859</v>
      </c>
      <c r="K20" s="269">
        <v>6410</v>
      </c>
      <c r="L20" s="269">
        <v>5859</v>
      </c>
      <c r="M20" s="127">
        <v>0.78</v>
      </c>
      <c r="N20" s="127">
        <v>0.08</v>
      </c>
      <c r="O20" s="127">
        <v>0.92</v>
      </c>
      <c r="P20" s="127">
        <v>0.67</v>
      </c>
      <c r="Q20" s="283">
        <v>0.96</v>
      </c>
      <c r="R20" s="284">
        <v>0</v>
      </c>
      <c r="S20" s="284">
        <v>0</v>
      </c>
      <c r="T20" s="285">
        <v>0</v>
      </c>
      <c r="U20" s="127" t="str">
        <f t="shared" si="0"/>
        <v>Normal</v>
      </c>
      <c r="V20" s="127" t="str">
        <f t="shared" si="1"/>
        <v>Normal</v>
      </c>
      <c r="W20" s="87">
        <f t="shared" si="2"/>
        <v>-9.433962264150943E-3</v>
      </c>
      <c r="X20" s="87">
        <f t="shared" si="3"/>
        <v>0</v>
      </c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M20" s="33">
        <f t="shared" si="7"/>
        <v>44767</v>
      </c>
      <c r="AN20" s="38" cm="1">
        <f t="array" ref="AN20">SUMIFS(calls_off_BAR,period_BAR,"&gt;="&amp;AM20,period_BAR,"&lt;"&amp;AM21)</f>
        <v>3338</v>
      </c>
      <c r="AO20" s="98" cm="1">
        <f t="array" ref="AO20">SUMIFS(calls_ans_BAR,period_BAR,"&gt;="&amp;AM20,period_BAR,"&lt;"&amp;AM21)</f>
        <v>2533</v>
      </c>
    </row>
    <row r="21" spans="1:41">
      <c r="A21" s="281">
        <v>44671</v>
      </c>
      <c r="B21" s="314">
        <f>IF(YEAR(Table9[[#This Row],[Date]]) = 2022, WEEKNUM(Table9[[#This Row],[Date]])-13, WEEKNUM(Table9[[#This Row],[Date]])+40)</f>
        <v>4</v>
      </c>
      <c r="C21" s="255" t="s">
        <v>50</v>
      </c>
      <c r="D21" s="65" t="s">
        <v>59</v>
      </c>
      <c r="E21" s="269">
        <v>525</v>
      </c>
      <c r="F21" s="269">
        <v>502</v>
      </c>
      <c r="G21" s="282">
        <v>1.9417475728155338E-2</v>
      </c>
      <c r="H21" s="282">
        <v>1.6194331983805668E-2</v>
      </c>
      <c r="I21" s="269">
        <v>6935</v>
      </c>
      <c r="J21" s="269">
        <v>6361</v>
      </c>
      <c r="K21" s="269">
        <v>6935</v>
      </c>
      <c r="L21" s="269">
        <v>6361</v>
      </c>
      <c r="M21" s="127">
        <v>0.87</v>
      </c>
      <c r="N21" s="127">
        <v>0.04</v>
      </c>
      <c r="O21" s="127">
        <v>0.96</v>
      </c>
      <c r="P21" s="127">
        <v>0.57999999999999996</v>
      </c>
      <c r="Q21" s="283">
        <v>0.97</v>
      </c>
      <c r="R21" s="284">
        <v>0</v>
      </c>
      <c r="S21" s="284">
        <v>0</v>
      </c>
      <c r="T21" s="285">
        <v>0</v>
      </c>
      <c r="U21" s="127" t="str">
        <f t="shared" si="0"/>
        <v>Normal</v>
      </c>
      <c r="V21" s="127" t="str">
        <f t="shared" si="1"/>
        <v>Normal</v>
      </c>
      <c r="W21" s="87">
        <f t="shared" si="2"/>
        <v>1.9417475728155338E-2</v>
      </c>
      <c r="X21" s="87">
        <f t="shared" si="3"/>
        <v>1.6194331983805668E-2</v>
      </c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M21" s="33">
        <f t="shared" si="7"/>
        <v>44774</v>
      </c>
      <c r="AN21" s="1" cm="1">
        <f t="array" ref="AN21">SUMIFS(calls_off_BAR,period_BAR,"&gt;="&amp;AM21,period_BAR,"&lt;"&amp;AM22)</f>
        <v>1392</v>
      </c>
      <c r="AO21" s="100" cm="1">
        <f t="array" ref="AO21">SUMIFS(calls_ans_BAR,period_BAR,"&gt;="&amp;AM21,period_BAR,"&lt;"&amp;AM22)</f>
        <v>1026</v>
      </c>
    </row>
    <row r="22" spans="1:41">
      <c r="A22" s="281">
        <v>44672</v>
      </c>
      <c r="B22" s="314">
        <f>IF(YEAR(Table9[[#This Row],[Date]]) = 2022, WEEKNUM(Table9[[#This Row],[Date]])-13, WEEKNUM(Table9[[#This Row],[Date]])+40)</f>
        <v>4</v>
      </c>
      <c r="C22" s="255" t="s">
        <v>51</v>
      </c>
      <c r="D22" s="65" t="s">
        <v>59</v>
      </c>
      <c r="E22" s="269">
        <v>501</v>
      </c>
      <c r="F22" s="269">
        <v>488</v>
      </c>
      <c r="G22" s="282">
        <v>8.2073434125269976E-2</v>
      </c>
      <c r="H22" s="282">
        <v>0.12183908045977011</v>
      </c>
      <c r="I22" s="269">
        <v>7436</v>
      </c>
      <c r="J22" s="269">
        <v>6849</v>
      </c>
      <c r="K22" s="269">
        <v>7436</v>
      </c>
      <c r="L22" s="269">
        <v>6849</v>
      </c>
      <c r="M22" s="127">
        <v>0.9</v>
      </c>
      <c r="N22" s="127">
        <v>0.03</v>
      </c>
      <c r="O22" s="127">
        <v>0.97</v>
      </c>
      <c r="P22" s="127">
        <v>0.56000000000000005</v>
      </c>
      <c r="Q22" s="283">
        <v>0.92</v>
      </c>
      <c r="R22" s="284">
        <v>0</v>
      </c>
      <c r="S22" s="284">
        <v>0</v>
      </c>
      <c r="T22" s="285">
        <v>0</v>
      </c>
      <c r="U22" s="127" t="str">
        <f t="shared" si="0"/>
        <v>Normal</v>
      </c>
      <c r="V22" s="127" t="str">
        <f t="shared" si="1"/>
        <v>Normal</v>
      </c>
      <c r="W22" s="87">
        <f t="shared" si="2"/>
        <v>8.2073434125269976E-2</v>
      </c>
      <c r="X22" s="87">
        <f t="shared" si="3"/>
        <v>0.12183908045977011</v>
      </c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M22" s="33">
        <f t="shared" si="7"/>
        <v>44781</v>
      </c>
      <c r="AN22" s="1" cm="1">
        <f t="array" ref="AN22">SUMIFS(calls_off_BAR,period_BAR,"&gt;="&amp;AM22,period_BAR,"&lt;"&amp;AM23)</f>
        <v>2818</v>
      </c>
      <c r="AO22" s="100" cm="1">
        <f t="array" ref="AO22">SUMIFS(calls_ans_BAR,period_BAR,"&gt;="&amp;AM22,period_BAR,"&lt;"&amp;AM23)</f>
        <v>2275</v>
      </c>
    </row>
    <row r="23" spans="1:41">
      <c r="A23" s="281">
        <v>44673</v>
      </c>
      <c r="B23" s="314">
        <f>IF(YEAR(Table9[[#This Row],[Date]]) = 2022, WEEKNUM(Table9[[#This Row],[Date]])-13, WEEKNUM(Table9[[#This Row],[Date]])+40)</f>
        <v>4</v>
      </c>
      <c r="C23" s="255" t="s">
        <v>52</v>
      </c>
      <c r="D23" s="65" t="s">
        <v>59</v>
      </c>
      <c r="E23" s="269">
        <v>528</v>
      </c>
      <c r="F23" s="269">
        <v>491</v>
      </c>
      <c r="G23" s="282">
        <v>0</v>
      </c>
      <c r="H23" s="282">
        <v>0</v>
      </c>
      <c r="I23" s="269">
        <v>7964</v>
      </c>
      <c r="J23" s="269">
        <v>7340</v>
      </c>
      <c r="K23" s="269">
        <v>7964</v>
      </c>
      <c r="L23" s="269">
        <v>7340</v>
      </c>
      <c r="M23" s="127">
        <v>0.78</v>
      </c>
      <c r="N23" s="127">
        <v>7.0000000000000007E-2</v>
      </c>
      <c r="O23" s="127">
        <v>0.93</v>
      </c>
      <c r="P23" s="127">
        <v>0.68</v>
      </c>
      <c r="Q23" s="283">
        <v>0.94</v>
      </c>
      <c r="R23" s="284">
        <v>0</v>
      </c>
      <c r="S23" s="284">
        <v>0</v>
      </c>
      <c r="T23" s="285">
        <v>0</v>
      </c>
      <c r="U23" s="127" t="str">
        <f t="shared" si="0"/>
        <v>Normal</v>
      </c>
      <c r="V23" s="127" t="str">
        <f t="shared" si="1"/>
        <v>Normal</v>
      </c>
      <c r="W23" s="87">
        <f t="shared" si="2"/>
        <v>0</v>
      </c>
      <c r="X23" s="87">
        <f t="shared" si="3"/>
        <v>0</v>
      </c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M23" s="33">
        <f t="shared" si="7"/>
        <v>44788</v>
      </c>
      <c r="AN23" s="1" cm="1">
        <f t="array" ref="AN23">SUMIFS(calls_off_BAR,period_BAR,"&gt;="&amp;AM23,period_BAR,"&lt;"&amp;AM24)</f>
        <v>3027</v>
      </c>
      <c r="AO23" s="100" cm="1">
        <f t="array" ref="AO23">SUMIFS(calls_ans_BAR,period_BAR,"&gt;="&amp;AM23,period_BAR,"&lt;"&amp;AM24)</f>
        <v>2272</v>
      </c>
    </row>
    <row r="24" spans="1:41">
      <c r="A24" s="281">
        <v>44674</v>
      </c>
      <c r="B24" s="314">
        <f>IF(YEAR(Table9[[#This Row],[Date]]) = 2022, WEEKNUM(Table9[[#This Row],[Date]])-13, WEEKNUM(Table9[[#This Row],[Date]])+40)</f>
        <v>4</v>
      </c>
      <c r="C24" s="255" t="s">
        <v>53</v>
      </c>
      <c r="D24" s="65" t="s">
        <v>59</v>
      </c>
      <c r="E24" s="269">
        <v>396</v>
      </c>
      <c r="F24" s="269">
        <v>270</v>
      </c>
      <c r="G24" s="282">
        <v>0.50570342205323193</v>
      </c>
      <c r="H24" s="282">
        <v>0.15384615384615385</v>
      </c>
      <c r="I24" s="269">
        <v>8360</v>
      </c>
      <c r="J24" s="269">
        <v>7610</v>
      </c>
      <c r="K24" s="269">
        <v>8360</v>
      </c>
      <c r="L24" s="269">
        <v>7610</v>
      </c>
      <c r="M24" s="127">
        <v>0.35</v>
      </c>
      <c r="N24" s="127">
        <v>0.32</v>
      </c>
      <c r="O24" s="127">
        <v>0.68</v>
      </c>
      <c r="P24" s="127">
        <v>0.93</v>
      </c>
      <c r="Q24" s="283">
        <v>0.96</v>
      </c>
      <c r="R24" s="284">
        <v>0</v>
      </c>
      <c r="S24" s="284">
        <v>0</v>
      </c>
      <c r="T24" s="285">
        <v>0</v>
      </c>
      <c r="U24" s="127" t="str">
        <f t="shared" si="0"/>
        <v>Outlier</v>
      </c>
      <c r="V24" s="127" t="str">
        <f t="shared" si="1"/>
        <v>Normal</v>
      </c>
      <c r="W24" s="87">
        <f t="shared" si="2"/>
        <v>0.50570342205323193</v>
      </c>
      <c r="X24" s="87">
        <f t="shared" si="3"/>
        <v>0.15384615384615385</v>
      </c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M24" s="33">
        <f t="shared" si="7"/>
        <v>44795</v>
      </c>
      <c r="AN24" s="1" cm="1">
        <f t="array" ref="AN24">SUMIFS(calls_off_BAR,period_BAR,"&gt;="&amp;AM24,period_BAR,"&lt;"&amp;AM25)</f>
        <v>3694</v>
      </c>
      <c r="AO24" s="100" cm="1">
        <f t="array" ref="AO24">SUMIFS(calls_ans_BAR,period_BAR,"&gt;="&amp;AM24,period_BAR,"&lt;"&amp;AM25)</f>
        <v>2854</v>
      </c>
    </row>
    <row r="25" spans="1:41">
      <c r="A25" s="281">
        <v>44675</v>
      </c>
      <c r="B25" s="314">
        <f>IF(YEAR(Table9[[#This Row],[Date]]) = 2022, WEEKNUM(Table9[[#This Row],[Date]])-13, WEEKNUM(Table9[[#This Row],[Date]])+40)</f>
        <v>5</v>
      </c>
      <c r="C25" s="255" t="s">
        <v>47</v>
      </c>
      <c r="D25" s="65" t="s">
        <v>59</v>
      </c>
      <c r="E25" s="269">
        <v>0</v>
      </c>
      <c r="F25" s="269">
        <v>0</v>
      </c>
      <c r="G25" s="282">
        <v>0</v>
      </c>
      <c r="H25" s="282">
        <v>0</v>
      </c>
      <c r="I25" s="269">
        <v>0</v>
      </c>
      <c r="J25" s="269">
        <v>0</v>
      </c>
      <c r="K25" s="269">
        <v>0</v>
      </c>
      <c r="L25" s="269">
        <v>0</v>
      </c>
      <c r="M25" s="127">
        <v>0</v>
      </c>
      <c r="N25" s="127">
        <v>0</v>
      </c>
      <c r="O25" s="127">
        <v>0</v>
      </c>
      <c r="P25" s="127">
        <v>0</v>
      </c>
      <c r="Q25" s="283">
        <v>0</v>
      </c>
      <c r="R25" s="284">
        <v>0</v>
      </c>
      <c r="S25" s="284">
        <v>0</v>
      </c>
      <c r="T25" s="285">
        <v>0</v>
      </c>
      <c r="U25" s="127" t="str">
        <f t="shared" si="0"/>
        <v>Normal</v>
      </c>
      <c r="V25" s="127" t="str">
        <f t="shared" si="1"/>
        <v>Normal</v>
      </c>
      <c r="W25" s="87">
        <f t="shared" si="2"/>
        <v>0</v>
      </c>
      <c r="X25" s="87">
        <f t="shared" si="3"/>
        <v>0</v>
      </c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M25" s="33">
        <f t="shared" si="7"/>
        <v>44802</v>
      </c>
      <c r="AN25" s="1" cm="1">
        <f t="array" ref="AN25">SUMIFS(calls_off_BAR,period_BAR,"&gt;="&amp;AM25,period_BAR,"&lt;"&amp;AM26)</f>
        <v>4172</v>
      </c>
      <c r="AO25" s="100" cm="1">
        <f t="array" ref="AO25">SUMIFS(calls_ans_BAR,period_BAR,"&gt;="&amp;AM25,period_BAR,"&lt;"&amp;AM26)</f>
        <v>2014</v>
      </c>
    </row>
    <row r="26" spans="1:41">
      <c r="A26" s="281">
        <v>44676</v>
      </c>
      <c r="B26" s="314">
        <f>IF(YEAR(Table9[[#This Row],[Date]]) = 2022, WEEKNUM(Table9[[#This Row],[Date]])-13, WEEKNUM(Table9[[#This Row],[Date]])+40)</f>
        <v>5</v>
      </c>
      <c r="C26" s="255" t="s">
        <v>48</v>
      </c>
      <c r="D26" s="65" t="s">
        <v>59</v>
      </c>
      <c r="E26" s="269">
        <v>670</v>
      </c>
      <c r="F26" s="269">
        <v>602</v>
      </c>
      <c r="G26" s="282">
        <v>0</v>
      </c>
      <c r="H26" s="282">
        <v>0</v>
      </c>
      <c r="I26" s="269">
        <v>9030</v>
      </c>
      <c r="J26" s="269">
        <v>8212</v>
      </c>
      <c r="K26" s="269">
        <v>9030</v>
      </c>
      <c r="L26" s="269">
        <v>8212</v>
      </c>
      <c r="M26" s="127">
        <v>0.68</v>
      </c>
      <c r="N26" s="127">
        <v>0.1</v>
      </c>
      <c r="O26" s="127">
        <v>0.9</v>
      </c>
      <c r="P26" s="127">
        <v>0.69</v>
      </c>
      <c r="Q26" s="283">
        <v>0.98</v>
      </c>
      <c r="R26" s="284">
        <v>0</v>
      </c>
      <c r="S26" s="284">
        <v>0</v>
      </c>
      <c r="T26" s="285">
        <v>0</v>
      </c>
      <c r="U26" s="127" t="str">
        <f t="shared" si="0"/>
        <v>Normal</v>
      </c>
      <c r="V26" s="127" t="str">
        <f t="shared" si="1"/>
        <v>Normal</v>
      </c>
      <c r="W26" s="87">
        <f t="shared" si="2"/>
        <v>0</v>
      </c>
      <c r="X26" s="87">
        <f t="shared" si="3"/>
        <v>0</v>
      </c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M26" s="33">
        <f t="shared" si="7"/>
        <v>44809</v>
      </c>
      <c r="AN26" s="1" cm="1">
        <f t="array" ref="AN26">SUMIFS(calls_off_BAR,period_BAR,"&gt;="&amp;AM26,period_BAR,"&lt;"&amp;AM27)</f>
        <v>3787</v>
      </c>
      <c r="AO26" s="100" cm="1">
        <f t="array" ref="AO26">SUMIFS(calls_ans_BAR,period_BAR,"&gt;="&amp;AM26,period_BAR,"&lt;"&amp;AM27)</f>
        <v>2158</v>
      </c>
    </row>
    <row r="27" spans="1:41">
      <c r="A27" s="281">
        <v>44677</v>
      </c>
      <c r="B27" s="314">
        <f>IF(YEAR(Table9[[#This Row],[Date]]) = 2022, WEEKNUM(Table9[[#This Row],[Date]])-13, WEEKNUM(Table9[[#This Row],[Date]])+40)</f>
        <v>5</v>
      </c>
      <c r="C27" s="255" t="s">
        <v>49</v>
      </c>
      <c r="D27" s="65" t="s">
        <v>59</v>
      </c>
      <c r="E27" s="269">
        <v>562</v>
      </c>
      <c r="F27" s="269">
        <v>546</v>
      </c>
      <c r="G27" s="282">
        <v>-0.10793650793650794</v>
      </c>
      <c r="H27" s="282">
        <v>-5.8620689655172413E-2</v>
      </c>
      <c r="I27" s="269">
        <v>9592</v>
      </c>
      <c r="J27" s="269">
        <v>8758</v>
      </c>
      <c r="K27" s="269">
        <v>9592</v>
      </c>
      <c r="L27" s="269">
        <v>8758</v>
      </c>
      <c r="M27" s="127">
        <v>0.92</v>
      </c>
      <c r="N27" s="127">
        <v>0.03</v>
      </c>
      <c r="O27" s="127">
        <v>0.97</v>
      </c>
      <c r="P27" s="127">
        <v>0.75</v>
      </c>
      <c r="Q27" s="283">
        <v>0.96</v>
      </c>
      <c r="R27" s="284">
        <v>0</v>
      </c>
      <c r="S27" s="284">
        <v>0</v>
      </c>
      <c r="T27" s="285">
        <v>0</v>
      </c>
      <c r="U27" s="127" t="str">
        <f t="shared" si="0"/>
        <v>Normal</v>
      </c>
      <c r="V27" s="127" t="str">
        <f t="shared" si="1"/>
        <v>Normal</v>
      </c>
      <c r="W27" s="87">
        <f t="shared" si="2"/>
        <v>-0.10793650793650794</v>
      </c>
      <c r="X27" s="87">
        <f t="shared" si="3"/>
        <v>-5.8620689655172413E-2</v>
      </c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M27" s="33">
        <f t="shared" si="7"/>
        <v>44816</v>
      </c>
      <c r="AN27" s="1" cm="1">
        <f t="array" ref="AN27">SUMIFS(calls_off_BAR,period_BAR,"&gt;="&amp;AM27,period_BAR,"&lt;"&amp;AM28)</f>
        <v>3183</v>
      </c>
      <c r="AO27" s="100" cm="1">
        <f t="array" ref="AO27">SUMIFS(calls_ans_BAR,period_BAR,"&gt;="&amp;AM27,period_BAR,"&lt;"&amp;AM28)</f>
        <v>2084</v>
      </c>
    </row>
    <row r="28" spans="1:41">
      <c r="A28" s="281">
        <v>44678</v>
      </c>
      <c r="B28" s="314">
        <f>IF(YEAR(Table9[[#This Row],[Date]]) = 2022, WEEKNUM(Table9[[#This Row],[Date]])-13, WEEKNUM(Table9[[#This Row],[Date]])+40)</f>
        <v>5</v>
      </c>
      <c r="C28" s="255" t="s">
        <v>50</v>
      </c>
      <c r="D28" s="65" t="s">
        <v>59</v>
      </c>
      <c r="E28" s="269">
        <v>591</v>
      </c>
      <c r="F28" s="269">
        <v>556</v>
      </c>
      <c r="G28" s="282">
        <v>0.12571428571428572</v>
      </c>
      <c r="H28" s="282">
        <v>0.10756972111553785</v>
      </c>
      <c r="I28" s="269">
        <v>10183</v>
      </c>
      <c r="J28" s="269">
        <v>9314</v>
      </c>
      <c r="K28" s="269">
        <v>10183</v>
      </c>
      <c r="L28" s="269">
        <v>9314</v>
      </c>
      <c r="M28" s="127">
        <v>0.85</v>
      </c>
      <c r="N28" s="127">
        <v>0.06</v>
      </c>
      <c r="O28" s="127">
        <v>0.94</v>
      </c>
      <c r="P28" s="127">
        <v>0.77</v>
      </c>
      <c r="Q28" s="283">
        <v>0.96</v>
      </c>
      <c r="R28" s="284">
        <v>0</v>
      </c>
      <c r="S28" s="284">
        <v>0</v>
      </c>
      <c r="T28" s="285">
        <v>0</v>
      </c>
      <c r="U28" s="127" t="str">
        <f t="shared" si="0"/>
        <v>Normal</v>
      </c>
      <c r="V28" s="127" t="str">
        <f t="shared" si="1"/>
        <v>Normal</v>
      </c>
      <c r="W28" s="87">
        <f t="shared" si="2"/>
        <v>0.12571428571428572</v>
      </c>
      <c r="X28" s="87">
        <f t="shared" si="3"/>
        <v>0.10756972111553785</v>
      </c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M28" s="33">
        <f t="shared" si="7"/>
        <v>44823</v>
      </c>
      <c r="AN28" s="1">
        <f>SUMIFS(calls_off_BAR,period_BAR,"&gt;="&amp;AM28,period_BAR,"&lt;"&amp;AM29)</f>
        <v>2661</v>
      </c>
      <c r="AO28" s="100">
        <f>SUMIFS(calls_ans_BAR,period_BAR,"&gt;="&amp;AM28,period_BAR,"&lt;"&amp;AM29)</f>
        <v>1928</v>
      </c>
    </row>
    <row r="29" spans="1:41" ht="14" customHeight="1">
      <c r="A29" s="281">
        <v>44679</v>
      </c>
      <c r="B29" s="314">
        <f>IF(YEAR(Table9[[#This Row],[Date]]) = 2022, WEEKNUM(Table9[[#This Row],[Date]])-13, WEEKNUM(Table9[[#This Row],[Date]])+40)</f>
        <v>5</v>
      </c>
      <c r="C29" s="255" t="s">
        <v>51</v>
      </c>
      <c r="D29" s="65" t="s">
        <v>59</v>
      </c>
      <c r="E29" s="269">
        <v>0</v>
      </c>
      <c r="F29" s="269">
        <v>0</v>
      </c>
      <c r="G29" s="282">
        <v>0</v>
      </c>
      <c r="H29" s="282">
        <v>0</v>
      </c>
      <c r="I29" s="269">
        <v>0</v>
      </c>
      <c r="J29" s="269">
        <v>0</v>
      </c>
      <c r="K29" s="269">
        <v>0</v>
      </c>
      <c r="L29" s="269">
        <v>0</v>
      </c>
      <c r="M29" s="127">
        <v>0</v>
      </c>
      <c r="N29" s="127">
        <v>0</v>
      </c>
      <c r="O29" s="127">
        <v>0</v>
      </c>
      <c r="P29" s="127">
        <v>0</v>
      </c>
      <c r="Q29" s="283">
        <v>0</v>
      </c>
      <c r="R29" s="284">
        <v>0</v>
      </c>
      <c r="S29" s="284">
        <v>0</v>
      </c>
      <c r="T29" s="285">
        <v>0</v>
      </c>
      <c r="U29" s="127" t="str">
        <f t="shared" si="0"/>
        <v>Normal</v>
      </c>
      <c r="V29" s="127" t="str">
        <f t="shared" si="1"/>
        <v>Normal</v>
      </c>
      <c r="W29" s="87">
        <f t="shared" si="2"/>
        <v>0</v>
      </c>
      <c r="X29" s="87">
        <f t="shared" si="3"/>
        <v>0</v>
      </c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M29" s="33">
        <f t="shared" si="7"/>
        <v>44830</v>
      </c>
      <c r="AN29" s="1">
        <f>SUMIFS(calls_off_BAR,period_BAR,"&gt;="&amp;AM29,period_BAR,"&lt;"&amp;AM30)</f>
        <v>3740</v>
      </c>
      <c r="AO29" s="100">
        <f>SUMIFS(calls_ans_BAR,period_BAR,"&gt;="&amp;AM29,period_BAR,"&lt;"&amp;AM30)</f>
        <v>2056</v>
      </c>
    </row>
    <row r="30" spans="1:41" ht="14" customHeight="1">
      <c r="A30" s="281">
        <v>44680</v>
      </c>
      <c r="B30" s="314">
        <f>IF(YEAR(Table9[[#This Row],[Date]]) = 2022, WEEKNUM(Table9[[#This Row],[Date]])-13, WEEKNUM(Table9[[#This Row],[Date]])+40)</f>
        <v>5</v>
      </c>
      <c r="C30" s="255" t="s">
        <v>52</v>
      </c>
      <c r="D30" s="65" t="s">
        <v>59</v>
      </c>
      <c r="E30" s="269">
        <v>792</v>
      </c>
      <c r="F30" s="269">
        <v>588</v>
      </c>
      <c r="G30" s="282">
        <v>0.5</v>
      </c>
      <c r="H30" s="282">
        <v>0.19755600814663951</v>
      </c>
      <c r="I30" s="269">
        <v>10975</v>
      </c>
      <c r="J30" s="269">
        <v>9902</v>
      </c>
      <c r="K30" s="269">
        <v>10975</v>
      </c>
      <c r="L30" s="269">
        <v>9902</v>
      </c>
      <c r="M30" s="127">
        <v>0.4</v>
      </c>
      <c r="N30" s="127">
        <v>0.26</v>
      </c>
      <c r="O30" s="127">
        <v>0.74</v>
      </c>
      <c r="P30" s="127">
        <v>0.81</v>
      </c>
      <c r="Q30" s="283">
        <v>0.96</v>
      </c>
      <c r="R30" s="284">
        <v>0</v>
      </c>
      <c r="S30" s="284">
        <v>0</v>
      </c>
      <c r="T30" s="285">
        <v>0</v>
      </c>
      <c r="U30" s="127" t="str">
        <f t="shared" si="0"/>
        <v>Outlier</v>
      </c>
      <c r="V30" s="127" t="str">
        <f t="shared" si="1"/>
        <v>Normal</v>
      </c>
      <c r="W30" s="87">
        <f t="shared" si="2"/>
        <v>0.5</v>
      </c>
      <c r="X30" s="87">
        <f t="shared" si="3"/>
        <v>0.19755600814663951</v>
      </c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M30" s="33">
        <f t="shared" si="7"/>
        <v>44837</v>
      </c>
      <c r="AN30" s="1" cm="1">
        <f t="array" ref="AN30">SUMIFS(calls_off_BAR,period_BAR,"&gt;="&amp;AM30,period_BAR,"&lt;"&amp;AM31)</f>
        <v>3641</v>
      </c>
      <c r="AO30" s="100" cm="1">
        <f t="array" ref="AO30">SUMIFS(calls_ans_BAR,period_BAR,"&gt;="&amp;AM30,period_BAR,"&lt;"&amp;AM31)</f>
        <v>2042</v>
      </c>
    </row>
    <row r="31" spans="1:41" ht="14" customHeight="1">
      <c r="A31" s="281">
        <v>44681</v>
      </c>
      <c r="B31" s="314">
        <f>IF(YEAR(Table9[[#This Row],[Date]]) = 2022, WEEKNUM(Table9[[#This Row],[Date]])-13, WEEKNUM(Table9[[#This Row],[Date]])+40)</f>
        <v>5</v>
      </c>
      <c r="C31" s="255" t="s">
        <v>53</v>
      </c>
      <c r="D31" s="65" t="s">
        <v>59</v>
      </c>
      <c r="E31" s="269">
        <v>315</v>
      </c>
      <c r="F31" s="269">
        <v>259</v>
      </c>
      <c r="G31" s="282">
        <v>-0.20454545454545456</v>
      </c>
      <c r="H31" s="282">
        <v>-4.0740740740740744E-2</v>
      </c>
      <c r="I31" s="269">
        <v>11290</v>
      </c>
      <c r="J31" s="269">
        <v>10161</v>
      </c>
      <c r="K31" s="269">
        <v>11290</v>
      </c>
      <c r="L31" s="269">
        <v>10161</v>
      </c>
      <c r="M31" s="127">
        <v>0.62</v>
      </c>
      <c r="N31" s="127">
        <v>0.18</v>
      </c>
      <c r="O31" s="127">
        <v>0.82</v>
      </c>
      <c r="P31" s="127">
        <v>0.6</v>
      </c>
      <c r="Q31" s="283">
        <v>1</v>
      </c>
      <c r="R31" s="284">
        <v>0</v>
      </c>
      <c r="S31" s="284">
        <v>0</v>
      </c>
      <c r="T31" s="285">
        <v>0</v>
      </c>
      <c r="U31" s="127" t="str">
        <f t="shared" si="0"/>
        <v>Normal</v>
      </c>
      <c r="V31" s="127" t="str">
        <f t="shared" si="1"/>
        <v>Normal</v>
      </c>
      <c r="W31" s="87">
        <f t="shared" si="2"/>
        <v>-0.20454545454545456</v>
      </c>
      <c r="X31" s="87">
        <f t="shared" si="3"/>
        <v>-4.0740740740740744E-2</v>
      </c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M31" s="33">
        <f t="shared" si="7"/>
        <v>44844</v>
      </c>
      <c r="AN31" s="1" cm="1">
        <f t="array" ref="AN31">SUMIFS(calls_off_BAR,period_BAR,"&gt;="&amp;AM31,period_BAR,"&lt;"&amp;AM32)</f>
        <v>3825</v>
      </c>
      <c r="AO31" s="100" cm="1">
        <f t="array" ref="AO31">SUMIFS(calls_ans_BAR,period_BAR,"&gt;="&amp;AM31,period_BAR,"&lt;"&amp;AM32)</f>
        <v>2582</v>
      </c>
    </row>
    <row r="32" spans="1:41" ht="14" customHeight="1">
      <c r="A32" s="281">
        <v>44682</v>
      </c>
      <c r="B32" s="314">
        <f>IF(YEAR(Table9[[#This Row],[Date]]) = 2022, WEEKNUM(Table9[[#This Row],[Date]])-13, WEEKNUM(Table9[[#This Row],[Date]])+40)</f>
        <v>6</v>
      </c>
      <c r="C32" s="255" t="s">
        <v>47</v>
      </c>
      <c r="D32" s="65" t="s">
        <v>59</v>
      </c>
      <c r="E32" s="269">
        <v>0</v>
      </c>
      <c r="F32" s="269">
        <v>0</v>
      </c>
      <c r="G32" s="282">
        <v>0</v>
      </c>
      <c r="H32" s="282">
        <v>0</v>
      </c>
      <c r="I32" s="269">
        <v>0</v>
      </c>
      <c r="J32" s="269">
        <v>0</v>
      </c>
      <c r="K32" s="269">
        <v>0</v>
      </c>
      <c r="L32" s="269">
        <v>0</v>
      </c>
      <c r="M32" s="127">
        <v>0</v>
      </c>
      <c r="N32" s="127">
        <v>0</v>
      </c>
      <c r="O32" s="127">
        <v>0</v>
      </c>
      <c r="P32" s="127">
        <v>0</v>
      </c>
      <c r="Q32" s="283">
        <v>0</v>
      </c>
      <c r="R32" s="284">
        <v>0</v>
      </c>
      <c r="S32" s="284">
        <v>0</v>
      </c>
      <c r="T32" s="285">
        <v>0</v>
      </c>
      <c r="U32" s="127" t="str">
        <f t="shared" si="0"/>
        <v>Normal</v>
      </c>
      <c r="V32" s="127" t="str">
        <f t="shared" si="1"/>
        <v>Normal</v>
      </c>
      <c r="W32" s="87">
        <f t="shared" si="2"/>
        <v>0</v>
      </c>
      <c r="X32" s="87">
        <f t="shared" si="3"/>
        <v>0</v>
      </c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272"/>
      <c r="AK32" s="272"/>
      <c r="AM32" s="33">
        <f t="shared" si="7"/>
        <v>44851</v>
      </c>
      <c r="AN32" s="1">
        <f>SUMIFS(calls_off_BAR,period_BAR,"&gt;="&amp;AM32,period_BAR,"&lt;"&amp;AM33)</f>
        <v>3193</v>
      </c>
      <c r="AO32" s="100">
        <f>SUMIFS(calls_ans_BAR,period_BAR,"&gt;="&amp;AM32,period_BAR,"&lt;"&amp;AM33)</f>
        <v>2521</v>
      </c>
    </row>
    <row r="33" spans="1:44" ht="14" customHeight="1">
      <c r="A33" s="281">
        <v>44683</v>
      </c>
      <c r="B33" s="314">
        <f>IF(YEAR(Table9[[#This Row],[Date]]) = 2022, WEEKNUM(Table9[[#This Row],[Date]])-13, WEEKNUM(Table9[[#This Row],[Date]])+40)</f>
        <v>6</v>
      </c>
      <c r="C33" s="255" t="s">
        <v>48</v>
      </c>
      <c r="D33" s="65" t="s">
        <v>59</v>
      </c>
      <c r="E33" s="269">
        <v>0</v>
      </c>
      <c r="F33" s="269">
        <v>0</v>
      </c>
      <c r="G33" s="282">
        <v>0</v>
      </c>
      <c r="H33" s="282">
        <v>0</v>
      </c>
      <c r="I33" s="269">
        <v>0</v>
      </c>
      <c r="J33" s="269">
        <v>0</v>
      </c>
      <c r="K33" s="269">
        <v>0</v>
      </c>
      <c r="L33" s="269">
        <v>0</v>
      </c>
      <c r="M33" s="127">
        <v>0</v>
      </c>
      <c r="N33" s="127">
        <v>0</v>
      </c>
      <c r="O33" s="127">
        <v>0</v>
      </c>
      <c r="P33" s="127">
        <v>0</v>
      </c>
      <c r="Q33" s="283">
        <v>0</v>
      </c>
      <c r="R33" s="284">
        <v>0</v>
      </c>
      <c r="S33" s="284">
        <v>0</v>
      </c>
      <c r="T33" s="285">
        <v>0</v>
      </c>
      <c r="U33" s="127" t="str">
        <f t="shared" si="0"/>
        <v>Normal</v>
      </c>
      <c r="V33" s="127" t="str">
        <f t="shared" si="1"/>
        <v>Normal</v>
      </c>
      <c r="W33" s="87">
        <f t="shared" si="2"/>
        <v>0</v>
      </c>
      <c r="X33" s="87">
        <f t="shared" si="3"/>
        <v>0</v>
      </c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  <c r="AI33" s="272"/>
      <c r="AJ33" s="272"/>
      <c r="AK33" s="272"/>
      <c r="AM33" s="33">
        <f t="shared" si="7"/>
        <v>44858</v>
      </c>
      <c r="AN33" s="1" cm="1">
        <f t="array" ref="AN33">SUMIFS(calls_off_BAR,period_BAR,"&gt;="&amp;AM33,period_BAR,"&lt;"&amp;AM34)</f>
        <v>3593</v>
      </c>
      <c r="AO33" s="100" cm="1">
        <f t="array" ref="AO33">SUMIFS(calls_ans_BAR,period_BAR,"&gt;="&amp;AM33,period_BAR,"&lt;"&amp;AM34)</f>
        <v>3119</v>
      </c>
    </row>
    <row r="34" spans="1:44" ht="14" customHeight="1">
      <c r="A34" s="281">
        <v>44684</v>
      </c>
      <c r="B34" s="314">
        <f>IF(YEAR(Table9[[#This Row],[Date]]) = 2022, WEEKNUM(Table9[[#This Row],[Date]])-13, WEEKNUM(Table9[[#This Row],[Date]])+40)</f>
        <v>6</v>
      </c>
      <c r="C34" s="255" t="s">
        <v>49</v>
      </c>
      <c r="D34" s="65" t="s">
        <v>59</v>
      </c>
      <c r="E34" s="269">
        <v>709</v>
      </c>
      <c r="F34" s="269">
        <v>611</v>
      </c>
      <c r="G34" s="282">
        <v>0.26156583629893237</v>
      </c>
      <c r="H34" s="282">
        <v>0.11904761904761904</v>
      </c>
      <c r="I34" s="269">
        <v>709</v>
      </c>
      <c r="J34" s="269">
        <v>611</v>
      </c>
      <c r="K34" s="269">
        <v>11999</v>
      </c>
      <c r="L34" s="269">
        <v>10772</v>
      </c>
      <c r="M34" s="127">
        <v>0.64</v>
      </c>
      <c r="N34" s="127">
        <v>0.14000000000000001</v>
      </c>
      <c r="O34" s="127">
        <v>0.86</v>
      </c>
      <c r="P34" s="127">
        <v>0.7</v>
      </c>
      <c r="Q34" s="283">
        <v>0.98</v>
      </c>
      <c r="R34" s="284">
        <v>0</v>
      </c>
      <c r="S34" s="284">
        <v>0</v>
      </c>
      <c r="T34" s="285">
        <v>0</v>
      </c>
      <c r="U34" s="127" t="str">
        <f t="shared" si="0"/>
        <v>Normal</v>
      </c>
      <c r="V34" s="127" t="str">
        <f t="shared" si="1"/>
        <v>Normal</v>
      </c>
      <c r="W34" s="87">
        <f t="shared" si="2"/>
        <v>0.26156583629893237</v>
      </c>
      <c r="X34" s="87">
        <f t="shared" si="3"/>
        <v>0.11904761904761904</v>
      </c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M34" s="33">
        <f t="shared" si="7"/>
        <v>44865</v>
      </c>
      <c r="AN34" s="1" cm="1">
        <f t="array" ref="AN34">SUMIFS(calls_off_BAR,period_BAR,"&gt;="&amp;AM34,period_BAR,"&lt;"&amp;AM35)</f>
        <v>3660</v>
      </c>
      <c r="AO34" s="100" cm="1">
        <f t="array" ref="AO34">SUMIFS(calls_ans_BAR,period_BAR,"&gt;="&amp;AM34,period_BAR,"&lt;"&amp;AM35)</f>
        <v>3093</v>
      </c>
    </row>
    <row r="35" spans="1:44" ht="14" customHeight="1">
      <c r="A35" s="281">
        <v>44685</v>
      </c>
      <c r="B35" s="314">
        <f>IF(YEAR(Table9[[#This Row],[Date]]) = 2022, WEEKNUM(Table9[[#This Row],[Date]])-13, WEEKNUM(Table9[[#This Row],[Date]])+40)</f>
        <v>6</v>
      </c>
      <c r="C35" s="255" t="s">
        <v>50</v>
      </c>
      <c r="D35" s="65" t="s">
        <v>59</v>
      </c>
      <c r="E35" s="269">
        <v>508</v>
      </c>
      <c r="F35" s="269">
        <v>477</v>
      </c>
      <c r="G35" s="282">
        <v>-0.14043993231810489</v>
      </c>
      <c r="H35" s="282">
        <v>-0.1420863309352518</v>
      </c>
      <c r="I35" s="269">
        <v>1217</v>
      </c>
      <c r="J35" s="269">
        <v>1088</v>
      </c>
      <c r="K35" s="269">
        <v>12507</v>
      </c>
      <c r="L35" s="269">
        <v>11249</v>
      </c>
      <c r="M35" s="127">
        <v>0.81</v>
      </c>
      <c r="N35" s="127">
        <v>0.06</v>
      </c>
      <c r="O35" s="127">
        <v>0.94</v>
      </c>
      <c r="P35" s="127">
        <v>0.77</v>
      </c>
      <c r="Q35" s="283">
        <v>0.97</v>
      </c>
      <c r="R35" s="284">
        <v>0</v>
      </c>
      <c r="S35" s="284">
        <v>0</v>
      </c>
      <c r="T35" s="285">
        <v>0</v>
      </c>
      <c r="U35" s="127" t="str">
        <f t="shared" si="0"/>
        <v>Normal</v>
      </c>
      <c r="V35" s="127" t="str">
        <f t="shared" si="1"/>
        <v>Normal</v>
      </c>
      <c r="W35" s="87">
        <f t="shared" si="2"/>
        <v>-0.14043993231810489</v>
      </c>
      <c r="X35" s="87">
        <f t="shared" si="3"/>
        <v>-0.1420863309352518</v>
      </c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M35" s="33">
        <f t="shared" si="7"/>
        <v>44872</v>
      </c>
      <c r="AN35" s="1">
        <f>SUMIFS(calls_off_BAR,period_BAR,"&gt;="&amp;AM35,period_BAR,"&lt;"&amp;AM36)</f>
        <v>3804</v>
      </c>
      <c r="AO35" s="100">
        <f>SUMIFS(calls_ans_BAR,period_BAR,"&gt;="&amp;AM35,period_BAR,"&lt;"&amp;AM36)</f>
        <v>2856</v>
      </c>
      <c r="AQ35">
        <f>(Table14[[#This Row],[Sum of Calls - Offered]]-AN34)/AN34</f>
        <v>3.9344262295081971E-2</v>
      </c>
      <c r="AR35">
        <f>(Table14[[#This Row],[Sum of Calls - Answered]]-AO34)/AO34</f>
        <v>-7.662463627546072E-2</v>
      </c>
    </row>
    <row r="36" spans="1:44" ht="14" customHeight="1">
      <c r="A36" s="281">
        <v>44686</v>
      </c>
      <c r="B36" s="314">
        <f>IF(YEAR(Table9[[#This Row],[Date]]) = 2022, WEEKNUM(Table9[[#This Row],[Date]])-13, WEEKNUM(Table9[[#This Row],[Date]])+40)</f>
        <v>6</v>
      </c>
      <c r="C36" s="255" t="s">
        <v>51</v>
      </c>
      <c r="D36" s="65" t="s">
        <v>59</v>
      </c>
      <c r="E36" s="269">
        <v>507</v>
      </c>
      <c r="F36" s="269">
        <v>479</v>
      </c>
      <c r="G36" s="282">
        <v>0</v>
      </c>
      <c r="H36" s="282">
        <v>0</v>
      </c>
      <c r="I36" s="269">
        <v>1724</v>
      </c>
      <c r="J36" s="269">
        <v>1567</v>
      </c>
      <c r="K36" s="269">
        <v>13014</v>
      </c>
      <c r="L36" s="269">
        <v>11728</v>
      </c>
      <c r="M36" s="127">
        <v>0.86</v>
      </c>
      <c r="N36" s="127">
        <v>0.06</v>
      </c>
      <c r="O36" s="127">
        <v>0.94</v>
      </c>
      <c r="P36" s="127">
        <v>0.66</v>
      </c>
      <c r="Q36" s="283">
        <v>0.96</v>
      </c>
      <c r="R36" s="284">
        <v>0</v>
      </c>
      <c r="S36" s="284">
        <v>0</v>
      </c>
      <c r="T36" s="285">
        <v>0</v>
      </c>
      <c r="U36" s="127" t="str">
        <f t="shared" si="0"/>
        <v>Normal</v>
      </c>
      <c r="V36" s="127" t="str">
        <f t="shared" si="1"/>
        <v>Normal</v>
      </c>
      <c r="W36" s="87">
        <f t="shared" si="2"/>
        <v>0</v>
      </c>
      <c r="X36" s="87">
        <f t="shared" si="3"/>
        <v>0</v>
      </c>
      <c r="Y36" s="272"/>
      <c r="Z36" s="272"/>
      <c r="AA36" s="272"/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M36" s="33">
        <f t="shared" si="7"/>
        <v>44879</v>
      </c>
      <c r="AN36" s="1" cm="1">
        <f t="array" ref="AN36">SUMIFS(calls_off_BAR,period_BAR,"&gt;="&amp;AM36,period_BAR,"&lt;"&amp;AM37)</f>
        <v>3395</v>
      </c>
      <c r="AO36" s="100" cm="1">
        <f t="array" ref="AO36">SUMIFS(calls_ans_BAR,period_BAR,"&gt;="&amp;AM36,period_BAR,"&lt;"&amp;AM37)</f>
        <v>3193</v>
      </c>
    </row>
    <row r="37" spans="1:44" ht="14" customHeight="1">
      <c r="A37" s="281">
        <v>44687</v>
      </c>
      <c r="B37" s="314">
        <f>IF(YEAR(Table9[[#This Row],[Date]]) = 2022, WEEKNUM(Table9[[#This Row],[Date]])-13, WEEKNUM(Table9[[#This Row],[Date]])+40)</f>
        <v>6</v>
      </c>
      <c r="C37" s="255" t="s">
        <v>52</v>
      </c>
      <c r="D37" s="65" t="s">
        <v>59</v>
      </c>
      <c r="E37" s="269">
        <v>403</v>
      </c>
      <c r="F37" s="269">
        <v>379</v>
      </c>
      <c r="G37" s="282">
        <v>-0.49116161616161619</v>
      </c>
      <c r="H37" s="282">
        <v>-0.35544217687074831</v>
      </c>
      <c r="I37" s="269">
        <v>2127</v>
      </c>
      <c r="J37" s="269">
        <v>1946</v>
      </c>
      <c r="K37" s="269">
        <v>13417</v>
      </c>
      <c r="L37" s="269">
        <v>12107</v>
      </c>
      <c r="M37" s="127">
        <v>0.87</v>
      </c>
      <c r="N37" s="127">
        <v>0.06</v>
      </c>
      <c r="O37" s="127">
        <v>0.94</v>
      </c>
      <c r="P37" s="127">
        <v>0.52</v>
      </c>
      <c r="Q37" s="283">
        <v>1</v>
      </c>
      <c r="R37" s="284">
        <v>0</v>
      </c>
      <c r="S37" s="284">
        <v>0</v>
      </c>
      <c r="T37" s="285">
        <v>0</v>
      </c>
      <c r="U37" s="127" t="str">
        <f t="shared" si="0"/>
        <v>Outlier</v>
      </c>
      <c r="V37" s="127" t="str">
        <f t="shared" si="1"/>
        <v>Outlier</v>
      </c>
      <c r="W37" s="87">
        <f t="shared" si="2"/>
        <v>-0.49116161616161619</v>
      </c>
      <c r="X37" s="87">
        <f t="shared" si="3"/>
        <v>-0.35544217687074831</v>
      </c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M37" s="33">
        <f t="shared" si="7"/>
        <v>44886</v>
      </c>
      <c r="AN37" s="1" cm="1">
        <f t="array" ref="AN37">SUMIFS(calls_off_BAR,period_BAR,"&gt;="&amp;AM37,period_BAR,"&lt;"&amp;AM38)</f>
        <v>4531</v>
      </c>
      <c r="AO37" s="100" cm="1">
        <f t="array" ref="AO37">SUMIFS(calls_ans_BAR,period_BAR,"&gt;="&amp;AM37,period_BAR,"&lt;"&amp;AM38)</f>
        <v>3948</v>
      </c>
    </row>
    <row r="38" spans="1:44" ht="14" customHeight="1">
      <c r="A38" s="281">
        <v>44688</v>
      </c>
      <c r="B38" s="314">
        <f>IF(YEAR(Table9[[#This Row],[Date]]) = 2022, WEEKNUM(Table9[[#This Row],[Date]])-13, WEEKNUM(Table9[[#This Row],[Date]])+40)</f>
        <v>6</v>
      </c>
      <c r="C38" s="255" t="s">
        <v>53</v>
      </c>
      <c r="D38" s="65" t="s">
        <v>59</v>
      </c>
      <c r="E38" s="269">
        <v>236</v>
      </c>
      <c r="F38" s="269">
        <v>216</v>
      </c>
      <c r="G38" s="282">
        <v>-0.25079365079365079</v>
      </c>
      <c r="H38" s="282">
        <v>-0.16602316602316602</v>
      </c>
      <c r="I38" s="269">
        <v>2363</v>
      </c>
      <c r="J38" s="269">
        <v>2162</v>
      </c>
      <c r="K38" s="269">
        <v>13653</v>
      </c>
      <c r="L38" s="269">
        <v>12323</v>
      </c>
      <c r="M38" s="127">
        <v>0.81</v>
      </c>
      <c r="N38" s="127">
        <v>0.08</v>
      </c>
      <c r="O38" s="127">
        <v>0.92</v>
      </c>
      <c r="P38" s="127">
        <v>0.65</v>
      </c>
      <c r="Q38" s="283">
        <v>0.93</v>
      </c>
      <c r="R38" s="284">
        <v>0</v>
      </c>
      <c r="S38" s="284">
        <v>0</v>
      </c>
      <c r="T38" s="285">
        <v>0</v>
      </c>
      <c r="U38" s="127" t="str">
        <f t="shared" si="0"/>
        <v>Normal</v>
      </c>
      <c r="V38" s="127" t="str">
        <f t="shared" si="1"/>
        <v>Normal</v>
      </c>
      <c r="W38" s="87">
        <f t="shared" si="2"/>
        <v>-0.25079365079365079</v>
      </c>
      <c r="X38" s="87">
        <f t="shared" si="3"/>
        <v>-0.16602316602316602</v>
      </c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M38" s="33">
        <f t="shared" si="7"/>
        <v>44893</v>
      </c>
      <c r="AN38" s="1" cm="1">
        <f t="array" ref="AN38">SUMIFS(calls_off_BAR,period_BAR,"&gt;="&amp;AM38,period_BAR,"&lt;"&amp;AM39)</f>
        <v>4553</v>
      </c>
      <c r="AO38" s="100" cm="1">
        <f t="array" ref="AO38">SUMIFS(calls_ans_BAR,period_BAR,"&gt;="&amp;AM38,period_BAR,"&lt;"&amp;AM39)</f>
        <v>3562</v>
      </c>
    </row>
    <row r="39" spans="1:44" ht="14" customHeight="1">
      <c r="A39" s="281">
        <v>44689</v>
      </c>
      <c r="B39" s="314">
        <f>IF(YEAR(Table9[[#This Row],[Date]]) = 2022, WEEKNUM(Table9[[#This Row],[Date]])-13, WEEKNUM(Table9[[#This Row],[Date]])+40)</f>
        <v>7</v>
      </c>
      <c r="C39" s="255" t="s">
        <v>47</v>
      </c>
      <c r="D39" s="65" t="s">
        <v>59</v>
      </c>
      <c r="E39" s="269">
        <v>0</v>
      </c>
      <c r="F39" s="269">
        <v>0</v>
      </c>
      <c r="G39" s="282">
        <v>0</v>
      </c>
      <c r="H39" s="282">
        <v>0</v>
      </c>
      <c r="I39" s="269">
        <v>0</v>
      </c>
      <c r="J39" s="269">
        <v>0</v>
      </c>
      <c r="K39" s="269">
        <v>0</v>
      </c>
      <c r="L39" s="269">
        <v>0</v>
      </c>
      <c r="M39" s="127">
        <v>0</v>
      </c>
      <c r="N39" s="127">
        <v>0</v>
      </c>
      <c r="O39" s="127">
        <v>0</v>
      </c>
      <c r="P39" s="127">
        <v>0</v>
      </c>
      <c r="Q39" s="283">
        <v>0</v>
      </c>
      <c r="R39" s="284">
        <v>0</v>
      </c>
      <c r="S39" s="284">
        <v>0</v>
      </c>
      <c r="T39" s="285">
        <v>0</v>
      </c>
      <c r="U39" s="127" t="str">
        <f t="shared" si="0"/>
        <v>Normal</v>
      </c>
      <c r="V39" s="127" t="str">
        <f t="shared" si="1"/>
        <v>Normal</v>
      </c>
      <c r="W39" s="87">
        <f t="shared" si="2"/>
        <v>0</v>
      </c>
      <c r="X39" s="87">
        <f t="shared" si="3"/>
        <v>0</v>
      </c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M39" s="33">
        <f t="shared" si="7"/>
        <v>44900</v>
      </c>
      <c r="AN39" s="1" cm="1">
        <f t="array" ref="AN39">SUMIFS(calls_off_BAR,period_BAR,"&gt;="&amp;AM39,period_BAR,"&lt;"&amp;AM40)</f>
        <v>4871</v>
      </c>
      <c r="AO39" s="100" cm="1">
        <f t="array" ref="AO39">SUMIFS(calls_ans_BAR,period_BAR,"&gt;="&amp;AM39,period_BAR,"&lt;"&amp;AM40)</f>
        <v>3852</v>
      </c>
    </row>
    <row r="40" spans="1:44" ht="14" customHeight="1">
      <c r="A40" s="281">
        <v>44690</v>
      </c>
      <c r="B40" s="314">
        <f>IF(YEAR(Table9[[#This Row],[Date]]) = 2022, WEEKNUM(Table9[[#This Row],[Date]])-13, WEEKNUM(Table9[[#This Row],[Date]])+40)</f>
        <v>7</v>
      </c>
      <c r="C40" s="255" t="s">
        <v>48</v>
      </c>
      <c r="D40" s="65" t="s">
        <v>59</v>
      </c>
      <c r="E40" s="269">
        <v>573</v>
      </c>
      <c r="F40" s="269">
        <v>518</v>
      </c>
      <c r="G40" s="282">
        <v>0</v>
      </c>
      <c r="H40" s="282">
        <v>0</v>
      </c>
      <c r="I40" s="269">
        <v>2936</v>
      </c>
      <c r="J40" s="269">
        <v>2680</v>
      </c>
      <c r="K40" s="269">
        <v>14226</v>
      </c>
      <c r="L40" s="269">
        <v>12841</v>
      </c>
      <c r="M40" s="127">
        <v>0.76</v>
      </c>
      <c r="N40" s="127">
        <v>0.1</v>
      </c>
      <c r="O40" s="127">
        <v>0.9</v>
      </c>
      <c r="P40" s="127">
        <v>0.6</v>
      </c>
      <c r="Q40" s="283">
        <v>0.96</v>
      </c>
      <c r="R40" s="284">
        <v>0</v>
      </c>
      <c r="S40" s="284">
        <v>0</v>
      </c>
      <c r="T40" s="285">
        <v>0</v>
      </c>
      <c r="U40" s="127" t="str">
        <f t="shared" si="0"/>
        <v>Normal</v>
      </c>
      <c r="V40" s="127" t="str">
        <f t="shared" si="1"/>
        <v>Normal</v>
      </c>
      <c r="W40" s="87">
        <f t="shared" si="2"/>
        <v>0</v>
      </c>
      <c r="X40" s="87">
        <f t="shared" si="3"/>
        <v>0</v>
      </c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M40" s="33">
        <f t="shared" si="7"/>
        <v>44907</v>
      </c>
      <c r="AN40" s="1" cm="1">
        <f t="array" ref="AN40">SUMIFS(calls_off_BAR,period_BAR,"&gt;="&amp;AM40,period_BAR,"&lt;"&amp;AM41)</f>
        <v>4889</v>
      </c>
      <c r="AO40" s="100" cm="1">
        <f t="array" ref="AO40">SUMIFS(calls_ans_BAR,period_BAR,"&gt;="&amp;AM40,period_BAR,"&lt;"&amp;AM41)</f>
        <v>3832</v>
      </c>
    </row>
    <row r="41" spans="1:44" ht="14" customHeight="1">
      <c r="A41" s="281">
        <v>44691</v>
      </c>
      <c r="B41" s="314">
        <f>IF(YEAR(Table9[[#This Row],[Date]]) = 2022, WEEKNUM(Table9[[#This Row],[Date]])-13, WEEKNUM(Table9[[#This Row],[Date]])+40)</f>
        <v>7</v>
      </c>
      <c r="C41" s="255" t="s">
        <v>49</v>
      </c>
      <c r="D41" s="65" t="s">
        <v>59</v>
      </c>
      <c r="E41" s="269">
        <v>564</v>
      </c>
      <c r="F41" s="269">
        <v>517</v>
      </c>
      <c r="G41" s="282">
        <v>-0.20451339915373765</v>
      </c>
      <c r="H41" s="282">
        <v>-0.15384615384615385</v>
      </c>
      <c r="I41" s="269">
        <v>3500</v>
      </c>
      <c r="J41" s="269">
        <v>3197</v>
      </c>
      <c r="K41" s="269">
        <v>14790</v>
      </c>
      <c r="L41" s="269">
        <v>13358</v>
      </c>
      <c r="M41" s="127">
        <v>0.77</v>
      </c>
      <c r="N41" s="127">
        <v>0.08</v>
      </c>
      <c r="O41" s="127">
        <v>0.92</v>
      </c>
      <c r="P41" s="127">
        <v>0.71</v>
      </c>
      <c r="Q41" s="283">
        <v>0.96</v>
      </c>
      <c r="R41" s="284">
        <v>0</v>
      </c>
      <c r="S41" s="284">
        <v>0</v>
      </c>
      <c r="T41" s="285">
        <v>0</v>
      </c>
      <c r="U41" s="127" t="str">
        <f t="shared" si="0"/>
        <v>Normal</v>
      </c>
      <c r="V41" s="127" t="str">
        <f t="shared" si="1"/>
        <v>Normal</v>
      </c>
      <c r="W41" s="87">
        <f t="shared" si="2"/>
        <v>-0.20451339915373765</v>
      </c>
      <c r="X41" s="87">
        <f t="shared" si="3"/>
        <v>-0.15384615384615385</v>
      </c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M41" s="33">
        <f t="shared" si="7"/>
        <v>44914</v>
      </c>
      <c r="AN41" s="1">
        <f>SUMIFS(calls_off_BAR,period_BAR,"&gt;="&amp;AM41,period_BAR,"&lt;"&amp;AM42)</f>
        <v>6856</v>
      </c>
      <c r="AO41" s="100">
        <f>SUMIFS(calls_ans_BAR,period_BAR,"&gt;="&amp;AM41,period_BAR,"&lt;"&amp;AM42)</f>
        <v>4037</v>
      </c>
    </row>
    <row r="42" spans="1:44" ht="14" customHeight="1">
      <c r="A42" s="281">
        <v>44692</v>
      </c>
      <c r="B42" s="314">
        <f>IF(YEAR(Table9[[#This Row],[Date]]) = 2022, WEEKNUM(Table9[[#This Row],[Date]])-13, WEEKNUM(Table9[[#This Row],[Date]])+40)</f>
        <v>7</v>
      </c>
      <c r="C42" s="255" t="s">
        <v>50</v>
      </c>
      <c r="D42" s="65" t="s">
        <v>59</v>
      </c>
      <c r="E42" s="269">
        <v>439</v>
      </c>
      <c r="F42" s="269">
        <v>414</v>
      </c>
      <c r="G42" s="282">
        <v>-0.13582677165354332</v>
      </c>
      <c r="H42" s="282">
        <v>-0.13207547169811321</v>
      </c>
      <c r="I42" s="269">
        <v>3939</v>
      </c>
      <c r="J42" s="269">
        <v>3611</v>
      </c>
      <c r="K42" s="269">
        <v>15229</v>
      </c>
      <c r="L42" s="269">
        <v>13772</v>
      </c>
      <c r="M42" s="127">
        <v>0.85</v>
      </c>
      <c r="N42" s="127">
        <v>0.06</v>
      </c>
      <c r="O42" s="127">
        <v>0.94</v>
      </c>
      <c r="P42" s="127">
        <v>0.56999999999999995</v>
      </c>
      <c r="Q42" s="283">
        <v>0.96</v>
      </c>
      <c r="R42" s="284">
        <v>0</v>
      </c>
      <c r="S42" s="284">
        <v>0</v>
      </c>
      <c r="T42" s="285">
        <v>0</v>
      </c>
      <c r="U42" s="127" t="str">
        <f t="shared" si="0"/>
        <v>Normal</v>
      </c>
      <c r="V42" s="127" t="str">
        <f t="shared" si="1"/>
        <v>Normal</v>
      </c>
      <c r="W42" s="87">
        <f t="shared" si="2"/>
        <v>-0.13582677165354332</v>
      </c>
      <c r="X42" s="87">
        <f t="shared" si="3"/>
        <v>-0.13207547169811321</v>
      </c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M42" s="33">
        <f t="shared" si="7"/>
        <v>44921</v>
      </c>
      <c r="AN42" s="1" cm="1">
        <f t="array" ref="AN42">SUMIFS(calls_off_BAR,period_BAR,"&gt;="&amp;AM42,period_BAR,"&lt;"&amp;AM43)</f>
        <v>2889</v>
      </c>
      <c r="AO42" s="100" cm="1">
        <f t="array" ref="AO42">SUMIFS(calls_ans_BAR,period_BAR,"&gt;="&amp;AM42,period_BAR,"&lt;"&amp;AM43)</f>
        <v>2412</v>
      </c>
    </row>
    <row r="43" spans="1:44" ht="14" customHeight="1">
      <c r="A43" s="281">
        <v>44693</v>
      </c>
      <c r="B43" s="314">
        <f>IF(YEAR(Table9[[#This Row],[Date]]) = 2022, WEEKNUM(Table9[[#This Row],[Date]])-13, WEEKNUM(Table9[[#This Row],[Date]])+40)</f>
        <v>7</v>
      </c>
      <c r="C43" s="255" t="s">
        <v>51</v>
      </c>
      <c r="D43" s="65" t="s">
        <v>59</v>
      </c>
      <c r="E43" s="269">
        <v>454</v>
      </c>
      <c r="F43" s="269">
        <v>407</v>
      </c>
      <c r="G43" s="282">
        <v>-0.10453648915187377</v>
      </c>
      <c r="H43" s="282">
        <v>-0.15031315240083507</v>
      </c>
      <c r="I43" s="269">
        <v>4393</v>
      </c>
      <c r="J43" s="269">
        <v>4018</v>
      </c>
      <c r="K43" s="269">
        <v>15683</v>
      </c>
      <c r="L43" s="269">
        <v>14179</v>
      </c>
      <c r="M43" s="127">
        <v>0.74</v>
      </c>
      <c r="N43" s="127">
        <v>0.1</v>
      </c>
      <c r="O43" s="127">
        <v>0.9</v>
      </c>
      <c r="P43" s="127">
        <v>0.7</v>
      </c>
      <c r="Q43" s="283">
        <v>0.97</v>
      </c>
      <c r="R43" s="284">
        <v>0</v>
      </c>
      <c r="S43" s="284">
        <v>0</v>
      </c>
      <c r="T43" s="285">
        <v>0</v>
      </c>
      <c r="U43" s="127" t="str">
        <f t="shared" si="0"/>
        <v>Normal</v>
      </c>
      <c r="V43" s="127" t="str">
        <f t="shared" si="1"/>
        <v>Normal</v>
      </c>
      <c r="W43" s="87">
        <f t="shared" si="2"/>
        <v>-0.10453648915187377</v>
      </c>
      <c r="X43" s="87">
        <f t="shared" si="3"/>
        <v>-0.15031315240083507</v>
      </c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M43" s="33">
        <f t="shared" si="7"/>
        <v>44928</v>
      </c>
      <c r="AN43" s="1" cm="1">
        <f t="array" ref="AN43">SUMIFS(calls_off_BAR,period_BAR,"&gt;="&amp;AM43,period_BAR,"&lt;"&amp;AM44)</f>
        <v>2480</v>
      </c>
      <c r="AO43" s="100" cm="1">
        <f t="array" ref="AO43">SUMIFS(calls_ans_BAR,period_BAR,"&gt;="&amp;AM43,period_BAR,"&lt;"&amp;AM44)</f>
        <v>1973</v>
      </c>
    </row>
    <row r="44" spans="1:44" ht="14" customHeight="1">
      <c r="A44" s="281">
        <v>44694</v>
      </c>
      <c r="B44" s="314">
        <f>IF(YEAR(Table9[[#This Row],[Date]]) = 2022, WEEKNUM(Table9[[#This Row],[Date]])-13, WEEKNUM(Table9[[#This Row],[Date]])+40)</f>
        <v>7</v>
      </c>
      <c r="C44" s="255" t="s">
        <v>52</v>
      </c>
      <c r="D44" s="65" t="s">
        <v>59</v>
      </c>
      <c r="E44" s="269">
        <v>518</v>
      </c>
      <c r="F44" s="269">
        <v>475</v>
      </c>
      <c r="G44" s="282">
        <v>0.28535980148883372</v>
      </c>
      <c r="H44" s="282">
        <v>0.25329815303430081</v>
      </c>
      <c r="I44" s="269">
        <v>4911</v>
      </c>
      <c r="J44" s="269">
        <v>4493</v>
      </c>
      <c r="K44" s="269">
        <v>16201</v>
      </c>
      <c r="L44" s="269">
        <v>14654</v>
      </c>
      <c r="M44" s="127">
        <v>0.73</v>
      </c>
      <c r="N44" s="127">
        <v>0.08</v>
      </c>
      <c r="O44" s="127">
        <v>0.92</v>
      </c>
      <c r="P44" s="127">
        <v>0.86</v>
      </c>
      <c r="Q44" s="283">
        <v>0.96</v>
      </c>
      <c r="R44" s="284">
        <v>0</v>
      </c>
      <c r="S44" s="284">
        <v>0</v>
      </c>
      <c r="T44" s="285">
        <v>0</v>
      </c>
      <c r="U44" s="127" t="str">
        <f t="shared" si="0"/>
        <v>Normal</v>
      </c>
      <c r="V44" s="127" t="str">
        <f t="shared" si="1"/>
        <v>Normal</v>
      </c>
      <c r="W44" s="87">
        <f t="shared" si="2"/>
        <v>0.28535980148883372</v>
      </c>
      <c r="X44" s="87">
        <f t="shared" si="3"/>
        <v>0.25329815303430081</v>
      </c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72"/>
      <c r="AJ44" s="272"/>
      <c r="AK44" s="272"/>
      <c r="AM44" s="33">
        <f t="shared" si="7"/>
        <v>44935</v>
      </c>
      <c r="AN44" s="1">
        <f>SUMIFS(calls_off_BAR,period_BAR,"&gt;="&amp;AM44,period_BAR,"&lt;"&amp;AM45)</f>
        <v>2146</v>
      </c>
      <c r="AO44" s="100">
        <f>SUMIFS(calls_ans_BAR,period_BAR,"&gt;="&amp;AM44,period_BAR,"&lt;"&amp;AM45)</f>
        <v>1989</v>
      </c>
    </row>
    <row r="45" spans="1:44" ht="14" customHeight="1">
      <c r="A45" s="281">
        <v>44695</v>
      </c>
      <c r="B45" s="314">
        <f>IF(YEAR(Table9[[#This Row],[Date]]) = 2022, WEEKNUM(Table9[[#This Row],[Date]])-13, WEEKNUM(Table9[[#This Row],[Date]])+40)</f>
        <v>7</v>
      </c>
      <c r="C45" s="255" t="s">
        <v>53</v>
      </c>
      <c r="D45" s="65" t="s">
        <v>59</v>
      </c>
      <c r="E45" s="269">
        <v>262</v>
      </c>
      <c r="F45" s="269">
        <v>230</v>
      </c>
      <c r="G45" s="282">
        <v>0.11016949152542373</v>
      </c>
      <c r="H45" s="282">
        <v>6.4814814814814811E-2</v>
      </c>
      <c r="I45" s="269">
        <v>5173</v>
      </c>
      <c r="J45" s="269">
        <v>4723</v>
      </c>
      <c r="K45" s="269">
        <v>16463</v>
      </c>
      <c r="L45" s="269">
        <v>14884</v>
      </c>
      <c r="M45" s="127">
        <v>0.63</v>
      </c>
      <c r="N45" s="127">
        <v>0.12</v>
      </c>
      <c r="O45" s="127">
        <v>0.88</v>
      </c>
      <c r="P45" s="127">
        <v>0.79</v>
      </c>
      <c r="Q45" s="283">
        <v>0.96</v>
      </c>
      <c r="R45" s="284">
        <v>0</v>
      </c>
      <c r="S45" s="284">
        <v>0</v>
      </c>
      <c r="T45" s="285">
        <v>0</v>
      </c>
      <c r="U45" s="127" t="str">
        <f t="shared" si="0"/>
        <v>Normal</v>
      </c>
      <c r="V45" s="127" t="str">
        <f t="shared" si="1"/>
        <v>Normal</v>
      </c>
      <c r="W45" s="87">
        <f t="shared" si="2"/>
        <v>0.11016949152542373</v>
      </c>
      <c r="X45" s="87">
        <f t="shared" si="3"/>
        <v>6.4814814814814811E-2</v>
      </c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M45" s="33">
        <f t="shared" si="7"/>
        <v>44942</v>
      </c>
      <c r="AN45" s="1">
        <f>SUMIFS(calls_off_BAR,period_BAR,"&gt;="&amp;AM45,period_BAR,"&lt;"&amp;AM46)</f>
        <v>2371</v>
      </c>
      <c r="AO45" s="100">
        <f>SUMIFS(calls_ans_BAR,period_BAR,"&gt;="&amp;AM45,period_BAR,"&lt;"&amp;AM46)</f>
        <v>1941</v>
      </c>
    </row>
    <row r="46" spans="1:44" ht="14" customHeight="1">
      <c r="A46" s="281">
        <v>44696</v>
      </c>
      <c r="B46" s="314">
        <f>IF(YEAR(Table9[[#This Row],[Date]]) = 2022, WEEKNUM(Table9[[#This Row],[Date]])-13, WEEKNUM(Table9[[#This Row],[Date]])+40)</f>
        <v>8</v>
      </c>
      <c r="C46" s="255" t="s">
        <v>47</v>
      </c>
      <c r="D46" s="65" t="s">
        <v>59</v>
      </c>
      <c r="E46" s="269">
        <v>0</v>
      </c>
      <c r="F46" s="269">
        <v>0</v>
      </c>
      <c r="G46" s="282">
        <v>0</v>
      </c>
      <c r="H46" s="282">
        <v>0</v>
      </c>
      <c r="I46" s="269">
        <v>0</v>
      </c>
      <c r="J46" s="269">
        <v>0</v>
      </c>
      <c r="K46" s="269">
        <v>0</v>
      </c>
      <c r="L46" s="269">
        <v>0</v>
      </c>
      <c r="M46" s="127">
        <v>0</v>
      </c>
      <c r="N46" s="127">
        <v>0</v>
      </c>
      <c r="O46" s="127">
        <v>0</v>
      </c>
      <c r="P46" s="127">
        <v>0</v>
      </c>
      <c r="Q46" s="283">
        <v>0</v>
      </c>
      <c r="R46" s="284">
        <v>0</v>
      </c>
      <c r="S46" s="284">
        <v>0</v>
      </c>
      <c r="T46" s="285">
        <v>0</v>
      </c>
      <c r="U46" s="127" t="str">
        <f t="shared" si="0"/>
        <v>Normal</v>
      </c>
      <c r="V46" s="127" t="str">
        <f t="shared" si="1"/>
        <v>Normal</v>
      </c>
      <c r="W46" s="87">
        <f t="shared" si="2"/>
        <v>0</v>
      </c>
      <c r="X46" s="87">
        <f t="shared" si="3"/>
        <v>0</v>
      </c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M46" s="33">
        <f t="shared" si="7"/>
        <v>44949</v>
      </c>
      <c r="AN46" s="1">
        <f>SUMIFS(calls_off_BAR,period_BAR,"&gt;="&amp;AM46,period_BAR,"&lt;"&amp;AM47)</f>
        <v>2442</v>
      </c>
      <c r="AO46" s="100">
        <f>SUMIFS(calls_ans_BAR,period_BAR,"&gt;="&amp;AM46,period_BAR,"&lt;"&amp;AM47)</f>
        <v>2302</v>
      </c>
    </row>
    <row r="47" spans="1:44" ht="14" customHeight="1">
      <c r="A47" s="281">
        <v>44697</v>
      </c>
      <c r="B47" s="314">
        <f>IF(YEAR(Table9[[#This Row],[Date]]) = 2022, WEEKNUM(Table9[[#This Row],[Date]])-13, WEEKNUM(Table9[[#This Row],[Date]])+40)</f>
        <v>8</v>
      </c>
      <c r="C47" s="255" t="s">
        <v>48</v>
      </c>
      <c r="D47" s="65" t="s">
        <v>59</v>
      </c>
      <c r="E47" s="269">
        <v>578</v>
      </c>
      <c r="F47" s="269">
        <v>552</v>
      </c>
      <c r="G47" s="282">
        <v>8.7260034904013961E-3</v>
      </c>
      <c r="H47" s="282">
        <v>6.5637065637065631E-2</v>
      </c>
      <c r="I47" s="269">
        <v>5751</v>
      </c>
      <c r="J47" s="269">
        <v>5275</v>
      </c>
      <c r="K47" s="269">
        <v>17041</v>
      </c>
      <c r="L47" s="269">
        <v>15436</v>
      </c>
      <c r="M47" s="127">
        <v>0.83</v>
      </c>
      <c r="N47" s="127">
        <v>0.04</v>
      </c>
      <c r="O47" s="127">
        <v>0.96</v>
      </c>
      <c r="P47" s="127">
        <v>0.63</v>
      </c>
      <c r="Q47" s="283">
        <v>0.98</v>
      </c>
      <c r="R47" s="284">
        <v>0</v>
      </c>
      <c r="S47" s="284">
        <v>0</v>
      </c>
      <c r="T47" s="285">
        <v>0</v>
      </c>
      <c r="U47" s="127" t="str">
        <f t="shared" si="0"/>
        <v>Normal</v>
      </c>
      <c r="V47" s="127" t="str">
        <f t="shared" si="1"/>
        <v>Normal</v>
      </c>
      <c r="W47" s="87">
        <f t="shared" si="2"/>
        <v>8.7260034904013961E-3</v>
      </c>
      <c r="X47" s="87">
        <f t="shared" si="3"/>
        <v>6.5637065637065631E-2</v>
      </c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M47" s="33">
        <f t="shared" si="7"/>
        <v>44956</v>
      </c>
      <c r="AN47" s="1" cm="1">
        <f t="array" ref="AN47">SUMIFS(calls_off_BAR,period_BAR,"&gt;="&amp;AM47,period_BAR,"&lt;"&amp;AM48)</f>
        <v>0</v>
      </c>
      <c r="AO47" s="100" cm="1">
        <f t="array" ref="AO47">SUMIFS(calls_ans_BAR,period_BAR,"&gt;="&amp;AM47,period_BAR,"&lt;"&amp;AM48)</f>
        <v>0</v>
      </c>
    </row>
    <row r="48" spans="1:44">
      <c r="A48" s="281">
        <v>44698</v>
      </c>
      <c r="B48" s="314">
        <f>IF(YEAR(Table9[[#This Row],[Date]]) = 2022, WEEKNUM(Table9[[#This Row],[Date]])-13, WEEKNUM(Table9[[#This Row],[Date]])+40)</f>
        <v>8</v>
      </c>
      <c r="C48" s="255" t="s">
        <v>49</v>
      </c>
      <c r="D48" s="65" t="s">
        <v>59</v>
      </c>
      <c r="E48" s="269">
        <v>588</v>
      </c>
      <c r="F48" s="269">
        <v>533</v>
      </c>
      <c r="G48" s="282">
        <v>4.2553191489361701E-2</v>
      </c>
      <c r="H48" s="282">
        <v>3.0947775628626693E-2</v>
      </c>
      <c r="I48" s="269">
        <v>6339</v>
      </c>
      <c r="J48" s="269">
        <v>5808</v>
      </c>
      <c r="K48" s="269">
        <v>17629</v>
      </c>
      <c r="L48" s="269">
        <v>15969</v>
      </c>
      <c r="M48" s="127">
        <v>0.73</v>
      </c>
      <c r="N48" s="127">
        <v>0.09</v>
      </c>
      <c r="O48" s="127">
        <v>0.91</v>
      </c>
      <c r="P48" s="127">
        <v>0.74</v>
      </c>
      <c r="Q48" s="283">
        <v>0.98</v>
      </c>
      <c r="R48" s="284">
        <v>0</v>
      </c>
      <c r="S48" s="284">
        <v>0</v>
      </c>
      <c r="T48" s="285">
        <v>0</v>
      </c>
      <c r="U48" s="127" t="str">
        <f t="shared" si="0"/>
        <v>Normal</v>
      </c>
      <c r="V48" s="127" t="str">
        <f t="shared" si="1"/>
        <v>Normal</v>
      </c>
      <c r="W48" s="87">
        <f t="shared" si="2"/>
        <v>4.2553191489361701E-2</v>
      </c>
      <c r="X48" s="87">
        <f t="shared" si="3"/>
        <v>3.0947775628626693E-2</v>
      </c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M48" s="33">
        <f t="shared" si="7"/>
        <v>44963</v>
      </c>
      <c r="AN48" s="1" cm="1">
        <f t="array" ref="AN48">SUMIFS(calls_off_BAR,period_BAR,"&gt;="&amp;AM48,period_BAR,"&lt;"&amp;AM49)</f>
        <v>1490</v>
      </c>
      <c r="AO48" s="100" cm="1">
        <f t="array" ref="AO48">SUMIFS(calls_ans_BAR,period_BAR,"&gt;="&amp;AM48,period_BAR,"&lt;"&amp;AM49)</f>
        <v>1213</v>
      </c>
    </row>
    <row r="49" spans="1:41">
      <c r="A49" s="281">
        <v>44699</v>
      </c>
      <c r="B49" s="314">
        <f>IF(YEAR(Table9[[#This Row],[Date]]) = 2022, WEEKNUM(Table9[[#This Row],[Date]])-13, WEEKNUM(Table9[[#This Row],[Date]])+40)</f>
        <v>8</v>
      </c>
      <c r="C49" s="255" t="s">
        <v>50</v>
      </c>
      <c r="D49" s="65" t="s">
        <v>59</v>
      </c>
      <c r="E49" s="269">
        <v>468</v>
      </c>
      <c r="F49" s="269">
        <v>448</v>
      </c>
      <c r="G49" s="282">
        <v>6.6059225512528477E-2</v>
      </c>
      <c r="H49" s="282">
        <v>8.2125603864734303E-2</v>
      </c>
      <c r="I49" s="269">
        <v>6807</v>
      </c>
      <c r="J49" s="269">
        <v>6256</v>
      </c>
      <c r="K49" s="269">
        <v>18097</v>
      </c>
      <c r="L49" s="269">
        <v>16417</v>
      </c>
      <c r="M49" s="127">
        <v>0.88</v>
      </c>
      <c r="N49" s="127">
        <v>0.04</v>
      </c>
      <c r="O49" s="127">
        <v>0.96</v>
      </c>
      <c r="P49" s="127">
        <v>0.77</v>
      </c>
      <c r="Q49" s="283">
        <v>0.98</v>
      </c>
      <c r="R49" s="284">
        <v>0</v>
      </c>
      <c r="S49" s="284">
        <v>0</v>
      </c>
      <c r="T49" s="285">
        <v>0</v>
      </c>
      <c r="U49" s="127" t="str">
        <f t="shared" si="0"/>
        <v>Normal</v>
      </c>
      <c r="V49" s="127" t="str">
        <f t="shared" si="1"/>
        <v>Normal</v>
      </c>
      <c r="W49" s="87">
        <f t="shared" si="2"/>
        <v>6.6059225512528477E-2</v>
      </c>
      <c r="X49" s="87">
        <f t="shared" si="3"/>
        <v>8.2125603864734303E-2</v>
      </c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M49" s="33">
        <f t="shared" si="7"/>
        <v>44970</v>
      </c>
      <c r="AN49" s="1" cm="1">
        <f t="array" ref="AN49">SUMIFS(calls_off_BAR,period_BAR,"&gt;="&amp;AM49,period_BAR,"&lt;"&amp;AM50)</f>
        <v>2275</v>
      </c>
      <c r="AO49" s="100" cm="1">
        <f t="array" ref="AO49">SUMIFS(calls_ans_BAR,period_BAR,"&gt;="&amp;AM49,period_BAR,"&lt;"&amp;AM50)</f>
        <v>1950</v>
      </c>
    </row>
    <row r="50" spans="1:41">
      <c r="A50" s="281">
        <v>44700</v>
      </c>
      <c r="B50" s="314">
        <f>IF(YEAR(Table9[[#This Row],[Date]]) = 2022, WEEKNUM(Table9[[#This Row],[Date]])-13, WEEKNUM(Table9[[#This Row],[Date]])+40)</f>
        <v>8</v>
      </c>
      <c r="C50" s="255" t="s">
        <v>51</v>
      </c>
      <c r="D50" s="65" t="s">
        <v>59</v>
      </c>
      <c r="E50" s="269">
        <v>469</v>
      </c>
      <c r="F50" s="269">
        <v>448</v>
      </c>
      <c r="G50" s="282">
        <v>3.3039647577092511E-2</v>
      </c>
      <c r="H50" s="282">
        <v>0.10073710073710074</v>
      </c>
      <c r="I50" s="269">
        <v>7276</v>
      </c>
      <c r="J50" s="269">
        <v>6704</v>
      </c>
      <c r="K50" s="269">
        <v>18566</v>
      </c>
      <c r="L50" s="269">
        <v>16865</v>
      </c>
      <c r="M50" s="127">
        <v>0.81</v>
      </c>
      <c r="N50" s="127">
        <v>0.04</v>
      </c>
      <c r="O50" s="127">
        <v>0.96</v>
      </c>
      <c r="P50" s="127">
        <v>1.02</v>
      </c>
      <c r="Q50" s="283">
        <v>0.95</v>
      </c>
      <c r="R50" s="284">
        <v>0</v>
      </c>
      <c r="S50" s="284">
        <v>0</v>
      </c>
      <c r="T50" s="285">
        <v>0</v>
      </c>
      <c r="U50" s="127" t="str">
        <f t="shared" si="0"/>
        <v>Normal</v>
      </c>
      <c r="V50" s="127" t="str">
        <f t="shared" si="1"/>
        <v>Normal</v>
      </c>
      <c r="W50" s="87">
        <f t="shared" si="2"/>
        <v>3.3039647577092511E-2</v>
      </c>
      <c r="X50" s="87">
        <f t="shared" si="3"/>
        <v>0.10073710073710074</v>
      </c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2"/>
      <c r="AM50" s="33">
        <f t="shared" si="7"/>
        <v>44977</v>
      </c>
      <c r="AN50" s="1" cm="1">
        <f t="array" ref="AN50">SUMIFS(calls_off_BAR,period_BAR,"&gt;="&amp;AM50,period_BAR,"&lt;"&amp;AM51)</f>
        <v>2224</v>
      </c>
      <c r="AO50" s="100" cm="1">
        <f t="array" ref="AO50">SUMIFS(calls_ans_BAR,period_BAR,"&gt;="&amp;AM50,period_BAR,"&lt;"&amp;AM51)</f>
        <v>2045</v>
      </c>
    </row>
    <row r="51" spans="1:41">
      <c r="A51" s="281">
        <v>44701</v>
      </c>
      <c r="B51" s="314">
        <f>IF(YEAR(Table9[[#This Row],[Date]]) = 2022, WEEKNUM(Table9[[#This Row],[Date]])-13, WEEKNUM(Table9[[#This Row],[Date]])+40)</f>
        <v>8</v>
      </c>
      <c r="C51" s="255" t="s">
        <v>52</v>
      </c>
      <c r="D51" s="65" t="s">
        <v>59</v>
      </c>
      <c r="E51" s="269">
        <v>532</v>
      </c>
      <c r="F51" s="269">
        <v>506</v>
      </c>
      <c r="G51" s="282">
        <v>2.7027027027027029E-2</v>
      </c>
      <c r="H51" s="282">
        <v>6.5263157894736842E-2</v>
      </c>
      <c r="I51" s="269">
        <v>7808</v>
      </c>
      <c r="J51" s="269">
        <v>7210</v>
      </c>
      <c r="K51" s="269">
        <v>19098</v>
      </c>
      <c r="L51" s="269">
        <v>17371</v>
      </c>
      <c r="M51" s="127">
        <v>0.88</v>
      </c>
      <c r="N51" s="127">
        <v>0.05</v>
      </c>
      <c r="O51" s="127">
        <v>0.95</v>
      </c>
      <c r="P51" s="127">
        <v>0.7</v>
      </c>
      <c r="Q51" s="283">
        <v>1</v>
      </c>
      <c r="R51" s="284">
        <v>0</v>
      </c>
      <c r="S51" s="284">
        <v>0</v>
      </c>
      <c r="T51" s="285">
        <v>0</v>
      </c>
      <c r="U51" s="127" t="str">
        <f t="shared" si="0"/>
        <v>Normal</v>
      </c>
      <c r="V51" s="127" t="str">
        <f t="shared" si="1"/>
        <v>Normal</v>
      </c>
      <c r="W51" s="87">
        <f t="shared" si="2"/>
        <v>2.7027027027027029E-2</v>
      </c>
      <c r="X51" s="87">
        <f t="shared" si="3"/>
        <v>6.5263157894736842E-2</v>
      </c>
      <c r="Y51" s="272"/>
      <c r="Z51" s="272"/>
      <c r="AA51" s="272"/>
      <c r="AB51" s="272"/>
      <c r="AC51" s="272"/>
      <c r="AD51" s="272"/>
      <c r="AE51" s="272"/>
      <c r="AF51" s="272"/>
      <c r="AG51" s="272"/>
      <c r="AH51" s="272"/>
      <c r="AI51" s="272"/>
      <c r="AJ51" s="272"/>
      <c r="AK51" s="272"/>
      <c r="AM51" s="33">
        <f t="shared" si="7"/>
        <v>44984</v>
      </c>
      <c r="AN51" s="1" cm="1">
        <f t="array" ref="AN51">SUMIFS(calls_off_BAR,period_BAR,"&gt;="&amp;AM51,period_BAR,"&lt;"&amp;AM52)</f>
        <v>2289</v>
      </c>
      <c r="AO51" s="100" cm="1">
        <f t="array" ref="AO51">SUMIFS(calls_ans_BAR,period_BAR,"&gt;="&amp;AM51,period_BAR,"&lt;"&amp;AM52)</f>
        <v>2089</v>
      </c>
    </row>
    <row r="52" spans="1:41">
      <c r="A52" s="281">
        <v>44702</v>
      </c>
      <c r="B52" s="314">
        <f>IF(YEAR(Table9[[#This Row],[Date]]) = 2022, WEEKNUM(Table9[[#This Row],[Date]])-13, WEEKNUM(Table9[[#This Row],[Date]])+40)</f>
        <v>8</v>
      </c>
      <c r="C52" s="255" t="s">
        <v>53</v>
      </c>
      <c r="D52" s="65" t="s">
        <v>59</v>
      </c>
      <c r="E52" s="269">
        <v>488</v>
      </c>
      <c r="F52" s="269">
        <v>447</v>
      </c>
      <c r="G52" s="282">
        <v>0.86259541984732824</v>
      </c>
      <c r="H52" s="282">
        <v>0.94347826086956521</v>
      </c>
      <c r="I52" s="269">
        <v>8296</v>
      </c>
      <c r="J52" s="269">
        <v>7657</v>
      </c>
      <c r="K52" s="269">
        <v>19586</v>
      </c>
      <c r="L52" s="269">
        <v>17818</v>
      </c>
      <c r="M52" s="127">
        <v>0.72</v>
      </c>
      <c r="N52" s="127">
        <v>0.08</v>
      </c>
      <c r="O52" s="127">
        <v>0.92</v>
      </c>
      <c r="P52" s="127">
        <v>0.78</v>
      </c>
      <c r="Q52" s="283">
        <v>0.93</v>
      </c>
      <c r="R52" s="284">
        <v>0</v>
      </c>
      <c r="S52" s="284">
        <v>0</v>
      </c>
      <c r="T52" s="285">
        <v>0</v>
      </c>
      <c r="U52" s="127" t="str">
        <f t="shared" si="0"/>
        <v>Outlier</v>
      </c>
      <c r="V52" s="127" t="str">
        <f t="shared" si="1"/>
        <v>Outlier</v>
      </c>
      <c r="W52" s="87">
        <f t="shared" si="2"/>
        <v>0.86259541984732824</v>
      </c>
      <c r="X52" s="87">
        <f t="shared" si="3"/>
        <v>0.94347826086956521</v>
      </c>
      <c r="Y52" s="272"/>
      <c r="Z52" s="272"/>
      <c r="AA52" s="272"/>
      <c r="AB52" s="272"/>
      <c r="AC52" s="272"/>
      <c r="AD52" s="272"/>
      <c r="AE52" s="272"/>
      <c r="AF52" s="272"/>
      <c r="AG52" s="272"/>
      <c r="AH52" s="272"/>
      <c r="AI52" s="272"/>
      <c r="AJ52" s="272"/>
      <c r="AK52" s="272"/>
      <c r="AM52" s="33">
        <f t="shared" si="7"/>
        <v>44991</v>
      </c>
      <c r="AN52" s="1" cm="1">
        <f t="array" ref="AN52">SUMIFS(calls_off_BAR,period_BAR,"&gt;="&amp;AM52,period_BAR,"&lt;"&amp;AM53)</f>
        <v>2088</v>
      </c>
      <c r="AO52" s="100" cm="1">
        <f t="array" ref="AO52">SUMIFS(calls_ans_BAR,period_BAR,"&gt;="&amp;AM52,period_BAR,"&lt;"&amp;AM53)</f>
        <v>1983</v>
      </c>
    </row>
    <row r="53" spans="1:41">
      <c r="A53" s="281">
        <v>44703</v>
      </c>
      <c r="B53" s="314">
        <f>IF(YEAR(Table9[[#This Row],[Date]]) = 2022, WEEKNUM(Table9[[#This Row],[Date]])-13, WEEKNUM(Table9[[#This Row],[Date]])+40)</f>
        <v>9</v>
      </c>
      <c r="C53" s="255" t="s">
        <v>47</v>
      </c>
      <c r="D53" s="65" t="s">
        <v>59</v>
      </c>
      <c r="E53" s="269">
        <v>0</v>
      </c>
      <c r="F53" s="269">
        <v>0</v>
      </c>
      <c r="G53" s="282">
        <v>0</v>
      </c>
      <c r="H53" s="282">
        <v>0</v>
      </c>
      <c r="I53" s="269">
        <v>0</v>
      </c>
      <c r="J53" s="269">
        <v>0</v>
      </c>
      <c r="K53" s="269">
        <v>0</v>
      </c>
      <c r="L53" s="269">
        <v>0</v>
      </c>
      <c r="M53" s="127">
        <v>0</v>
      </c>
      <c r="N53" s="127">
        <v>0</v>
      </c>
      <c r="O53" s="127">
        <v>0</v>
      </c>
      <c r="P53" s="127">
        <v>0</v>
      </c>
      <c r="Q53" s="283">
        <v>0</v>
      </c>
      <c r="R53" s="284">
        <v>0</v>
      </c>
      <c r="S53" s="284">
        <v>0</v>
      </c>
      <c r="T53" s="285">
        <v>0</v>
      </c>
      <c r="U53" s="127" t="str">
        <f t="shared" si="0"/>
        <v>Normal</v>
      </c>
      <c r="V53" s="127" t="str">
        <f t="shared" si="1"/>
        <v>Normal</v>
      </c>
      <c r="W53" s="87">
        <f t="shared" si="2"/>
        <v>0</v>
      </c>
      <c r="X53" s="87">
        <f t="shared" si="3"/>
        <v>0</v>
      </c>
      <c r="Y53" s="272"/>
      <c r="Z53" s="272"/>
      <c r="AA53" s="272"/>
      <c r="AB53" s="272"/>
      <c r="AC53" s="272"/>
      <c r="AD53" s="272"/>
      <c r="AE53" s="272"/>
      <c r="AF53" s="272"/>
      <c r="AG53" s="272"/>
      <c r="AH53" s="272"/>
      <c r="AI53" s="272"/>
      <c r="AJ53" s="272"/>
      <c r="AK53" s="272"/>
      <c r="AM53" s="33">
        <f t="shared" si="7"/>
        <v>44998</v>
      </c>
      <c r="AN53" s="1">
        <f>SUMIFS(calls_off_BAR,period_BAR,"&gt;="&amp;AM53,period_BAR,"&lt;"&amp;AM54)</f>
        <v>2366</v>
      </c>
      <c r="AO53" s="100">
        <f>SUMIFS(calls_ans_BAR,period_BAR,"&gt;="&amp;AM53,period_BAR,"&lt;"&amp;AM54)</f>
        <v>2158</v>
      </c>
    </row>
    <row r="54" spans="1:41">
      <c r="A54" s="281">
        <v>44704</v>
      </c>
      <c r="B54" s="314">
        <f>IF(YEAR(Table9[[#This Row],[Date]]) = 2022, WEEKNUM(Table9[[#This Row],[Date]])-13, WEEKNUM(Table9[[#This Row],[Date]])+40)</f>
        <v>9</v>
      </c>
      <c r="C54" s="255" t="s">
        <v>48</v>
      </c>
      <c r="D54" s="65" t="s">
        <v>59</v>
      </c>
      <c r="E54" s="269">
        <v>488</v>
      </c>
      <c r="F54" s="269">
        <v>447</v>
      </c>
      <c r="G54" s="282">
        <v>-0.15570934256055363</v>
      </c>
      <c r="H54" s="282">
        <v>-0.19021739130434784</v>
      </c>
      <c r="I54" s="269">
        <v>8784</v>
      </c>
      <c r="J54" s="269">
        <v>8104</v>
      </c>
      <c r="K54" s="269">
        <v>20074</v>
      </c>
      <c r="L54" s="269">
        <v>18265</v>
      </c>
      <c r="M54" s="127">
        <v>0.72</v>
      </c>
      <c r="N54" s="127">
        <v>0.08</v>
      </c>
      <c r="O54" s="127">
        <v>0.92</v>
      </c>
      <c r="P54" s="127">
        <v>0.78</v>
      </c>
      <c r="Q54" s="283">
        <v>0.93</v>
      </c>
      <c r="R54" s="284">
        <v>0</v>
      </c>
      <c r="S54" s="284">
        <v>0</v>
      </c>
      <c r="T54" s="285">
        <v>0</v>
      </c>
      <c r="U54" s="127" t="str">
        <f t="shared" si="0"/>
        <v>Normal</v>
      </c>
      <c r="V54" s="127" t="str">
        <f t="shared" si="1"/>
        <v>Normal</v>
      </c>
      <c r="W54" s="87">
        <f t="shared" si="2"/>
        <v>-0.15570934256055363</v>
      </c>
      <c r="X54" s="87">
        <f t="shared" si="3"/>
        <v>-0.19021739130434784</v>
      </c>
      <c r="Y54" s="272"/>
      <c r="Z54" s="272"/>
      <c r="AA54" s="272"/>
      <c r="AB54" s="272"/>
      <c r="AC54" s="272"/>
      <c r="AD54" s="272"/>
      <c r="AE54" s="272"/>
      <c r="AF54" s="272"/>
      <c r="AG54" s="272"/>
      <c r="AH54" s="272"/>
      <c r="AI54" s="272"/>
      <c r="AJ54" s="272"/>
      <c r="AK54" s="272"/>
      <c r="AM54" s="33">
        <f t="shared" si="7"/>
        <v>45005</v>
      </c>
      <c r="AN54" s="1" cm="1">
        <f t="array" ref="AN54">SUMIFS(calls_off_BAR,period_BAR,"&gt;="&amp;AM54,period_BAR,"&lt;"&amp;AM55)</f>
        <v>2158</v>
      </c>
      <c r="AO54" s="100" cm="1">
        <f t="array" ref="AO54">SUMIFS(calls_ans_BAR,period_BAR,"&gt;="&amp;AM54,period_BAR,"&lt;"&amp;AM55)</f>
        <v>1963</v>
      </c>
    </row>
    <row r="55" spans="1:41">
      <c r="A55" s="281">
        <v>44705</v>
      </c>
      <c r="B55" s="314">
        <f>IF(YEAR(Table9[[#This Row],[Date]]) = 2022, WEEKNUM(Table9[[#This Row],[Date]])-13, WEEKNUM(Table9[[#This Row],[Date]])+40)</f>
        <v>9</v>
      </c>
      <c r="C55" s="255" t="s">
        <v>49</v>
      </c>
      <c r="D55" s="65" t="s">
        <v>59</v>
      </c>
      <c r="E55" s="269">
        <v>439</v>
      </c>
      <c r="F55" s="269">
        <v>421</v>
      </c>
      <c r="G55" s="282">
        <v>-0.25340136054421769</v>
      </c>
      <c r="H55" s="282">
        <v>-0.21013133208255161</v>
      </c>
      <c r="I55" s="269">
        <v>9223</v>
      </c>
      <c r="J55" s="269">
        <v>8525</v>
      </c>
      <c r="K55" s="269">
        <v>20513</v>
      </c>
      <c r="L55" s="269">
        <v>18686</v>
      </c>
      <c r="M55" s="127">
        <v>0.87</v>
      </c>
      <c r="N55" s="127">
        <v>0.04</v>
      </c>
      <c r="O55" s="127">
        <v>0.96</v>
      </c>
      <c r="P55" s="127">
        <v>0.71</v>
      </c>
      <c r="Q55" s="283">
        <v>0.97</v>
      </c>
      <c r="R55" s="284">
        <v>0</v>
      </c>
      <c r="S55" s="284">
        <v>0</v>
      </c>
      <c r="T55" s="285">
        <v>0</v>
      </c>
      <c r="U55" s="127" t="str">
        <f t="shared" si="0"/>
        <v>Normal</v>
      </c>
      <c r="V55" s="127" t="str">
        <f t="shared" si="1"/>
        <v>Normal</v>
      </c>
      <c r="W55" s="87">
        <f t="shared" si="2"/>
        <v>-0.25340136054421769</v>
      </c>
      <c r="X55" s="87">
        <f t="shared" si="3"/>
        <v>-0.21013133208255161</v>
      </c>
      <c r="Y55" s="272"/>
      <c r="Z55" s="272"/>
      <c r="AA55" s="272"/>
      <c r="AB55" s="272"/>
      <c r="AC55" s="272"/>
      <c r="AD55" s="272"/>
      <c r="AE55" s="272"/>
      <c r="AF55" s="272"/>
      <c r="AG55" s="272"/>
      <c r="AH55" s="272"/>
      <c r="AI55" s="272"/>
      <c r="AJ55" s="272"/>
      <c r="AK55" s="272"/>
      <c r="AM55" s="33">
        <f t="shared" si="7"/>
        <v>45012</v>
      </c>
      <c r="AN55" s="1" cm="1">
        <f t="array" ref="AN55">SUMIFS(calls_off_BAR,period_BAR,"&gt;="&amp;AM55,period_BAR,"&lt;"&amp;AM56)</f>
        <v>1905</v>
      </c>
      <c r="AO55" s="100" cm="1">
        <f t="array" ref="AO55">SUMIFS(calls_ans_BAR,period_BAR,"&gt;="&amp;AM55,period_BAR,"&lt;"&amp;AM56)</f>
        <v>1790</v>
      </c>
    </row>
    <row r="56" spans="1:41">
      <c r="A56" s="281">
        <v>44706</v>
      </c>
      <c r="B56" s="314">
        <f>IF(YEAR(Table9[[#This Row],[Date]]) = 2022, WEEKNUM(Table9[[#This Row],[Date]])-13, WEEKNUM(Table9[[#This Row],[Date]])+40)</f>
        <v>9</v>
      </c>
      <c r="C56" s="255" t="s">
        <v>50</v>
      </c>
      <c r="D56" s="65" t="s">
        <v>59</v>
      </c>
      <c r="E56" s="269">
        <v>474</v>
      </c>
      <c r="F56" s="269">
        <v>441</v>
      </c>
      <c r="G56" s="282">
        <v>1.282051282051282E-2</v>
      </c>
      <c r="H56" s="282">
        <v>-1.5625E-2</v>
      </c>
      <c r="I56" s="269">
        <v>9697</v>
      </c>
      <c r="J56" s="269">
        <v>8966</v>
      </c>
      <c r="K56" s="269">
        <v>20987</v>
      </c>
      <c r="L56" s="269">
        <v>19127</v>
      </c>
      <c r="M56" s="127">
        <v>0.82</v>
      </c>
      <c r="N56" s="127">
        <v>7.0000000000000007E-2</v>
      </c>
      <c r="O56" s="127">
        <v>0.93</v>
      </c>
      <c r="P56" s="127">
        <v>0.76</v>
      </c>
      <c r="Q56" s="283">
        <v>0.96</v>
      </c>
      <c r="R56" s="284">
        <v>0</v>
      </c>
      <c r="S56" s="284">
        <v>0</v>
      </c>
      <c r="T56" s="285">
        <v>0</v>
      </c>
      <c r="U56" s="127" t="str">
        <f t="shared" si="0"/>
        <v>Normal</v>
      </c>
      <c r="V56" s="127" t="str">
        <f t="shared" si="1"/>
        <v>Normal</v>
      </c>
      <c r="W56" s="87">
        <f t="shared" si="2"/>
        <v>1.282051282051282E-2</v>
      </c>
      <c r="X56" s="87">
        <f t="shared" si="3"/>
        <v>-1.5625E-2</v>
      </c>
      <c r="Y56" s="272"/>
      <c r="Z56" s="272"/>
      <c r="AA56" s="272"/>
      <c r="AB56" s="272"/>
      <c r="AC56" s="272"/>
      <c r="AD56" s="272"/>
      <c r="AE56" s="272"/>
      <c r="AF56" s="272"/>
      <c r="AG56" s="272"/>
      <c r="AH56" s="272"/>
      <c r="AI56" s="272"/>
      <c r="AJ56" s="272"/>
      <c r="AK56" s="272"/>
      <c r="AM56" s="33">
        <f t="shared" si="7"/>
        <v>45019</v>
      </c>
      <c r="AN56" s="1">
        <f>SUMIFS(calls_off_BAR,period_BAR,"&gt;="&amp;AM56,period_BAR,"&lt;"&amp;AM57)</f>
        <v>0</v>
      </c>
      <c r="AO56" s="100">
        <f>SUMIFS(calls_ans_BAR,period_BAR,"&gt;="&amp;AM56,period_BAR,"&lt;"&amp;AM57)</f>
        <v>0</v>
      </c>
    </row>
    <row r="57" spans="1:41">
      <c r="A57" s="281">
        <v>44707</v>
      </c>
      <c r="B57" s="314">
        <f>IF(YEAR(Table9[[#This Row],[Date]]) = 2022, WEEKNUM(Table9[[#This Row],[Date]])-13, WEEKNUM(Table9[[#This Row],[Date]])+40)</f>
        <v>9</v>
      </c>
      <c r="C57" s="255" t="s">
        <v>51</v>
      </c>
      <c r="D57" s="65" t="s">
        <v>59</v>
      </c>
      <c r="E57" s="269">
        <v>402</v>
      </c>
      <c r="F57" s="269">
        <v>386</v>
      </c>
      <c r="G57" s="282">
        <v>-0.14285714285714285</v>
      </c>
      <c r="H57" s="282">
        <v>-0.13839285714285715</v>
      </c>
      <c r="I57" s="269">
        <v>10099</v>
      </c>
      <c r="J57" s="269">
        <v>9352</v>
      </c>
      <c r="K57" s="269">
        <v>21389</v>
      </c>
      <c r="L57" s="269">
        <v>19513</v>
      </c>
      <c r="M57" s="127">
        <v>0.85</v>
      </c>
      <c r="N57" s="127">
        <v>0.04</v>
      </c>
      <c r="O57" s="127">
        <v>0.96</v>
      </c>
      <c r="P57" s="127">
        <v>0.78</v>
      </c>
      <c r="Q57" s="283">
        <v>0.96</v>
      </c>
      <c r="R57" s="284">
        <v>0</v>
      </c>
      <c r="S57" s="284">
        <v>0</v>
      </c>
      <c r="T57" s="285">
        <v>0</v>
      </c>
      <c r="U57" s="127" t="str">
        <f t="shared" si="0"/>
        <v>Normal</v>
      </c>
      <c r="V57" s="127" t="str">
        <f t="shared" si="1"/>
        <v>Normal</v>
      </c>
      <c r="W57" s="87">
        <f t="shared" si="2"/>
        <v>-0.14285714285714285</v>
      </c>
      <c r="X57" s="87">
        <f t="shared" si="3"/>
        <v>-0.13839285714285715</v>
      </c>
      <c r="Y57" s="272"/>
      <c r="Z57" s="272"/>
      <c r="AA57" s="272"/>
      <c r="AB57" s="272"/>
      <c r="AC57" s="272"/>
      <c r="AD57" s="272"/>
      <c r="AE57" s="272"/>
      <c r="AF57" s="272"/>
      <c r="AG57" s="272"/>
      <c r="AH57" s="272"/>
      <c r="AI57" s="272"/>
      <c r="AJ57" s="272"/>
      <c r="AK57" s="272"/>
    </row>
    <row r="58" spans="1:41">
      <c r="A58" s="281">
        <v>44708</v>
      </c>
      <c r="B58" s="314">
        <f>IF(YEAR(Table9[[#This Row],[Date]]) = 2022, WEEKNUM(Table9[[#This Row],[Date]])-13, WEEKNUM(Table9[[#This Row],[Date]])+40)</f>
        <v>9</v>
      </c>
      <c r="C58" s="255" t="s">
        <v>52</v>
      </c>
      <c r="D58" s="65" t="s">
        <v>59</v>
      </c>
      <c r="E58" s="269">
        <v>476</v>
      </c>
      <c r="F58" s="269">
        <v>458</v>
      </c>
      <c r="G58" s="282">
        <v>-0.10526315789473684</v>
      </c>
      <c r="H58" s="282">
        <v>-9.4861660079051377E-2</v>
      </c>
      <c r="I58" s="269">
        <v>10575</v>
      </c>
      <c r="J58" s="269">
        <v>9810</v>
      </c>
      <c r="K58" s="269">
        <v>21865</v>
      </c>
      <c r="L58" s="269">
        <v>19971</v>
      </c>
      <c r="M58" s="127">
        <v>0.88</v>
      </c>
      <c r="N58" s="127">
        <v>0.04</v>
      </c>
      <c r="O58" s="127">
        <v>0.96</v>
      </c>
      <c r="P58" s="127">
        <v>0.71</v>
      </c>
      <c r="Q58" s="283">
        <v>0.97</v>
      </c>
      <c r="R58" s="284">
        <v>0</v>
      </c>
      <c r="S58" s="284">
        <v>0</v>
      </c>
      <c r="T58" s="285">
        <v>0</v>
      </c>
      <c r="U58" s="127" t="str">
        <f t="shared" si="0"/>
        <v>Normal</v>
      </c>
      <c r="V58" s="127" t="str">
        <f t="shared" si="1"/>
        <v>Normal</v>
      </c>
      <c r="W58" s="87">
        <f t="shared" si="2"/>
        <v>-0.10526315789473684</v>
      </c>
      <c r="X58" s="87">
        <f t="shared" si="3"/>
        <v>-9.4861660079051377E-2</v>
      </c>
      <c r="Y58" s="272"/>
      <c r="Z58" s="272"/>
      <c r="AA58" s="272"/>
      <c r="AB58" s="272"/>
      <c r="AC58" s="272"/>
      <c r="AD58" s="272"/>
      <c r="AE58" s="272"/>
      <c r="AF58" s="272"/>
      <c r="AG58" s="272"/>
      <c r="AH58" s="272"/>
      <c r="AI58" s="272"/>
      <c r="AJ58" s="272"/>
      <c r="AK58" s="272"/>
    </row>
    <row r="59" spans="1:41">
      <c r="A59" s="281">
        <v>44709</v>
      </c>
      <c r="B59" s="314">
        <f>IF(YEAR(Table9[[#This Row],[Date]]) = 2022, WEEKNUM(Table9[[#This Row],[Date]])-13, WEEKNUM(Table9[[#This Row],[Date]])+40)</f>
        <v>9</v>
      </c>
      <c r="C59" s="255" t="s">
        <v>53</v>
      </c>
      <c r="D59" s="65" t="s">
        <v>59</v>
      </c>
      <c r="E59" s="269">
        <v>259</v>
      </c>
      <c r="F59" s="269">
        <v>249</v>
      </c>
      <c r="G59" s="282">
        <v>-0.46926229508196721</v>
      </c>
      <c r="H59" s="282">
        <v>-0.44295302013422821</v>
      </c>
      <c r="I59" s="269">
        <v>10834</v>
      </c>
      <c r="J59" s="269">
        <v>10059</v>
      </c>
      <c r="K59" s="269">
        <v>22124</v>
      </c>
      <c r="L59" s="269">
        <v>20220</v>
      </c>
      <c r="M59" s="127">
        <v>0.91</v>
      </c>
      <c r="N59" s="127">
        <v>0.04</v>
      </c>
      <c r="O59" s="127">
        <v>0.96</v>
      </c>
      <c r="P59" s="127">
        <v>0.56999999999999995</v>
      </c>
      <c r="Q59" s="283">
        <v>0.97</v>
      </c>
      <c r="R59" s="284">
        <v>0</v>
      </c>
      <c r="S59" s="284">
        <v>0</v>
      </c>
      <c r="T59" s="285">
        <v>0</v>
      </c>
      <c r="U59" s="127" t="str">
        <f t="shared" si="0"/>
        <v>Outlier</v>
      </c>
      <c r="V59" s="127" t="str">
        <f t="shared" si="1"/>
        <v>Outlier</v>
      </c>
      <c r="W59" s="87">
        <f t="shared" si="2"/>
        <v>-0.46926229508196721</v>
      </c>
      <c r="X59" s="87">
        <f t="shared" si="3"/>
        <v>-0.44295302013422821</v>
      </c>
      <c r="Y59" s="272"/>
      <c r="Z59" s="272"/>
      <c r="AA59" s="272"/>
      <c r="AB59" s="272"/>
      <c r="AC59" s="272"/>
      <c r="AD59" s="272"/>
      <c r="AE59" s="272"/>
      <c r="AF59" s="272"/>
      <c r="AG59" s="272"/>
      <c r="AH59" s="272"/>
      <c r="AI59" s="272"/>
      <c r="AJ59" s="272"/>
      <c r="AK59" s="272"/>
    </row>
    <row r="60" spans="1:41">
      <c r="A60" s="281">
        <v>44710</v>
      </c>
      <c r="B60" s="314">
        <f>IF(YEAR(Table9[[#This Row],[Date]]) = 2022, WEEKNUM(Table9[[#This Row],[Date]])-13, WEEKNUM(Table9[[#This Row],[Date]])+40)</f>
        <v>10</v>
      </c>
      <c r="C60" s="255" t="s">
        <v>47</v>
      </c>
      <c r="D60" s="65" t="s">
        <v>59</v>
      </c>
      <c r="E60" s="269">
        <v>0</v>
      </c>
      <c r="F60" s="269">
        <v>0</v>
      </c>
      <c r="G60" s="282">
        <v>0</v>
      </c>
      <c r="H60" s="282">
        <v>0</v>
      </c>
      <c r="I60" s="269">
        <v>0</v>
      </c>
      <c r="J60" s="269">
        <v>0</v>
      </c>
      <c r="K60" s="269">
        <v>0</v>
      </c>
      <c r="L60" s="269">
        <v>0</v>
      </c>
      <c r="M60" s="127">
        <v>0</v>
      </c>
      <c r="N60" s="127">
        <v>0</v>
      </c>
      <c r="O60" s="127">
        <v>0</v>
      </c>
      <c r="P60" s="127">
        <v>0</v>
      </c>
      <c r="Q60" s="283">
        <v>0</v>
      </c>
      <c r="R60" s="284">
        <v>0</v>
      </c>
      <c r="S60" s="284">
        <v>0</v>
      </c>
      <c r="T60" s="285">
        <v>0</v>
      </c>
      <c r="U60" s="127" t="str">
        <f t="shared" si="0"/>
        <v>Normal</v>
      </c>
      <c r="V60" s="127" t="str">
        <f t="shared" si="1"/>
        <v>Normal</v>
      </c>
      <c r="W60" s="87">
        <f t="shared" si="2"/>
        <v>0</v>
      </c>
      <c r="X60" s="87">
        <f t="shared" si="3"/>
        <v>0</v>
      </c>
      <c r="Y60" s="272"/>
      <c r="Z60" s="272"/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</row>
    <row r="61" spans="1:41">
      <c r="A61" s="281">
        <v>44711</v>
      </c>
      <c r="B61" s="314">
        <f>IF(YEAR(Table9[[#This Row],[Date]]) = 2022, WEEKNUM(Table9[[#This Row],[Date]])-13, WEEKNUM(Table9[[#This Row],[Date]])+40)</f>
        <v>10</v>
      </c>
      <c r="C61" s="255" t="s">
        <v>48</v>
      </c>
      <c r="D61" s="65" t="s">
        <v>59</v>
      </c>
      <c r="E61" s="269">
        <v>471</v>
      </c>
      <c r="F61" s="269">
        <v>466</v>
      </c>
      <c r="G61" s="282">
        <v>-3.4836065573770489E-2</v>
      </c>
      <c r="H61" s="282">
        <v>4.2505592841163314E-2</v>
      </c>
      <c r="I61" s="269">
        <v>11305</v>
      </c>
      <c r="J61" s="269">
        <v>10525</v>
      </c>
      <c r="K61" s="269">
        <v>22595</v>
      </c>
      <c r="L61" s="269">
        <v>20686</v>
      </c>
      <c r="M61" s="127">
        <v>0.97</v>
      </c>
      <c r="N61" s="127">
        <v>0.01</v>
      </c>
      <c r="O61" s="127">
        <v>0.99</v>
      </c>
      <c r="P61" s="127">
        <v>0.54</v>
      </c>
      <c r="Q61" s="283">
        <v>0.96</v>
      </c>
      <c r="R61" s="284">
        <v>0</v>
      </c>
      <c r="S61" s="284">
        <v>0</v>
      </c>
      <c r="T61" s="285">
        <v>0</v>
      </c>
      <c r="U61" s="127" t="str">
        <f t="shared" si="0"/>
        <v>Normal</v>
      </c>
      <c r="V61" s="127" t="str">
        <f t="shared" si="1"/>
        <v>Normal</v>
      </c>
      <c r="W61" s="87">
        <f t="shared" si="2"/>
        <v>-3.4836065573770489E-2</v>
      </c>
      <c r="X61" s="87">
        <f t="shared" si="3"/>
        <v>4.2505592841163314E-2</v>
      </c>
      <c r="Y61" s="272"/>
      <c r="Z61" s="272"/>
      <c r="AA61" s="272"/>
      <c r="AB61" s="272"/>
      <c r="AC61" s="272"/>
      <c r="AD61" s="272"/>
      <c r="AE61" s="272"/>
      <c r="AF61" s="272"/>
      <c r="AG61" s="272"/>
      <c r="AH61" s="272"/>
      <c r="AI61" s="272"/>
      <c r="AJ61" s="272"/>
      <c r="AK61" s="272"/>
    </row>
    <row r="62" spans="1:41">
      <c r="A62" s="281">
        <v>44712</v>
      </c>
      <c r="B62" s="314">
        <f>IF(YEAR(Table9[[#This Row],[Date]]) = 2022, WEEKNUM(Table9[[#This Row],[Date]])-13, WEEKNUM(Table9[[#This Row],[Date]])+40)</f>
        <v>10</v>
      </c>
      <c r="C62" s="255" t="s">
        <v>49</v>
      </c>
      <c r="D62" s="65" t="s">
        <v>59</v>
      </c>
      <c r="E62" s="269">
        <v>428</v>
      </c>
      <c r="F62" s="269">
        <v>408</v>
      </c>
      <c r="G62" s="282">
        <v>-2.5056947608200455E-2</v>
      </c>
      <c r="H62" s="282">
        <v>-3.0878859857482184E-2</v>
      </c>
      <c r="I62" s="269">
        <v>11733</v>
      </c>
      <c r="J62" s="269">
        <v>10933</v>
      </c>
      <c r="K62" s="269">
        <v>23023</v>
      </c>
      <c r="L62" s="269">
        <v>21094</v>
      </c>
      <c r="M62" s="127">
        <v>0.85</v>
      </c>
      <c r="N62" s="127">
        <v>0.05</v>
      </c>
      <c r="O62" s="127">
        <v>0.95</v>
      </c>
      <c r="P62" s="127">
        <v>0.56000000000000005</v>
      </c>
      <c r="Q62" s="283">
        <v>0.96</v>
      </c>
      <c r="R62" s="284">
        <v>0</v>
      </c>
      <c r="S62" s="284">
        <v>0</v>
      </c>
      <c r="T62" s="285">
        <v>0</v>
      </c>
      <c r="U62" s="127" t="str">
        <f t="shared" si="0"/>
        <v>Normal</v>
      </c>
      <c r="V62" s="127" t="str">
        <f t="shared" si="1"/>
        <v>Normal</v>
      </c>
      <c r="W62" s="87">
        <f t="shared" si="2"/>
        <v>-2.5056947608200455E-2</v>
      </c>
      <c r="X62" s="87">
        <f t="shared" si="3"/>
        <v>-3.0878859857482184E-2</v>
      </c>
      <c r="Y62" s="272"/>
      <c r="Z62" s="272"/>
      <c r="AA62" s="272"/>
      <c r="AB62" s="272"/>
      <c r="AC62" s="272"/>
      <c r="AD62" s="272"/>
      <c r="AE62" s="272"/>
      <c r="AF62" s="272"/>
      <c r="AG62" s="272"/>
      <c r="AH62" s="272"/>
      <c r="AI62" s="272"/>
      <c r="AJ62" s="272"/>
      <c r="AK62" s="272"/>
    </row>
    <row r="63" spans="1:41">
      <c r="A63" s="281">
        <v>44713</v>
      </c>
      <c r="B63" s="314">
        <f>IF(YEAR(Table9[[#This Row],[Date]]) = 2022, WEEKNUM(Table9[[#This Row],[Date]])-13, WEEKNUM(Table9[[#This Row],[Date]])+40)</f>
        <v>10</v>
      </c>
      <c r="C63" s="255" t="s">
        <v>50</v>
      </c>
      <c r="D63" s="65" t="s">
        <v>59</v>
      </c>
      <c r="E63" s="269">
        <v>388</v>
      </c>
      <c r="F63" s="269">
        <v>365</v>
      </c>
      <c r="G63" s="282">
        <v>-0.18143459915611815</v>
      </c>
      <c r="H63" s="282">
        <v>-0.17233560090702948</v>
      </c>
      <c r="I63" s="269">
        <v>388</v>
      </c>
      <c r="J63" s="269">
        <v>365</v>
      </c>
      <c r="K63" s="269">
        <v>23411</v>
      </c>
      <c r="L63" s="269">
        <v>21459</v>
      </c>
      <c r="M63" s="127">
        <v>0.76</v>
      </c>
      <c r="N63" s="127">
        <v>0.06</v>
      </c>
      <c r="O63" s="127">
        <v>0.94</v>
      </c>
      <c r="P63" s="127">
        <v>0.63</v>
      </c>
      <c r="Q63" s="283">
        <v>0.97</v>
      </c>
      <c r="R63" s="284">
        <v>0</v>
      </c>
      <c r="S63" s="284">
        <v>0</v>
      </c>
      <c r="T63" s="285">
        <v>0</v>
      </c>
      <c r="U63" s="127" t="str">
        <f t="shared" si="0"/>
        <v>Normal</v>
      </c>
      <c r="V63" s="127" t="str">
        <f t="shared" si="1"/>
        <v>Normal</v>
      </c>
      <c r="W63" s="87">
        <f t="shared" si="2"/>
        <v>-0.18143459915611815</v>
      </c>
      <c r="X63" s="87">
        <f t="shared" si="3"/>
        <v>-0.17233560090702948</v>
      </c>
      <c r="Y63" s="272"/>
      <c r="Z63" s="272"/>
      <c r="AA63" s="272"/>
      <c r="AB63" s="272"/>
      <c r="AC63" s="272"/>
      <c r="AD63" s="272"/>
      <c r="AE63" s="272"/>
      <c r="AF63" s="272"/>
      <c r="AG63" s="272"/>
      <c r="AH63" s="272"/>
      <c r="AI63" s="272"/>
      <c r="AJ63" s="272"/>
      <c r="AK63" s="272"/>
    </row>
    <row r="64" spans="1:41">
      <c r="A64" s="281">
        <v>44714</v>
      </c>
      <c r="B64" s="314">
        <f>IF(YEAR(Table9[[#This Row],[Date]]) = 2022, WEEKNUM(Table9[[#This Row],[Date]])-13, WEEKNUM(Table9[[#This Row],[Date]])+40)</f>
        <v>10</v>
      </c>
      <c r="C64" s="255" t="s">
        <v>51</v>
      </c>
      <c r="D64" s="65" t="s">
        <v>59</v>
      </c>
      <c r="E64" s="269">
        <v>363</v>
      </c>
      <c r="F64" s="269">
        <v>349</v>
      </c>
      <c r="G64" s="282">
        <v>-9.7014925373134331E-2</v>
      </c>
      <c r="H64" s="282">
        <v>-9.585492227979274E-2</v>
      </c>
      <c r="I64" s="269">
        <v>751</v>
      </c>
      <c r="J64" s="269">
        <v>714</v>
      </c>
      <c r="K64" s="269">
        <v>23774</v>
      </c>
      <c r="L64" s="269">
        <v>21808</v>
      </c>
      <c r="M64" s="127">
        <v>0.86</v>
      </c>
      <c r="N64" s="127">
        <v>0.04</v>
      </c>
      <c r="O64" s="127">
        <v>0.96</v>
      </c>
      <c r="P64" s="127">
        <v>0.6</v>
      </c>
      <c r="Q64" s="283">
        <v>0.98</v>
      </c>
      <c r="R64" s="284">
        <v>0</v>
      </c>
      <c r="S64" s="284">
        <v>0</v>
      </c>
      <c r="T64" s="285">
        <v>0</v>
      </c>
      <c r="U64" s="127" t="str">
        <f t="shared" si="0"/>
        <v>Normal</v>
      </c>
      <c r="V64" s="127" t="str">
        <f t="shared" si="1"/>
        <v>Normal</v>
      </c>
      <c r="W64" s="87">
        <f t="shared" si="2"/>
        <v>-9.7014925373134331E-2</v>
      </c>
      <c r="X64" s="87">
        <f t="shared" si="3"/>
        <v>-9.585492227979274E-2</v>
      </c>
      <c r="Y64" s="272"/>
      <c r="Z64" s="272"/>
      <c r="AA64" s="272"/>
      <c r="AB64" s="272"/>
      <c r="AC64" s="272"/>
      <c r="AD64" s="272"/>
      <c r="AE64" s="272"/>
      <c r="AF64" s="272"/>
      <c r="AG64" s="272"/>
      <c r="AH64" s="272"/>
      <c r="AI64" s="272"/>
      <c r="AJ64" s="272"/>
      <c r="AK64" s="272"/>
    </row>
    <row r="65" spans="1:37">
      <c r="A65" s="281">
        <v>44715</v>
      </c>
      <c r="B65" s="314">
        <f>IF(YEAR(Table9[[#This Row],[Date]]) = 2022, WEEKNUM(Table9[[#This Row],[Date]])-13, WEEKNUM(Table9[[#This Row],[Date]])+40)</f>
        <v>10</v>
      </c>
      <c r="C65" s="255" t="s">
        <v>52</v>
      </c>
      <c r="D65" s="65" t="s">
        <v>59</v>
      </c>
      <c r="E65" s="269">
        <v>430</v>
      </c>
      <c r="F65" s="269">
        <v>418</v>
      </c>
      <c r="G65" s="282">
        <v>-9.6638655462184878E-2</v>
      </c>
      <c r="H65" s="282">
        <v>-8.7336244541484712E-2</v>
      </c>
      <c r="I65" s="269">
        <v>1181</v>
      </c>
      <c r="J65" s="269">
        <v>1132</v>
      </c>
      <c r="K65" s="269">
        <v>24204</v>
      </c>
      <c r="L65" s="269">
        <v>22226</v>
      </c>
      <c r="M65" s="127">
        <v>0.89</v>
      </c>
      <c r="N65" s="127">
        <v>0.03</v>
      </c>
      <c r="O65" s="127">
        <v>0.97</v>
      </c>
      <c r="P65" s="127">
        <v>0.72</v>
      </c>
      <c r="Q65" s="283">
        <v>0.97</v>
      </c>
      <c r="R65" s="284">
        <v>0</v>
      </c>
      <c r="S65" s="284">
        <v>0</v>
      </c>
      <c r="T65" s="285">
        <v>0</v>
      </c>
      <c r="U65" s="127" t="str">
        <f t="shared" si="0"/>
        <v>Normal</v>
      </c>
      <c r="V65" s="127" t="str">
        <f t="shared" si="1"/>
        <v>Normal</v>
      </c>
      <c r="W65" s="87">
        <f t="shared" si="2"/>
        <v>-9.6638655462184878E-2</v>
      </c>
      <c r="X65" s="87">
        <f t="shared" si="3"/>
        <v>-8.7336244541484712E-2</v>
      </c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272"/>
      <c r="AK65" s="272"/>
    </row>
    <row r="66" spans="1:37">
      <c r="A66" s="281">
        <v>44716</v>
      </c>
      <c r="B66" s="314">
        <f>IF(YEAR(Table9[[#This Row],[Date]]) = 2022, WEEKNUM(Table9[[#This Row],[Date]])-13, WEEKNUM(Table9[[#This Row],[Date]])+40)</f>
        <v>10</v>
      </c>
      <c r="C66" s="255" t="s">
        <v>53</v>
      </c>
      <c r="D66" s="65" t="s">
        <v>59</v>
      </c>
      <c r="E66" s="269">
        <v>204</v>
      </c>
      <c r="F66" s="269">
        <v>196</v>
      </c>
      <c r="G66" s="282">
        <v>-0.21235521235521235</v>
      </c>
      <c r="H66" s="282">
        <v>-0.21285140562248997</v>
      </c>
      <c r="I66" s="269">
        <v>1385</v>
      </c>
      <c r="J66" s="269">
        <v>1328</v>
      </c>
      <c r="K66" s="269">
        <v>24408</v>
      </c>
      <c r="L66" s="269">
        <v>22422</v>
      </c>
      <c r="M66" s="127">
        <v>0.84</v>
      </c>
      <c r="N66" s="127">
        <v>0.04</v>
      </c>
      <c r="O66" s="127">
        <v>0.96</v>
      </c>
      <c r="P66" s="127">
        <v>0.68</v>
      </c>
      <c r="Q66" s="283">
        <v>0.97</v>
      </c>
      <c r="R66" s="284">
        <v>0</v>
      </c>
      <c r="S66" s="284">
        <v>0</v>
      </c>
      <c r="T66" s="285">
        <v>0</v>
      </c>
      <c r="U66" s="127" t="str">
        <f t="shared" si="0"/>
        <v>Normal</v>
      </c>
      <c r="V66" s="127" t="str">
        <f t="shared" si="1"/>
        <v>Normal</v>
      </c>
      <c r="W66" s="87">
        <f t="shared" si="2"/>
        <v>-0.21235521235521235</v>
      </c>
      <c r="X66" s="87">
        <f t="shared" si="3"/>
        <v>-0.21285140562248997</v>
      </c>
      <c r="Y66" s="272"/>
      <c r="Z66" s="272"/>
      <c r="AA66" s="272"/>
      <c r="AB66" s="272"/>
      <c r="AC66" s="272"/>
      <c r="AD66" s="272"/>
      <c r="AE66" s="272"/>
      <c r="AF66" s="272"/>
      <c r="AG66" s="272"/>
      <c r="AH66" s="272"/>
      <c r="AI66" s="272"/>
      <c r="AJ66" s="272"/>
      <c r="AK66" s="272"/>
    </row>
    <row r="67" spans="1:37">
      <c r="A67" s="281">
        <v>44717</v>
      </c>
      <c r="B67" s="314">
        <f>IF(YEAR(Table9[[#This Row],[Date]]) = 2022, WEEKNUM(Table9[[#This Row],[Date]])-13, WEEKNUM(Table9[[#This Row],[Date]])+40)</f>
        <v>11</v>
      </c>
      <c r="C67" s="255" t="s">
        <v>47</v>
      </c>
      <c r="D67" s="65" t="s">
        <v>59</v>
      </c>
      <c r="E67" s="269">
        <v>0</v>
      </c>
      <c r="F67" s="269">
        <v>0</v>
      </c>
      <c r="G67" s="282">
        <v>0</v>
      </c>
      <c r="H67" s="282">
        <v>0</v>
      </c>
      <c r="I67" s="269">
        <v>0</v>
      </c>
      <c r="J67" s="269">
        <v>0</v>
      </c>
      <c r="K67" s="269">
        <v>0</v>
      </c>
      <c r="L67" s="269">
        <v>0</v>
      </c>
      <c r="M67" s="127">
        <v>0</v>
      </c>
      <c r="N67" s="127">
        <v>0</v>
      </c>
      <c r="O67" s="127">
        <v>0</v>
      </c>
      <c r="P67" s="127">
        <v>0</v>
      </c>
      <c r="Q67" s="283">
        <v>0</v>
      </c>
      <c r="R67" s="284">
        <v>0</v>
      </c>
      <c r="S67" s="284">
        <v>0</v>
      </c>
      <c r="T67" s="285">
        <v>0</v>
      </c>
      <c r="U67" s="127" t="str">
        <f t="shared" ref="U67:U130" si="8">IF(OR(G67&lt;$AA$5,G67&gt;$AB$5), "Outlier", "Normal")</f>
        <v>Normal</v>
      </c>
      <c r="V67" s="127" t="str">
        <f t="shared" ref="V67:V130" si="9">IF(OR(H67&lt;$AA$6,H67&gt;$AB$6), "Outlier", "Normal")</f>
        <v>Normal</v>
      </c>
      <c r="W67" s="87">
        <f t="shared" ref="W67:W130" si="10">IF(U67="Normal",$G67,IF($G67&lt;150%, $G67, $AA$9))</f>
        <v>0</v>
      </c>
      <c r="X67" s="87">
        <f t="shared" ref="X67:X130" si="11">IF(V67="Normal",$H67,IF($H67&lt;150%, $H67, $AE$9))</f>
        <v>0</v>
      </c>
      <c r="Y67" s="272"/>
      <c r="Z67" s="272"/>
      <c r="AA67" s="272"/>
      <c r="AB67" s="272"/>
      <c r="AC67" s="272"/>
      <c r="AD67" s="272"/>
      <c r="AE67" s="272"/>
      <c r="AF67" s="272"/>
      <c r="AG67" s="272"/>
      <c r="AH67" s="272"/>
      <c r="AI67" s="272"/>
      <c r="AJ67" s="272"/>
      <c r="AK67" s="272"/>
    </row>
    <row r="68" spans="1:37">
      <c r="A68" s="281">
        <v>44718</v>
      </c>
      <c r="B68" s="314">
        <f>IF(YEAR(Table9[[#This Row],[Date]]) = 2022, WEEKNUM(Table9[[#This Row],[Date]])-13, WEEKNUM(Table9[[#This Row],[Date]])+40)</f>
        <v>11</v>
      </c>
      <c r="C68" s="255" t="s">
        <v>48</v>
      </c>
      <c r="D68" s="65" t="s">
        <v>59</v>
      </c>
      <c r="E68" s="269">
        <v>0</v>
      </c>
      <c r="F68" s="269">
        <v>0</v>
      </c>
      <c r="G68" s="282">
        <v>0</v>
      </c>
      <c r="H68" s="282">
        <v>0</v>
      </c>
      <c r="I68" s="269">
        <v>0</v>
      </c>
      <c r="J68" s="269">
        <v>0</v>
      </c>
      <c r="K68" s="269">
        <v>0</v>
      </c>
      <c r="L68" s="269">
        <v>0</v>
      </c>
      <c r="M68" s="127">
        <v>0</v>
      </c>
      <c r="N68" s="127">
        <v>0</v>
      </c>
      <c r="O68" s="127">
        <v>0</v>
      </c>
      <c r="P68" s="127">
        <v>0</v>
      </c>
      <c r="Q68" s="283">
        <v>0</v>
      </c>
      <c r="R68" s="284">
        <v>0</v>
      </c>
      <c r="S68" s="284">
        <v>0</v>
      </c>
      <c r="T68" s="285">
        <v>0</v>
      </c>
      <c r="U68" s="127" t="str">
        <f t="shared" si="8"/>
        <v>Normal</v>
      </c>
      <c r="V68" s="127" t="str">
        <f t="shared" si="9"/>
        <v>Normal</v>
      </c>
      <c r="W68" s="87">
        <f t="shared" si="10"/>
        <v>0</v>
      </c>
      <c r="X68" s="87">
        <f t="shared" si="11"/>
        <v>0</v>
      </c>
      <c r="Y68" s="272"/>
      <c r="Z68" s="272"/>
      <c r="AA68" s="272"/>
      <c r="AB68" s="272"/>
      <c r="AC68" s="272"/>
      <c r="AD68" s="272"/>
      <c r="AE68" s="272"/>
      <c r="AF68" s="272"/>
      <c r="AG68" s="272"/>
      <c r="AH68" s="272"/>
      <c r="AI68" s="272"/>
      <c r="AJ68" s="272"/>
      <c r="AK68" s="272"/>
    </row>
    <row r="69" spans="1:37">
      <c r="A69" s="281">
        <v>44719</v>
      </c>
      <c r="B69" s="314">
        <f>IF(YEAR(Table9[[#This Row],[Date]]) = 2022, WEEKNUM(Table9[[#This Row],[Date]])-13, WEEKNUM(Table9[[#This Row],[Date]])+40)</f>
        <v>11</v>
      </c>
      <c r="C69" s="255" t="s">
        <v>49</v>
      </c>
      <c r="D69" s="65" t="s">
        <v>59</v>
      </c>
      <c r="E69" s="269">
        <v>556</v>
      </c>
      <c r="F69" s="269">
        <v>532</v>
      </c>
      <c r="G69" s="282">
        <v>0.29906542056074764</v>
      </c>
      <c r="H69" s="282">
        <v>0.30392156862745096</v>
      </c>
      <c r="I69" s="269">
        <v>1941</v>
      </c>
      <c r="J69" s="269">
        <v>1860</v>
      </c>
      <c r="K69" s="269">
        <v>24964</v>
      </c>
      <c r="L69" s="269">
        <v>22954</v>
      </c>
      <c r="M69" s="127">
        <v>0.89</v>
      </c>
      <c r="N69" s="127">
        <v>0.04</v>
      </c>
      <c r="O69" s="127">
        <v>0.96</v>
      </c>
      <c r="P69" s="127">
        <v>0.73</v>
      </c>
      <c r="Q69" s="283">
        <v>0.98</v>
      </c>
      <c r="R69" s="284">
        <v>0</v>
      </c>
      <c r="S69" s="284">
        <v>0</v>
      </c>
      <c r="T69" s="285">
        <v>0</v>
      </c>
      <c r="U69" s="127" t="str">
        <f t="shared" si="8"/>
        <v>Normal</v>
      </c>
      <c r="V69" s="127" t="str">
        <f t="shared" si="9"/>
        <v>Normal</v>
      </c>
      <c r="W69" s="87">
        <f t="shared" si="10"/>
        <v>0.29906542056074764</v>
      </c>
      <c r="X69" s="87">
        <f t="shared" si="11"/>
        <v>0.30392156862745096</v>
      </c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</row>
    <row r="70" spans="1:37">
      <c r="A70" s="281">
        <v>44720</v>
      </c>
      <c r="B70" s="314">
        <f>IF(YEAR(Table9[[#This Row],[Date]]) = 2022, WEEKNUM(Table9[[#This Row],[Date]])-13, WEEKNUM(Table9[[#This Row],[Date]])+40)</f>
        <v>11</v>
      </c>
      <c r="C70" s="255" t="s">
        <v>50</v>
      </c>
      <c r="D70" s="65" t="s">
        <v>59</v>
      </c>
      <c r="E70" s="269">
        <v>508</v>
      </c>
      <c r="F70" s="269">
        <v>494</v>
      </c>
      <c r="G70" s="282">
        <v>0.30927835051546393</v>
      </c>
      <c r="H70" s="282">
        <v>0.35342465753424657</v>
      </c>
      <c r="I70" s="269">
        <v>2449</v>
      </c>
      <c r="J70" s="269">
        <v>2354</v>
      </c>
      <c r="K70" s="269">
        <v>25472</v>
      </c>
      <c r="L70" s="269">
        <v>23448</v>
      </c>
      <c r="M70" s="127">
        <v>0.93</v>
      </c>
      <c r="N70" s="127">
        <v>0.03</v>
      </c>
      <c r="O70" s="127">
        <v>0.97</v>
      </c>
      <c r="P70" s="127">
        <v>0.68</v>
      </c>
      <c r="Q70" s="283">
        <v>0.96</v>
      </c>
      <c r="R70" s="284">
        <v>0</v>
      </c>
      <c r="S70" s="284">
        <v>0</v>
      </c>
      <c r="T70" s="285">
        <v>0</v>
      </c>
      <c r="U70" s="127" t="str">
        <f t="shared" si="8"/>
        <v>Normal</v>
      </c>
      <c r="V70" s="127" t="str">
        <f t="shared" si="9"/>
        <v>Outlier</v>
      </c>
      <c r="W70" s="87">
        <f t="shared" si="10"/>
        <v>0.30927835051546393</v>
      </c>
      <c r="X70" s="87">
        <f t="shared" si="11"/>
        <v>0.35342465753424657</v>
      </c>
      <c r="Y70" s="272"/>
      <c r="Z70" s="272"/>
      <c r="AA70" s="272"/>
      <c r="AB70" s="272"/>
      <c r="AC70" s="272"/>
      <c r="AD70" s="272"/>
      <c r="AE70" s="272"/>
      <c r="AF70" s="272"/>
      <c r="AG70" s="272"/>
      <c r="AH70" s="272"/>
      <c r="AI70" s="272"/>
      <c r="AJ70" s="272"/>
      <c r="AK70" s="272"/>
    </row>
    <row r="71" spans="1:37">
      <c r="A71" s="281">
        <v>44721</v>
      </c>
      <c r="B71" s="314">
        <f>IF(YEAR(Table9[[#This Row],[Date]]) = 2022, WEEKNUM(Table9[[#This Row],[Date]])-13, WEEKNUM(Table9[[#This Row],[Date]])+40)</f>
        <v>11</v>
      </c>
      <c r="C71" s="255" t="s">
        <v>51</v>
      </c>
      <c r="D71" s="65" t="s">
        <v>59</v>
      </c>
      <c r="E71" s="269">
        <v>559</v>
      </c>
      <c r="F71" s="269">
        <v>538</v>
      </c>
      <c r="G71" s="282">
        <v>0.53994490358126723</v>
      </c>
      <c r="H71" s="282">
        <v>0.54154727793696278</v>
      </c>
      <c r="I71" s="269">
        <v>3008</v>
      </c>
      <c r="J71" s="269">
        <v>2892</v>
      </c>
      <c r="K71" s="269">
        <v>26031</v>
      </c>
      <c r="L71" s="269">
        <v>23986</v>
      </c>
      <c r="M71" s="127">
        <v>0.88</v>
      </c>
      <c r="N71" s="127">
        <v>0.04</v>
      </c>
      <c r="O71" s="127">
        <v>0.96</v>
      </c>
      <c r="P71" s="127">
        <v>0.74</v>
      </c>
      <c r="Q71" s="283">
        <v>0.97</v>
      </c>
      <c r="R71" s="284">
        <v>0</v>
      </c>
      <c r="S71" s="284">
        <v>0</v>
      </c>
      <c r="T71" s="285">
        <v>0</v>
      </c>
      <c r="U71" s="127" t="str">
        <f t="shared" si="8"/>
        <v>Outlier</v>
      </c>
      <c r="V71" s="127" t="str">
        <f t="shared" si="9"/>
        <v>Outlier</v>
      </c>
      <c r="W71" s="87">
        <f t="shared" si="10"/>
        <v>0.53994490358126723</v>
      </c>
      <c r="X71" s="87">
        <f t="shared" si="11"/>
        <v>0.54154727793696278</v>
      </c>
      <c r="Y71" s="272"/>
      <c r="Z71" s="272"/>
      <c r="AA71" s="272"/>
      <c r="AB71" s="272"/>
      <c r="AC71" s="272"/>
      <c r="AD71" s="272"/>
      <c r="AE71" s="272"/>
      <c r="AF71" s="272"/>
      <c r="AG71" s="272"/>
      <c r="AH71" s="272"/>
      <c r="AI71" s="272"/>
      <c r="AJ71" s="272"/>
      <c r="AK71" s="272"/>
    </row>
    <row r="72" spans="1:37">
      <c r="A72" s="281">
        <v>44722</v>
      </c>
      <c r="B72" s="314">
        <f>IF(YEAR(Table9[[#This Row],[Date]]) = 2022, WEEKNUM(Table9[[#This Row],[Date]])-13, WEEKNUM(Table9[[#This Row],[Date]])+40)</f>
        <v>11</v>
      </c>
      <c r="C72" s="255" t="s">
        <v>52</v>
      </c>
      <c r="D72" s="65" t="s">
        <v>59</v>
      </c>
      <c r="E72" s="269">
        <v>414</v>
      </c>
      <c r="F72" s="269">
        <v>400</v>
      </c>
      <c r="G72" s="282">
        <v>-3.7209302325581395E-2</v>
      </c>
      <c r="H72" s="282">
        <v>-4.3062200956937802E-2</v>
      </c>
      <c r="I72" s="269">
        <v>3422</v>
      </c>
      <c r="J72" s="269">
        <v>3292</v>
      </c>
      <c r="K72" s="269">
        <v>26445</v>
      </c>
      <c r="L72" s="269">
        <v>24386</v>
      </c>
      <c r="M72" s="127">
        <v>0.91</v>
      </c>
      <c r="N72" s="127">
        <v>0.03</v>
      </c>
      <c r="O72" s="127">
        <v>0.97</v>
      </c>
      <c r="P72" s="127">
        <v>0.55000000000000004</v>
      </c>
      <c r="Q72" s="283">
        <v>0.97</v>
      </c>
      <c r="R72" s="284">
        <v>0</v>
      </c>
      <c r="S72" s="284">
        <v>0</v>
      </c>
      <c r="T72" s="285">
        <v>0</v>
      </c>
      <c r="U72" s="127" t="str">
        <f t="shared" si="8"/>
        <v>Normal</v>
      </c>
      <c r="V72" s="127" t="str">
        <f t="shared" si="9"/>
        <v>Normal</v>
      </c>
      <c r="W72" s="87">
        <f t="shared" si="10"/>
        <v>-3.7209302325581395E-2</v>
      </c>
      <c r="X72" s="87">
        <f t="shared" si="11"/>
        <v>-4.3062200956937802E-2</v>
      </c>
      <c r="Y72" s="272"/>
      <c r="Z72" s="272"/>
      <c r="AA72" s="272"/>
      <c r="AB72" s="272"/>
      <c r="AC72" s="272"/>
      <c r="AD72" s="272"/>
      <c r="AE72" s="272"/>
      <c r="AF72" s="272"/>
      <c r="AG72" s="272"/>
      <c r="AH72" s="272"/>
      <c r="AI72" s="272"/>
      <c r="AJ72" s="272"/>
      <c r="AK72" s="272"/>
    </row>
    <row r="73" spans="1:37">
      <c r="A73" s="281">
        <v>44723</v>
      </c>
      <c r="B73" s="314">
        <f>IF(YEAR(Table9[[#This Row],[Date]]) = 2022, WEEKNUM(Table9[[#This Row],[Date]])-13, WEEKNUM(Table9[[#This Row],[Date]])+40)</f>
        <v>11</v>
      </c>
      <c r="C73" s="255" t="s">
        <v>53</v>
      </c>
      <c r="D73" s="65" t="s">
        <v>59</v>
      </c>
      <c r="E73" s="269">
        <v>248</v>
      </c>
      <c r="F73" s="269">
        <v>216</v>
      </c>
      <c r="G73" s="282">
        <v>0.21568627450980393</v>
      </c>
      <c r="H73" s="282">
        <v>0.10204081632653061</v>
      </c>
      <c r="I73" s="269">
        <v>3670</v>
      </c>
      <c r="J73" s="269">
        <v>3508</v>
      </c>
      <c r="K73" s="269">
        <v>26693</v>
      </c>
      <c r="L73" s="269">
        <v>24602</v>
      </c>
      <c r="M73" s="127">
        <v>0.66</v>
      </c>
      <c r="N73" s="127">
        <v>0.13</v>
      </c>
      <c r="O73" s="127">
        <v>0.67</v>
      </c>
      <c r="P73" s="127">
        <v>0.74</v>
      </c>
      <c r="Q73" s="283">
        <v>0.97</v>
      </c>
      <c r="R73" s="284">
        <v>0</v>
      </c>
      <c r="S73" s="284">
        <v>0</v>
      </c>
      <c r="T73" s="285">
        <v>0</v>
      </c>
      <c r="U73" s="127" t="str">
        <f t="shared" si="8"/>
        <v>Normal</v>
      </c>
      <c r="V73" s="127" t="str">
        <f t="shared" si="9"/>
        <v>Normal</v>
      </c>
      <c r="W73" s="87">
        <f t="shared" si="10"/>
        <v>0.21568627450980393</v>
      </c>
      <c r="X73" s="87">
        <f t="shared" si="11"/>
        <v>0.10204081632653061</v>
      </c>
      <c r="Y73" s="272"/>
      <c r="Z73" s="272"/>
      <c r="AA73" s="272"/>
      <c r="AB73" s="272"/>
      <c r="AC73" s="272"/>
      <c r="AD73" s="272"/>
      <c r="AE73" s="272"/>
      <c r="AF73" s="272"/>
      <c r="AG73" s="272"/>
      <c r="AH73" s="272"/>
      <c r="AI73" s="272"/>
      <c r="AJ73" s="272"/>
      <c r="AK73" s="272"/>
    </row>
    <row r="74" spans="1:37">
      <c r="A74" s="281">
        <v>44724</v>
      </c>
      <c r="B74" s="314">
        <f>IF(YEAR(Table9[[#This Row],[Date]]) = 2022, WEEKNUM(Table9[[#This Row],[Date]])-13, WEEKNUM(Table9[[#This Row],[Date]])+40)</f>
        <v>12</v>
      </c>
      <c r="C74" s="255" t="s">
        <v>47</v>
      </c>
      <c r="D74" s="65" t="s">
        <v>59</v>
      </c>
      <c r="E74" s="269">
        <v>0</v>
      </c>
      <c r="F74" s="269">
        <v>0</v>
      </c>
      <c r="G74" s="282">
        <v>0</v>
      </c>
      <c r="H74" s="282">
        <v>0</v>
      </c>
      <c r="I74" s="269">
        <v>0</v>
      </c>
      <c r="J74" s="269">
        <v>0</v>
      </c>
      <c r="K74" s="269">
        <v>0</v>
      </c>
      <c r="L74" s="269">
        <v>0</v>
      </c>
      <c r="M74" s="127">
        <v>0</v>
      </c>
      <c r="N74" s="127">
        <v>0</v>
      </c>
      <c r="O74" s="127">
        <v>0</v>
      </c>
      <c r="P74" s="127">
        <v>0</v>
      </c>
      <c r="Q74" s="283">
        <v>0</v>
      </c>
      <c r="R74" s="284">
        <v>0</v>
      </c>
      <c r="S74" s="284">
        <v>0</v>
      </c>
      <c r="T74" s="285">
        <v>0</v>
      </c>
      <c r="U74" s="127" t="str">
        <f t="shared" si="8"/>
        <v>Normal</v>
      </c>
      <c r="V74" s="127" t="str">
        <f t="shared" si="9"/>
        <v>Normal</v>
      </c>
      <c r="W74" s="87">
        <f t="shared" si="10"/>
        <v>0</v>
      </c>
      <c r="X74" s="87">
        <f t="shared" si="11"/>
        <v>0</v>
      </c>
      <c r="Y74" s="272"/>
      <c r="Z74" s="272"/>
      <c r="AA74" s="272"/>
      <c r="AB74" s="272"/>
      <c r="AC74" s="272"/>
      <c r="AD74" s="272"/>
      <c r="AE74" s="272"/>
      <c r="AF74" s="272"/>
      <c r="AG74" s="272"/>
      <c r="AH74" s="272"/>
      <c r="AI74" s="272"/>
      <c r="AJ74" s="272"/>
      <c r="AK74" s="272"/>
    </row>
    <row r="75" spans="1:37">
      <c r="A75" s="281">
        <v>44725</v>
      </c>
      <c r="B75" s="314">
        <f>IF(YEAR(Table9[[#This Row],[Date]]) = 2022, WEEKNUM(Table9[[#This Row],[Date]])-13, WEEKNUM(Table9[[#This Row],[Date]])+40)</f>
        <v>12</v>
      </c>
      <c r="C75" s="255" t="s">
        <v>48</v>
      </c>
      <c r="D75" s="65" t="s">
        <v>59</v>
      </c>
      <c r="E75" s="269">
        <v>386</v>
      </c>
      <c r="F75" s="269">
        <v>371</v>
      </c>
      <c r="G75" s="282">
        <v>0</v>
      </c>
      <c r="H75" s="282">
        <v>0</v>
      </c>
      <c r="I75" s="269">
        <v>4056</v>
      </c>
      <c r="J75" s="269">
        <v>3879</v>
      </c>
      <c r="K75" s="269">
        <v>27079</v>
      </c>
      <c r="L75" s="269">
        <v>24973</v>
      </c>
      <c r="M75" s="127">
        <v>0.92</v>
      </c>
      <c r="N75" s="127">
        <v>0.04</v>
      </c>
      <c r="O75" s="127">
        <v>0.96</v>
      </c>
      <c r="P75" s="127">
        <v>0.56000000000000005</v>
      </c>
      <c r="Q75" s="283">
        <v>0.96</v>
      </c>
      <c r="R75" s="284">
        <v>0</v>
      </c>
      <c r="S75" s="284">
        <v>0</v>
      </c>
      <c r="T75" s="285">
        <v>0</v>
      </c>
      <c r="U75" s="127" t="str">
        <f t="shared" si="8"/>
        <v>Normal</v>
      </c>
      <c r="V75" s="127" t="str">
        <f t="shared" si="9"/>
        <v>Normal</v>
      </c>
      <c r="W75" s="87">
        <f t="shared" si="10"/>
        <v>0</v>
      </c>
      <c r="X75" s="87">
        <f t="shared" si="11"/>
        <v>0</v>
      </c>
      <c r="Y75" s="272"/>
      <c r="Z75" s="272"/>
      <c r="AA75" s="272"/>
      <c r="AB75" s="272"/>
      <c r="AC75" s="272"/>
      <c r="AD75" s="272"/>
      <c r="AE75" s="272"/>
      <c r="AF75" s="272"/>
      <c r="AG75" s="272"/>
      <c r="AH75" s="272"/>
      <c r="AI75" s="272"/>
      <c r="AJ75" s="272"/>
      <c r="AK75" s="272"/>
    </row>
    <row r="76" spans="1:37">
      <c r="A76" s="281">
        <v>44726</v>
      </c>
      <c r="B76" s="314">
        <f>IF(YEAR(Table9[[#This Row],[Date]]) = 2022, WEEKNUM(Table9[[#This Row],[Date]])-13, WEEKNUM(Table9[[#This Row],[Date]])+40)</f>
        <v>12</v>
      </c>
      <c r="C76" s="255" t="s">
        <v>49</v>
      </c>
      <c r="D76" s="65" t="s">
        <v>59</v>
      </c>
      <c r="E76" s="269">
        <v>403</v>
      </c>
      <c r="F76" s="269">
        <v>383</v>
      </c>
      <c r="G76" s="282">
        <v>-0.27517985611510792</v>
      </c>
      <c r="H76" s="282">
        <v>-0.28007518796992481</v>
      </c>
      <c r="I76" s="269">
        <v>4459</v>
      </c>
      <c r="J76" s="269">
        <v>4262</v>
      </c>
      <c r="K76" s="269">
        <v>27482</v>
      </c>
      <c r="L76" s="269">
        <v>25356</v>
      </c>
      <c r="M76" s="127">
        <v>0.87</v>
      </c>
      <c r="N76" s="127">
        <v>0.05</v>
      </c>
      <c r="O76" s="127">
        <v>0.95</v>
      </c>
      <c r="P76" s="127">
        <v>0.66</v>
      </c>
      <c r="Q76" s="283">
        <v>0.96</v>
      </c>
      <c r="R76" s="284">
        <v>0</v>
      </c>
      <c r="S76" s="284">
        <v>0</v>
      </c>
      <c r="T76" s="285">
        <v>0</v>
      </c>
      <c r="U76" s="127" t="str">
        <f t="shared" si="8"/>
        <v>Normal</v>
      </c>
      <c r="V76" s="127" t="str">
        <f t="shared" si="9"/>
        <v>Normal</v>
      </c>
      <c r="W76" s="87">
        <f t="shared" si="10"/>
        <v>-0.27517985611510792</v>
      </c>
      <c r="X76" s="87">
        <f t="shared" si="11"/>
        <v>-0.28007518796992481</v>
      </c>
      <c r="Y76" s="272"/>
      <c r="Z76" s="272"/>
      <c r="AA76" s="272"/>
      <c r="AB76" s="272"/>
      <c r="AC76" s="272"/>
      <c r="AD76" s="272"/>
      <c r="AE76" s="272"/>
      <c r="AF76" s="272"/>
      <c r="AG76" s="272"/>
      <c r="AH76" s="272"/>
      <c r="AI76" s="272"/>
      <c r="AJ76" s="272"/>
      <c r="AK76" s="272"/>
    </row>
    <row r="77" spans="1:37">
      <c r="A77" s="281">
        <v>44727</v>
      </c>
      <c r="B77" s="314">
        <f>IF(YEAR(Table9[[#This Row],[Date]]) = 2022, WEEKNUM(Table9[[#This Row],[Date]])-13, WEEKNUM(Table9[[#This Row],[Date]])+40)</f>
        <v>12</v>
      </c>
      <c r="C77" s="255" t="s">
        <v>50</v>
      </c>
      <c r="D77" s="65" t="s">
        <v>59</v>
      </c>
      <c r="E77" s="269">
        <v>372</v>
      </c>
      <c r="F77" s="269">
        <v>364</v>
      </c>
      <c r="G77" s="282">
        <v>-0.26771653543307089</v>
      </c>
      <c r="H77" s="282">
        <v>-0.26315789473684209</v>
      </c>
      <c r="I77" s="269">
        <v>4831</v>
      </c>
      <c r="J77" s="269">
        <v>4626</v>
      </c>
      <c r="K77" s="269">
        <v>27854</v>
      </c>
      <c r="L77" s="269">
        <v>25720</v>
      </c>
      <c r="M77" s="127">
        <v>0.93</v>
      </c>
      <c r="N77" s="127">
        <v>0.02</v>
      </c>
      <c r="O77" s="127">
        <v>0.98</v>
      </c>
      <c r="P77" s="127">
        <v>0.5</v>
      </c>
      <c r="Q77" s="283">
        <v>0.96</v>
      </c>
      <c r="R77" s="284">
        <v>0</v>
      </c>
      <c r="S77" s="284">
        <v>0</v>
      </c>
      <c r="T77" s="285">
        <v>0</v>
      </c>
      <c r="U77" s="127" t="str">
        <f t="shared" si="8"/>
        <v>Normal</v>
      </c>
      <c r="V77" s="127" t="str">
        <f t="shared" si="9"/>
        <v>Normal</v>
      </c>
      <c r="W77" s="87">
        <f t="shared" si="10"/>
        <v>-0.26771653543307089</v>
      </c>
      <c r="X77" s="87">
        <f t="shared" si="11"/>
        <v>-0.26315789473684209</v>
      </c>
      <c r="Y77" s="272"/>
      <c r="Z77" s="272"/>
      <c r="AA77" s="272"/>
      <c r="AB77" s="272"/>
      <c r="AC77" s="272"/>
      <c r="AD77" s="272"/>
      <c r="AE77" s="272"/>
      <c r="AF77" s="272"/>
      <c r="AG77" s="272"/>
      <c r="AH77" s="272"/>
      <c r="AI77" s="272"/>
      <c r="AJ77" s="272"/>
      <c r="AK77" s="272"/>
    </row>
    <row r="78" spans="1:37">
      <c r="A78" s="281">
        <v>44728</v>
      </c>
      <c r="B78" s="314">
        <f>IF(YEAR(Table9[[#This Row],[Date]]) = 2022, WEEKNUM(Table9[[#This Row],[Date]])-13, WEEKNUM(Table9[[#This Row],[Date]])+40)</f>
        <v>12</v>
      </c>
      <c r="C78" s="255" t="s">
        <v>51</v>
      </c>
      <c r="D78" s="65" t="s">
        <v>59</v>
      </c>
      <c r="E78" s="269">
        <v>396</v>
      </c>
      <c r="F78" s="269">
        <v>384</v>
      </c>
      <c r="G78" s="282">
        <v>-0.29159212880143115</v>
      </c>
      <c r="H78" s="282">
        <v>-0.28624535315985128</v>
      </c>
      <c r="I78" s="269">
        <v>5227</v>
      </c>
      <c r="J78" s="269">
        <v>5010</v>
      </c>
      <c r="K78" s="269">
        <v>28250</v>
      </c>
      <c r="L78" s="269">
        <v>26104</v>
      </c>
      <c r="M78" s="127">
        <v>0.92</v>
      </c>
      <c r="N78" s="127">
        <v>0.03</v>
      </c>
      <c r="O78" s="127">
        <v>0.97</v>
      </c>
      <c r="P78" s="127">
        <v>0.66</v>
      </c>
      <c r="Q78" s="283">
        <v>0.96</v>
      </c>
      <c r="R78" s="284">
        <v>0</v>
      </c>
      <c r="S78" s="284">
        <v>0</v>
      </c>
      <c r="T78" s="285">
        <v>0</v>
      </c>
      <c r="U78" s="127" t="str">
        <f t="shared" si="8"/>
        <v>Normal</v>
      </c>
      <c r="V78" s="127" t="str">
        <f t="shared" si="9"/>
        <v>Normal</v>
      </c>
      <c r="W78" s="87">
        <f t="shared" si="10"/>
        <v>-0.29159212880143115</v>
      </c>
      <c r="X78" s="87">
        <f t="shared" si="11"/>
        <v>-0.28624535315985128</v>
      </c>
      <c r="Y78" s="272"/>
      <c r="Z78" s="272"/>
      <c r="AA78" s="272"/>
      <c r="AB78" s="272"/>
      <c r="AC78" s="272"/>
      <c r="AD78" s="272"/>
      <c r="AE78" s="272"/>
      <c r="AF78" s="272"/>
      <c r="AG78" s="272"/>
      <c r="AH78" s="272"/>
      <c r="AI78" s="272"/>
      <c r="AJ78" s="272"/>
      <c r="AK78" s="272"/>
    </row>
    <row r="79" spans="1:37">
      <c r="A79" s="281">
        <v>44729</v>
      </c>
      <c r="B79" s="314">
        <f>IF(YEAR(Table9[[#This Row],[Date]]) = 2022, WEEKNUM(Table9[[#This Row],[Date]])-13, WEEKNUM(Table9[[#This Row],[Date]])+40)</f>
        <v>12</v>
      </c>
      <c r="C79" s="255" t="s">
        <v>52</v>
      </c>
      <c r="D79" s="65" t="s">
        <v>59</v>
      </c>
      <c r="E79" s="269">
        <v>369</v>
      </c>
      <c r="F79" s="269">
        <v>354</v>
      </c>
      <c r="G79" s="282">
        <v>-0.10869565217391304</v>
      </c>
      <c r="H79" s="282">
        <v>-0.115</v>
      </c>
      <c r="I79" s="269">
        <v>5596</v>
      </c>
      <c r="J79" s="269">
        <v>5364</v>
      </c>
      <c r="K79" s="269">
        <v>28619</v>
      </c>
      <c r="L79" s="269">
        <v>26458</v>
      </c>
      <c r="M79" s="127">
        <v>0.86</v>
      </c>
      <c r="N79" s="127">
        <v>0.04</v>
      </c>
      <c r="O79" s="127">
        <v>0.96</v>
      </c>
      <c r="P79" s="127">
        <v>0.61</v>
      </c>
      <c r="Q79" s="283">
        <v>0.97</v>
      </c>
      <c r="R79" s="284">
        <v>0</v>
      </c>
      <c r="S79" s="284">
        <v>0</v>
      </c>
      <c r="T79" s="285">
        <v>0</v>
      </c>
      <c r="U79" s="127" t="str">
        <f t="shared" si="8"/>
        <v>Normal</v>
      </c>
      <c r="V79" s="127" t="str">
        <f t="shared" si="9"/>
        <v>Normal</v>
      </c>
      <c r="W79" s="87">
        <f t="shared" si="10"/>
        <v>-0.10869565217391304</v>
      </c>
      <c r="X79" s="87">
        <f t="shared" si="11"/>
        <v>-0.115</v>
      </c>
      <c r="Y79" s="272"/>
      <c r="Z79" s="272"/>
      <c r="AA79" s="272"/>
      <c r="AB79" s="272"/>
      <c r="AC79" s="272"/>
      <c r="AD79" s="272"/>
      <c r="AE79" s="272"/>
      <c r="AF79" s="272"/>
      <c r="AG79" s="272"/>
      <c r="AH79" s="272"/>
      <c r="AI79" s="272"/>
      <c r="AJ79" s="272"/>
      <c r="AK79" s="272"/>
    </row>
    <row r="80" spans="1:37">
      <c r="A80" s="281">
        <v>44730</v>
      </c>
      <c r="B80" s="314">
        <f>IF(YEAR(Table9[[#This Row],[Date]]) = 2022, WEEKNUM(Table9[[#This Row],[Date]])-13, WEEKNUM(Table9[[#This Row],[Date]])+40)</f>
        <v>12</v>
      </c>
      <c r="C80" s="255" t="s">
        <v>53</v>
      </c>
      <c r="D80" s="65" t="s">
        <v>59</v>
      </c>
      <c r="E80" s="269">
        <v>234</v>
      </c>
      <c r="F80" s="269">
        <v>219</v>
      </c>
      <c r="G80" s="282">
        <v>-5.6451612903225805E-2</v>
      </c>
      <c r="H80" s="282">
        <v>1.3888888888888888E-2</v>
      </c>
      <c r="I80" s="269">
        <v>5830</v>
      </c>
      <c r="J80" s="269">
        <v>5583</v>
      </c>
      <c r="K80" s="269">
        <v>28853</v>
      </c>
      <c r="L80" s="269">
        <v>26677</v>
      </c>
      <c r="M80" s="127">
        <v>0.81</v>
      </c>
      <c r="N80" s="127">
        <v>0.06</v>
      </c>
      <c r="O80" s="127">
        <v>0.94</v>
      </c>
      <c r="P80" s="127">
        <v>0.5</v>
      </c>
      <c r="Q80" s="283">
        <v>0.97</v>
      </c>
      <c r="R80" s="284">
        <v>0</v>
      </c>
      <c r="S80" s="284">
        <v>0</v>
      </c>
      <c r="T80" s="285">
        <v>0</v>
      </c>
      <c r="U80" s="127" t="str">
        <f t="shared" si="8"/>
        <v>Normal</v>
      </c>
      <c r="V80" s="127" t="str">
        <f t="shared" si="9"/>
        <v>Normal</v>
      </c>
      <c r="W80" s="87">
        <f t="shared" si="10"/>
        <v>-5.6451612903225805E-2</v>
      </c>
      <c r="X80" s="87">
        <f t="shared" si="11"/>
        <v>1.3888888888888888E-2</v>
      </c>
      <c r="Y80" s="272"/>
      <c r="Z80" s="272"/>
      <c r="AA80" s="272"/>
      <c r="AB80" s="272"/>
      <c r="AC80" s="272"/>
      <c r="AD80" s="272"/>
      <c r="AE80" s="272"/>
      <c r="AF80" s="272"/>
      <c r="AG80" s="272"/>
      <c r="AH80" s="272"/>
      <c r="AI80" s="272"/>
      <c r="AJ80" s="272"/>
      <c r="AK80" s="272"/>
    </row>
    <row r="81" spans="1:37">
      <c r="A81" s="281">
        <v>44731</v>
      </c>
      <c r="B81" s="314">
        <f>IF(YEAR(Table9[[#This Row],[Date]]) = 2022, WEEKNUM(Table9[[#This Row],[Date]])-13, WEEKNUM(Table9[[#This Row],[Date]])+40)</f>
        <v>13</v>
      </c>
      <c r="C81" s="255" t="s">
        <v>47</v>
      </c>
      <c r="D81" s="65" t="s">
        <v>59</v>
      </c>
      <c r="E81" s="269">
        <v>0</v>
      </c>
      <c r="F81" s="269">
        <v>0</v>
      </c>
      <c r="G81" s="282">
        <v>0</v>
      </c>
      <c r="H81" s="282">
        <v>0</v>
      </c>
      <c r="I81" s="269">
        <v>0</v>
      </c>
      <c r="J81" s="269">
        <v>0</v>
      </c>
      <c r="K81" s="269">
        <v>0</v>
      </c>
      <c r="L81" s="269">
        <v>0</v>
      </c>
      <c r="M81" s="127">
        <v>0</v>
      </c>
      <c r="N81" s="127">
        <v>0</v>
      </c>
      <c r="O81" s="127">
        <v>0</v>
      </c>
      <c r="P81" s="127">
        <v>0</v>
      </c>
      <c r="Q81" s="283">
        <v>0</v>
      </c>
      <c r="R81" s="284">
        <v>0</v>
      </c>
      <c r="S81" s="284">
        <v>0</v>
      </c>
      <c r="T81" s="285">
        <v>0</v>
      </c>
      <c r="U81" s="127" t="str">
        <f t="shared" si="8"/>
        <v>Normal</v>
      </c>
      <c r="V81" s="127" t="str">
        <f t="shared" si="9"/>
        <v>Normal</v>
      </c>
      <c r="W81" s="87">
        <f t="shared" si="10"/>
        <v>0</v>
      </c>
      <c r="X81" s="87">
        <f t="shared" si="11"/>
        <v>0</v>
      </c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  <c r="AJ81" s="272"/>
      <c r="AK81" s="272"/>
    </row>
    <row r="82" spans="1:37">
      <c r="A82" s="281">
        <v>44732</v>
      </c>
      <c r="B82" s="314">
        <f>IF(YEAR(Table9[[#This Row],[Date]]) = 2022, WEEKNUM(Table9[[#This Row],[Date]])-13, WEEKNUM(Table9[[#This Row],[Date]])+40)</f>
        <v>13</v>
      </c>
      <c r="C82" s="255" t="s">
        <v>48</v>
      </c>
      <c r="D82" s="65" t="s">
        <v>59</v>
      </c>
      <c r="E82" s="269">
        <v>499</v>
      </c>
      <c r="F82" s="269">
        <v>489</v>
      </c>
      <c r="G82" s="282">
        <v>0.29274611398963729</v>
      </c>
      <c r="H82" s="282">
        <v>0.31805929919137466</v>
      </c>
      <c r="I82" s="269">
        <v>6329</v>
      </c>
      <c r="J82" s="269">
        <v>6072</v>
      </c>
      <c r="K82" s="269">
        <v>29352</v>
      </c>
      <c r="L82" s="269">
        <v>27166</v>
      </c>
      <c r="M82" s="127">
        <v>0.92</v>
      </c>
      <c r="N82" s="127">
        <v>0.02</v>
      </c>
      <c r="O82" s="127">
        <v>0.98</v>
      </c>
      <c r="P82" s="127">
        <v>0.56000000000000005</v>
      </c>
      <c r="Q82" s="283">
        <v>0.99</v>
      </c>
      <c r="R82" s="284">
        <v>0</v>
      </c>
      <c r="S82" s="284">
        <v>0</v>
      </c>
      <c r="T82" s="285">
        <v>0</v>
      </c>
      <c r="U82" s="127" t="str">
        <f t="shared" si="8"/>
        <v>Normal</v>
      </c>
      <c r="V82" s="127" t="str">
        <f t="shared" si="9"/>
        <v>Normal</v>
      </c>
      <c r="W82" s="87">
        <f t="shared" si="10"/>
        <v>0.29274611398963729</v>
      </c>
      <c r="X82" s="87">
        <f t="shared" si="11"/>
        <v>0.31805929919137466</v>
      </c>
      <c r="Y82" s="272"/>
      <c r="Z82" s="272"/>
      <c r="AA82" s="272"/>
      <c r="AB82" s="272"/>
      <c r="AC82" s="272"/>
      <c r="AD82" s="272"/>
      <c r="AE82" s="272"/>
      <c r="AF82" s="272"/>
      <c r="AG82" s="272"/>
      <c r="AH82" s="272"/>
      <c r="AI82" s="272"/>
      <c r="AJ82" s="272"/>
      <c r="AK82" s="272"/>
    </row>
    <row r="83" spans="1:37">
      <c r="A83" s="281">
        <v>44733</v>
      </c>
      <c r="B83" s="314">
        <f>IF(YEAR(Table9[[#This Row],[Date]]) = 2022, WEEKNUM(Table9[[#This Row],[Date]])-13, WEEKNUM(Table9[[#This Row],[Date]])+40)</f>
        <v>13</v>
      </c>
      <c r="C83" s="255" t="s">
        <v>49</v>
      </c>
      <c r="D83" s="65" t="s">
        <v>59</v>
      </c>
      <c r="E83" s="269">
        <v>577</v>
      </c>
      <c r="F83" s="269">
        <v>508</v>
      </c>
      <c r="G83" s="282">
        <v>0.4317617866004963</v>
      </c>
      <c r="H83" s="282">
        <v>0.32637075718015668</v>
      </c>
      <c r="I83" s="269">
        <v>6906</v>
      </c>
      <c r="J83" s="269">
        <v>6580</v>
      </c>
      <c r="K83" s="269">
        <v>29929</v>
      </c>
      <c r="L83" s="269">
        <v>27674</v>
      </c>
      <c r="M83" s="127">
        <v>0.66</v>
      </c>
      <c r="N83" s="127">
        <v>0.12</v>
      </c>
      <c r="O83" s="127">
        <v>0.88</v>
      </c>
      <c r="P83" s="127">
        <v>0.66</v>
      </c>
      <c r="Q83" s="283">
        <v>0.97</v>
      </c>
      <c r="R83" s="284">
        <v>0</v>
      </c>
      <c r="S83" s="284">
        <v>0</v>
      </c>
      <c r="T83" s="285">
        <v>0</v>
      </c>
      <c r="U83" s="127" t="str">
        <f t="shared" si="8"/>
        <v>Normal</v>
      </c>
      <c r="V83" s="127" t="str">
        <f t="shared" si="9"/>
        <v>Outlier</v>
      </c>
      <c r="W83" s="87">
        <f t="shared" si="10"/>
        <v>0.4317617866004963</v>
      </c>
      <c r="X83" s="87">
        <f t="shared" si="11"/>
        <v>0.32637075718015668</v>
      </c>
      <c r="Y83" s="272"/>
      <c r="Z83" s="272"/>
      <c r="AA83" s="272"/>
      <c r="AB83" s="272"/>
      <c r="AC83" s="272"/>
      <c r="AD83" s="272"/>
      <c r="AE83" s="272"/>
      <c r="AF83" s="272"/>
      <c r="AG83" s="272"/>
      <c r="AH83" s="272"/>
      <c r="AI83" s="272"/>
      <c r="AJ83" s="272"/>
      <c r="AK83" s="272"/>
    </row>
    <row r="84" spans="1:37">
      <c r="A84" s="281">
        <v>44734</v>
      </c>
      <c r="B84" s="314">
        <f>IF(YEAR(Table9[[#This Row],[Date]]) = 2022, WEEKNUM(Table9[[#This Row],[Date]])-13, WEEKNUM(Table9[[#This Row],[Date]])+40)</f>
        <v>13</v>
      </c>
      <c r="C84" s="255" t="s">
        <v>50</v>
      </c>
      <c r="D84" s="65" t="s">
        <v>59</v>
      </c>
      <c r="E84" s="269">
        <v>510</v>
      </c>
      <c r="F84" s="269">
        <v>486</v>
      </c>
      <c r="G84" s="282">
        <v>0.37096774193548387</v>
      </c>
      <c r="H84" s="282">
        <v>0.33516483516483514</v>
      </c>
      <c r="I84" s="269">
        <v>7416</v>
      </c>
      <c r="J84" s="269">
        <v>7066</v>
      </c>
      <c r="K84" s="269">
        <v>30439</v>
      </c>
      <c r="L84" s="269">
        <v>28160</v>
      </c>
      <c r="M84" s="127">
        <v>0.88</v>
      </c>
      <c r="N84" s="127">
        <v>0.05</v>
      </c>
      <c r="O84" s="127">
        <v>0.95</v>
      </c>
      <c r="P84" s="127">
        <v>0.84</v>
      </c>
      <c r="Q84" s="283">
        <v>0.98</v>
      </c>
      <c r="R84" s="284">
        <v>0</v>
      </c>
      <c r="S84" s="284">
        <v>0</v>
      </c>
      <c r="T84" s="285">
        <v>0</v>
      </c>
      <c r="U84" s="127" t="str">
        <f t="shared" si="8"/>
        <v>Normal</v>
      </c>
      <c r="V84" s="127" t="str">
        <f t="shared" si="9"/>
        <v>Outlier</v>
      </c>
      <c r="W84" s="87">
        <f t="shared" si="10"/>
        <v>0.37096774193548387</v>
      </c>
      <c r="X84" s="87">
        <f t="shared" si="11"/>
        <v>0.33516483516483514</v>
      </c>
      <c r="Y84" s="272"/>
      <c r="Z84" s="272"/>
      <c r="AA84" s="272"/>
      <c r="AB84" s="272"/>
      <c r="AC84" s="272"/>
      <c r="AD84" s="272"/>
      <c r="AE84" s="272"/>
      <c r="AF84" s="272"/>
      <c r="AG84" s="272"/>
      <c r="AH84" s="272"/>
      <c r="AI84" s="272"/>
      <c r="AJ84" s="272"/>
      <c r="AK84" s="272"/>
    </row>
    <row r="85" spans="1:37">
      <c r="A85" s="281">
        <v>44735</v>
      </c>
      <c r="B85" s="314">
        <f>IF(YEAR(Table9[[#This Row],[Date]]) = 2022, WEEKNUM(Table9[[#This Row],[Date]])-13, WEEKNUM(Table9[[#This Row],[Date]])+40)</f>
        <v>13</v>
      </c>
      <c r="C85" s="255" t="s">
        <v>51</v>
      </c>
      <c r="D85" s="65" t="s">
        <v>59</v>
      </c>
      <c r="E85" s="269">
        <v>577</v>
      </c>
      <c r="F85" s="269">
        <v>489</v>
      </c>
      <c r="G85" s="282">
        <v>0.45707070707070707</v>
      </c>
      <c r="H85" s="282">
        <v>0.2734375</v>
      </c>
      <c r="I85" s="269">
        <v>7993</v>
      </c>
      <c r="J85" s="269">
        <v>7555</v>
      </c>
      <c r="K85" s="269">
        <v>31016</v>
      </c>
      <c r="L85" s="269">
        <v>28649</v>
      </c>
      <c r="M85" s="127">
        <v>0.63</v>
      </c>
      <c r="N85" s="127">
        <v>0.15</v>
      </c>
      <c r="O85" s="127">
        <v>0.85</v>
      </c>
      <c r="P85" s="127">
        <v>0.67</v>
      </c>
      <c r="Q85" s="283">
        <v>0.96</v>
      </c>
      <c r="R85" s="284">
        <v>0</v>
      </c>
      <c r="S85" s="284">
        <v>0</v>
      </c>
      <c r="T85" s="285">
        <v>0</v>
      </c>
      <c r="U85" s="127" t="str">
        <f t="shared" si="8"/>
        <v>Outlier</v>
      </c>
      <c r="V85" s="127" t="str">
        <f t="shared" si="9"/>
        <v>Normal</v>
      </c>
      <c r="W85" s="87">
        <f t="shared" si="10"/>
        <v>0.45707070707070707</v>
      </c>
      <c r="X85" s="87">
        <f t="shared" si="11"/>
        <v>0.2734375</v>
      </c>
      <c r="Y85" s="272"/>
      <c r="Z85" s="272"/>
      <c r="AA85" s="272"/>
      <c r="AB85" s="272"/>
      <c r="AC85" s="272"/>
      <c r="AD85" s="272"/>
      <c r="AE85" s="272"/>
      <c r="AF85" s="272"/>
      <c r="AG85" s="272"/>
      <c r="AH85" s="272"/>
      <c r="AI85" s="272"/>
      <c r="AJ85" s="272"/>
      <c r="AK85" s="272"/>
    </row>
    <row r="86" spans="1:37">
      <c r="A86" s="281">
        <v>44736</v>
      </c>
      <c r="B86" s="314">
        <f>IF(YEAR(Table9[[#This Row],[Date]]) = 2022, WEEKNUM(Table9[[#This Row],[Date]])-13, WEEKNUM(Table9[[#This Row],[Date]])+40)</f>
        <v>13</v>
      </c>
      <c r="C86" s="255" t="s">
        <v>52</v>
      </c>
      <c r="D86" s="65" t="s">
        <v>59</v>
      </c>
      <c r="E86" s="269">
        <v>565</v>
      </c>
      <c r="F86" s="269">
        <v>510</v>
      </c>
      <c r="G86" s="282">
        <v>0.53116531165311653</v>
      </c>
      <c r="H86" s="282">
        <v>0.44067796610169491</v>
      </c>
      <c r="I86" s="269">
        <v>8558</v>
      </c>
      <c r="J86" s="269">
        <v>8065</v>
      </c>
      <c r="K86" s="269">
        <v>31581</v>
      </c>
      <c r="L86" s="269">
        <v>29159</v>
      </c>
      <c r="M86" s="127">
        <v>0.73</v>
      </c>
      <c r="N86" s="127">
        <v>0.1</v>
      </c>
      <c r="O86" s="127">
        <v>0.9</v>
      </c>
      <c r="P86" s="127">
        <v>0.88</v>
      </c>
      <c r="Q86" s="283">
        <v>0.96</v>
      </c>
      <c r="R86" s="284">
        <v>0</v>
      </c>
      <c r="S86" s="284">
        <v>0</v>
      </c>
      <c r="T86" s="285">
        <v>0</v>
      </c>
      <c r="U86" s="127" t="str">
        <f t="shared" si="8"/>
        <v>Outlier</v>
      </c>
      <c r="V86" s="127" t="str">
        <f t="shared" si="9"/>
        <v>Outlier</v>
      </c>
      <c r="W86" s="87">
        <f t="shared" si="10"/>
        <v>0.53116531165311653</v>
      </c>
      <c r="X86" s="87">
        <f t="shared" si="11"/>
        <v>0.44067796610169491</v>
      </c>
      <c r="Y86" s="272"/>
      <c r="Z86" s="272"/>
      <c r="AA86" s="272"/>
      <c r="AB86" s="272"/>
      <c r="AC86" s="272"/>
      <c r="AD86" s="272"/>
      <c r="AE86" s="272"/>
      <c r="AF86" s="272"/>
      <c r="AG86" s="272"/>
      <c r="AH86" s="272"/>
      <c r="AI86" s="272"/>
      <c r="AJ86" s="272"/>
      <c r="AK86" s="272"/>
    </row>
    <row r="87" spans="1:37">
      <c r="A87" s="281">
        <v>44737</v>
      </c>
      <c r="B87" s="314">
        <f>IF(YEAR(Table9[[#This Row],[Date]]) = 2022, WEEKNUM(Table9[[#This Row],[Date]])-13, WEEKNUM(Table9[[#This Row],[Date]])+40)</f>
        <v>13</v>
      </c>
      <c r="C87" s="255" t="s">
        <v>53</v>
      </c>
      <c r="D87" s="65" t="s">
        <v>59</v>
      </c>
      <c r="E87" s="269">
        <v>293</v>
      </c>
      <c r="F87" s="269">
        <v>266</v>
      </c>
      <c r="G87" s="282">
        <v>0.25213675213675213</v>
      </c>
      <c r="H87" s="282">
        <v>0.21461187214611871</v>
      </c>
      <c r="I87" s="269">
        <v>8851</v>
      </c>
      <c r="J87" s="269">
        <v>8331</v>
      </c>
      <c r="K87" s="269">
        <v>31874</v>
      </c>
      <c r="L87" s="269">
        <v>29425</v>
      </c>
      <c r="M87" s="127">
        <v>0.78</v>
      </c>
      <c r="N87" s="127">
        <v>0.09</v>
      </c>
      <c r="O87" s="127">
        <v>0.91</v>
      </c>
      <c r="P87" s="127">
        <v>0.81</v>
      </c>
      <c r="Q87" s="283">
        <v>0.98</v>
      </c>
      <c r="R87" s="284">
        <v>0</v>
      </c>
      <c r="S87" s="284">
        <v>0</v>
      </c>
      <c r="T87" s="285">
        <v>0</v>
      </c>
      <c r="U87" s="127" t="str">
        <f t="shared" si="8"/>
        <v>Normal</v>
      </c>
      <c r="V87" s="127" t="str">
        <f t="shared" si="9"/>
        <v>Normal</v>
      </c>
      <c r="W87" s="87">
        <f t="shared" si="10"/>
        <v>0.25213675213675213</v>
      </c>
      <c r="X87" s="87">
        <f t="shared" si="11"/>
        <v>0.21461187214611871</v>
      </c>
      <c r="Y87" s="272"/>
      <c r="Z87" s="272"/>
      <c r="AA87" s="272"/>
      <c r="AB87" s="272"/>
      <c r="AC87" s="272"/>
      <c r="AD87" s="272"/>
      <c r="AE87" s="272"/>
      <c r="AF87" s="272"/>
      <c r="AG87" s="272"/>
      <c r="AH87" s="272"/>
      <c r="AI87" s="272"/>
      <c r="AJ87" s="272"/>
      <c r="AK87" s="272"/>
    </row>
    <row r="88" spans="1:37">
      <c r="A88" s="281">
        <v>44738</v>
      </c>
      <c r="B88" s="314">
        <f>IF(YEAR(Table9[[#This Row],[Date]]) = 2022, WEEKNUM(Table9[[#This Row],[Date]])-13, WEEKNUM(Table9[[#This Row],[Date]])+40)</f>
        <v>14</v>
      </c>
      <c r="C88" s="255" t="s">
        <v>47</v>
      </c>
      <c r="D88" s="65" t="s">
        <v>59</v>
      </c>
      <c r="E88" s="269">
        <v>0</v>
      </c>
      <c r="F88" s="269">
        <v>0</v>
      </c>
      <c r="G88" s="282">
        <v>0</v>
      </c>
      <c r="H88" s="282">
        <v>0</v>
      </c>
      <c r="I88" s="269">
        <v>0</v>
      </c>
      <c r="J88" s="269">
        <v>0</v>
      </c>
      <c r="K88" s="269">
        <v>0</v>
      </c>
      <c r="L88" s="269">
        <v>0</v>
      </c>
      <c r="M88" s="127">
        <v>0</v>
      </c>
      <c r="N88" s="127">
        <v>0</v>
      </c>
      <c r="O88" s="127">
        <v>0</v>
      </c>
      <c r="P88" s="127">
        <v>0</v>
      </c>
      <c r="Q88" s="283">
        <v>0</v>
      </c>
      <c r="R88" s="284">
        <v>0</v>
      </c>
      <c r="S88" s="284">
        <v>0</v>
      </c>
      <c r="T88" s="285">
        <v>0</v>
      </c>
      <c r="U88" s="127" t="str">
        <f t="shared" si="8"/>
        <v>Normal</v>
      </c>
      <c r="V88" s="127" t="str">
        <f t="shared" si="9"/>
        <v>Normal</v>
      </c>
      <c r="W88" s="87">
        <f t="shared" si="10"/>
        <v>0</v>
      </c>
      <c r="X88" s="87">
        <f t="shared" si="11"/>
        <v>0</v>
      </c>
      <c r="Y88" s="272"/>
      <c r="Z88" s="272"/>
      <c r="AA88" s="272"/>
      <c r="AB88" s="272"/>
      <c r="AC88" s="272"/>
      <c r="AD88" s="272"/>
      <c r="AE88" s="272"/>
      <c r="AF88" s="272"/>
      <c r="AG88" s="272"/>
      <c r="AH88" s="272"/>
      <c r="AI88" s="272"/>
      <c r="AJ88" s="272"/>
      <c r="AK88" s="272"/>
    </row>
    <row r="89" spans="1:37">
      <c r="A89" s="281">
        <v>44739</v>
      </c>
      <c r="B89" s="314">
        <f>IF(YEAR(Table9[[#This Row],[Date]]) = 2022, WEEKNUM(Table9[[#This Row],[Date]])-13, WEEKNUM(Table9[[#This Row],[Date]])+40)</f>
        <v>14</v>
      </c>
      <c r="C89" s="255" t="s">
        <v>48</v>
      </c>
      <c r="D89" s="65" t="s">
        <v>59</v>
      </c>
      <c r="E89" s="269">
        <v>522</v>
      </c>
      <c r="F89" s="269">
        <v>505</v>
      </c>
      <c r="G89" s="282">
        <v>-9.5320623916811092E-2</v>
      </c>
      <c r="H89" s="282">
        <v>-5.905511811023622E-3</v>
      </c>
      <c r="I89" s="269">
        <f>I87+Table3[[#This Row],[Calls Off]]</f>
        <v>9373</v>
      </c>
      <c r="J89" s="269">
        <f>J87+Table3[[#This Row],[Calls Ans]]</f>
        <v>8836</v>
      </c>
      <c r="K89" s="269">
        <v>32396</v>
      </c>
      <c r="L89" s="269">
        <v>29930</v>
      </c>
      <c r="M89" s="127">
        <v>0.86</v>
      </c>
      <c r="N89" s="127">
        <v>0.03</v>
      </c>
      <c r="O89" s="127">
        <v>0.97</v>
      </c>
      <c r="P89" s="127">
        <v>0.7</v>
      </c>
      <c r="Q89" s="283">
        <v>0.96</v>
      </c>
      <c r="R89" s="284">
        <v>0</v>
      </c>
      <c r="S89" s="284">
        <v>0</v>
      </c>
      <c r="T89" s="285">
        <v>0</v>
      </c>
      <c r="U89" s="127" t="str">
        <f t="shared" si="8"/>
        <v>Normal</v>
      </c>
      <c r="V89" s="127" t="str">
        <f t="shared" si="9"/>
        <v>Normal</v>
      </c>
      <c r="W89" s="87">
        <f t="shared" si="10"/>
        <v>-9.5320623916811092E-2</v>
      </c>
      <c r="X89" s="87">
        <f t="shared" si="11"/>
        <v>-5.905511811023622E-3</v>
      </c>
      <c r="Y89" s="272"/>
      <c r="Z89" s="272"/>
      <c r="AA89" s="272"/>
      <c r="AB89" s="272"/>
      <c r="AC89" s="272"/>
      <c r="AD89" s="272"/>
      <c r="AE89" s="272"/>
      <c r="AF89" s="272"/>
      <c r="AG89" s="272"/>
      <c r="AH89" s="272"/>
      <c r="AI89" s="272"/>
      <c r="AJ89" s="272"/>
      <c r="AK89" s="272"/>
    </row>
    <row r="90" spans="1:37">
      <c r="A90" s="281">
        <v>44740</v>
      </c>
      <c r="B90" s="314">
        <f>IF(YEAR(Table9[[#This Row],[Date]]) = 2022, WEEKNUM(Table9[[#This Row],[Date]])-13, WEEKNUM(Table9[[#This Row],[Date]])+40)</f>
        <v>14</v>
      </c>
      <c r="C90" s="255" t="s">
        <v>49</v>
      </c>
      <c r="D90" s="65" t="s">
        <v>59</v>
      </c>
      <c r="E90" s="269">
        <v>503</v>
      </c>
      <c r="F90" s="269">
        <v>436</v>
      </c>
      <c r="G90" s="282">
        <v>-1.3725490196078431E-2</v>
      </c>
      <c r="H90" s="282">
        <v>-0.102880658436214</v>
      </c>
      <c r="I90" s="269">
        <f>I89+Table3[[#This Row],[Calls Off]]</f>
        <v>9876</v>
      </c>
      <c r="J90" s="269">
        <f>J89+Table3[[#This Row],[Calls Ans]]</f>
        <v>9272</v>
      </c>
      <c r="K90" s="269">
        <v>32899</v>
      </c>
      <c r="L90" s="269">
        <v>30366</v>
      </c>
      <c r="M90" s="127">
        <v>0.68</v>
      </c>
      <c r="N90" s="127">
        <v>0.13</v>
      </c>
      <c r="O90" s="127">
        <v>0.87</v>
      </c>
      <c r="P90" s="127">
        <v>0.75</v>
      </c>
      <c r="Q90" s="283">
        <v>0.97</v>
      </c>
      <c r="R90" s="284">
        <v>0</v>
      </c>
      <c r="S90" s="284">
        <v>0</v>
      </c>
      <c r="T90" s="285">
        <v>0</v>
      </c>
      <c r="U90" s="127" t="str">
        <f t="shared" si="8"/>
        <v>Normal</v>
      </c>
      <c r="V90" s="127" t="str">
        <f t="shared" si="9"/>
        <v>Normal</v>
      </c>
      <c r="W90" s="87">
        <f t="shared" si="10"/>
        <v>-1.3725490196078431E-2</v>
      </c>
      <c r="X90" s="87">
        <f t="shared" si="11"/>
        <v>-0.102880658436214</v>
      </c>
      <c r="Y90" s="272"/>
      <c r="Z90" s="272"/>
      <c r="AA90" s="272"/>
      <c r="AB90" s="272"/>
      <c r="AC90" s="272"/>
      <c r="AD90" s="272"/>
      <c r="AE90" s="272"/>
      <c r="AF90" s="272"/>
      <c r="AG90" s="272"/>
      <c r="AH90" s="272"/>
      <c r="AI90" s="272"/>
      <c r="AJ90" s="272"/>
      <c r="AK90" s="272"/>
    </row>
    <row r="91" spans="1:37">
      <c r="A91" s="281">
        <v>44741</v>
      </c>
      <c r="B91" s="314">
        <f>IF(YEAR(Table9[[#This Row],[Date]]) = 2022, WEEKNUM(Table9[[#This Row],[Date]])-13, WEEKNUM(Table9[[#This Row],[Date]])+40)</f>
        <v>14</v>
      </c>
      <c r="C91" s="255" t="s">
        <v>50</v>
      </c>
      <c r="D91" s="65" t="s">
        <v>59</v>
      </c>
      <c r="E91" s="269">
        <v>512</v>
      </c>
      <c r="F91" s="269">
        <v>454</v>
      </c>
      <c r="G91" s="282">
        <v>-0.11265164644714037</v>
      </c>
      <c r="H91" s="282">
        <v>-7.1574642126789365E-2</v>
      </c>
      <c r="I91" s="269">
        <f>I90+Table3[[#This Row],[Calls Off]]</f>
        <v>10388</v>
      </c>
      <c r="J91" s="269">
        <f>J90+Table3[[#This Row],[Calls Ans]]</f>
        <v>9726</v>
      </c>
      <c r="K91" s="269">
        <v>33411</v>
      </c>
      <c r="L91" s="269">
        <v>30820</v>
      </c>
      <c r="M91" s="127">
        <v>0.65</v>
      </c>
      <c r="N91" s="127">
        <v>0.11</v>
      </c>
      <c r="O91" s="127">
        <v>0.89</v>
      </c>
      <c r="P91" s="127">
        <v>0.78</v>
      </c>
      <c r="Q91" s="283">
        <v>0.97</v>
      </c>
      <c r="R91" s="284">
        <v>0</v>
      </c>
      <c r="S91" s="284">
        <v>0</v>
      </c>
      <c r="T91" s="285">
        <v>0</v>
      </c>
      <c r="U91" s="127" t="str">
        <f t="shared" si="8"/>
        <v>Normal</v>
      </c>
      <c r="V91" s="127" t="str">
        <f t="shared" si="9"/>
        <v>Normal</v>
      </c>
      <c r="W91" s="87">
        <f t="shared" si="10"/>
        <v>-0.11265164644714037</v>
      </c>
      <c r="X91" s="87">
        <f t="shared" si="11"/>
        <v>-7.1574642126789365E-2</v>
      </c>
      <c r="Y91" s="272"/>
      <c r="Z91" s="272"/>
      <c r="AA91" s="272"/>
      <c r="AB91" s="272"/>
      <c r="AC91" s="272"/>
      <c r="AD91" s="272"/>
      <c r="AE91" s="272"/>
      <c r="AF91" s="272"/>
      <c r="AG91" s="272"/>
      <c r="AH91" s="272"/>
      <c r="AI91" s="272"/>
      <c r="AJ91" s="272"/>
      <c r="AK91" s="272"/>
    </row>
    <row r="92" spans="1:37">
      <c r="A92" s="281">
        <v>44742</v>
      </c>
      <c r="B92" s="314">
        <f>IF(YEAR(Table9[[#This Row],[Date]]) = 2022, WEEKNUM(Table9[[#This Row],[Date]])-13, WEEKNUM(Table9[[#This Row],[Date]])+40)</f>
        <v>14</v>
      </c>
      <c r="C92" s="255" t="s">
        <v>51</v>
      </c>
      <c r="D92" s="65" t="s">
        <v>59</v>
      </c>
      <c r="E92" s="269">
        <v>503</v>
      </c>
      <c r="F92" s="269">
        <v>474</v>
      </c>
      <c r="G92" s="282">
        <v>-0.10973451327433628</v>
      </c>
      <c r="H92" s="282">
        <v>-7.0588235294117646E-2</v>
      </c>
      <c r="I92" s="269">
        <f>I91+Table3[[#This Row],[Calls Off]]</f>
        <v>10891</v>
      </c>
      <c r="J92" s="269">
        <f>J91+Table3[[#This Row],[Calls Ans]]</f>
        <v>10200</v>
      </c>
      <c r="K92" s="269">
        <v>33914</v>
      </c>
      <c r="L92" s="269">
        <v>31294</v>
      </c>
      <c r="M92" s="127">
        <v>0.8</v>
      </c>
      <c r="N92" s="127">
        <v>0.06</v>
      </c>
      <c r="O92" s="127">
        <v>0.94</v>
      </c>
      <c r="P92" s="127">
        <v>0.82</v>
      </c>
      <c r="Q92" s="283">
        <v>0.96</v>
      </c>
      <c r="R92" s="284">
        <v>0</v>
      </c>
      <c r="S92" s="284">
        <v>0</v>
      </c>
      <c r="T92" s="285">
        <v>0</v>
      </c>
      <c r="U92" s="127" t="str">
        <f t="shared" si="8"/>
        <v>Normal</v>
      </c>
      <c r="V92" s="127" t="str">
        <f t="shared" si="9"/>
        <v>Normal</v>
      </c>
      <c r="W92" s="87">
        <f t="shared" si="10"/>
        <v>-0.10973451327433628</v>
      </c>
      <c r="X92" s="87">
        <f t="shared" si="11"/>
        <v>-7.0588235294117646E-2</v>
      </c>
      <c r="Y92" s="272"/>
      <c r="Z92" s="272"/>
      <c r="AA92" s="272"/>
      <c r="AB92" s="272"/>
      <c r="AC92" s="272"/>
      <c r="AD92" s="272"/>
      <c r="AE92" s="272"/>
      <c r="AF92" s="272"/>
      <c r="AG92" s="272"/>
      <c r="AH92" s="272"/>
      <c r="AI92" s="272"/>
      <c r="AJ92" s="272"/>
      <c r="AK92" s="272"/>
    </row>
    <row r="93" spans="1:37">
      <c r="A93" s="281">
        <v>44743</v>
      </c>
      <c r="B93" s="314">
        <f>IF(YEAR(Table9[[#This Row],[Date]]) = 2022, WEEKNUM(Table9[[#This Row],[Date]])-13, WEEKNUM(Table9[[#This Row],[Date]])+40)</f>
        <v>14</v>
      </c>
      <c r="C93" s="255" t="s">
        <v>52</v>
      </c>
      <c r="D93" s="65" t="s">
        <v>59</v>
      </c>
      <c r="E93" s="269">
        <v>491</v>
      </c>
      <c r="F93" s="269">
        <v>445</v>
      </c>
      <c r="G93" s="282">
        <v>0.67576791808873715</v>
      </c>
      <c r="H93" s="282">
        <v>0.67293233082706772</v>
      </c>
      <c r="I93" s="269">
        <f>Table3[[#This Row],[Calls Off]]</f>
        <v>491</v>
      </c>
      <c r="J93" s="269">
        <f>Table3[[#This Row],[Calls Ans]]</f>
        <v>445</v>
      </c>
      <c r="K93" s="269">
        <v>34405</v>
      </c>
      <c r="L93" s="269">
        <v>31739</v>
      </c>
      <c r="M93" s="127">
        <v>0.7</v>
      </c>
      <c r="N93" s="127">
        <v>0.09</v>
      </c>
      <c r="O93" s="127">
        <v>0.91</v>
      </c>
      <c r="P93" s="127">
        <v>0.77</v>
      </c>
      <c r="Q93" s="283">
        <v>0.96</v>
      </c>
      <c r="R93" s="284">
        <v>0</v>
      </c>
      <c r="S93" s="284">
        <v>0</v>
      </c>
      <c r="T93" s="285">
        <v>0</v>
      </c>
      <c r="U93" s="127" t="str">
        <f t="shared" si="8"/>
        <v>Outlier</v>
      </c>
      <c r="V93" s="127" t="str">
        <f t="shared" si="9"/>
        <v>Outlier</v>
      </c>
      <c r="W93" s="87">
        <f t="shared" si="10"/>
        <v>0.67576791808873715</v>
      </c>
      <c r="X93" s="87">
        <f t="shared" si="11"/>
        <v>0.67293233082706772</v>
      </c>
      <c r="Y93" s="272"/>
      <c r="Z93" s="272"/>
      <c r="AA93" s="272"/>
      <c r="AB93" s="272"/>
      <c r="AC93" s="272"/>
      <c r="AD93" s="272"/>
      <c r="AE93" s="272"/>
      <c r="AF93" s="272"/>
      <c r="AG93" s="272"/>
      <c r="AH93" s="272"/>
      <c r="AI93" s="272"/>
      <c r="AJ93" s="272"/>
      <c r="AK93" s="272"/>
    </row>
    <row r="94" spans="1:37">
      <c r="A94" s="281">
        <v>44744</v>
      </c>
      <c r="B94" s="314">
        <f>IF(YEAR(Table9[[#This Row],[Date]]) = 2022, WEEKNUM(Table9[[#This Row],[Date]])-13, WEEKNUM(Table9[[#This Row],[Date]])+40)</f>
        <v>14</v>
      </c>
      <c r="C94" s="255" t="s">
        <v>53</v>
      </c>
      <c r="D94" s="65" t="s">
        <v>59</v>
      </c>
      <c r="E94" s="269">
        <v>256</v>
      </c>
      <c r="F94" s="269">
        <v>211</v>
      </c>
      <c r="G94" s="282">
        <v>-0.12627986348122866</v>
      </c>
      <c r="H94" s="282">
        <v>-0.20676691729323307</v>
      </c>
      <c r="I94" s="269">
        <f>I93+Table3[[#This Row],[Calls Off]]</f>
        <v>747</v>
      </c>
      <c r="J94" s="269">
        <f>J93+Table3[[#This Row],[Calls Ans]]</f>
        <v>656</v>
      </c>
      <c r="K94" s="269">
        <v>34661</v>
      </c>
      <c r="L94" s="269">
        <v>31950</v>
      </c>
      <c r="M94" s="127">
        <v>0.52</v>
      </c>
      <c r="N94" s="127">
        <v>0.18</v>
      </c>
      <c r="O94" s="127">
        <v>0.82</v>
      </c>
      <c r="P94" s="127">
        <v>0.73</v>
      </c>
      <c r="Q94" s="283">
        <v>0.98</v>
      </c>
      <c r="R94" s="284">
        <v>0</v>
      </c>
      <c r="S94" s="284">
        <v>0</v>
      </c>
      <c r="T94" s="285">
        <v>0</v>
      </c>
      <c r="U94" s="127" t="str">
        <f t="shared" si="8"/>
        <v>Normal</v>
      </c>
      <c r="V94" s="127" t="str">
        <f t="shared" si="9"/>
        <v>Normal</v>
      </c>
      <c r="W94" s="87">
        <f t="shared" si="10"/>
        <v>-0.12627986348122866</v>
      </c>
      <c r="X94" s="87">
        <f t="shared" si="11"/>
        <v>-0.20676691729323307</v>
      </c>
      <c r="Y94" s="272"/>
      <c r="Z94" s="272"/>
      <c r="AA94" s="272"/>
      <c r="AB94" s="272"/>
      <c r="AC94" s="272"/>
      <c r="AD94" s="272"/>
      <c r="AE94" s="272"/>
      <c r="AF94" s="272"/>
      <c r="AG94" s="272"/>
      <c r="AH94" s="272"/>
      <c r="AI94" s="272"/>
      <c r="AJ94" s="272"/>
      <c r="AK94" s="272"/>
    </row>
    <row r="95" spans="1:37">
      <c r="A95" s="281">
        <v>44745</v>
      </c>
      <c r="B95" s="314">
        <f>IF(YEAR(Table9[[#This Row],[Date]]) = 2022, WEEKNUM(Table9[[#This Row],[Date]])-13, WEEKNUM(Table9[[#This Row],[Date]])+40)</f>
        <v>15</v>
      </c>
      <c r="C95" s="255" t="s">
        <v>47</v>
      </c>
      <c r="D95" s="65" t="s">
        <v>59</v>
      </c>
      <c r="E95" s="269">
        <v>0</v>
      </c>
      <c r="F95" s="269">
        <v>0</v>
      </c>
      <c r="G95" s="282">
        <v>0</v>
      </c>
      <c r="H95" s="282">
        <v>0</v>
      </c>
      <c r="I95" s="269">
        <v>0</v>
      </c>
      <c r="J95" s="269">
        <v>0</v>
      </c>
      <c r="K95" s="269">
        <v>0</v>
      </c>
      <c r="L95" s="269">
        <v>0</v>
      </c>
      <c r="M95" s="127">
        <v>0</v>
      </c>
      <c r="N95" s="127">
        <v>0</v>
      </c>
      <c r="O95" s="127">
        <v>0</v>
      </c>
      <c r="P95" s="127">
        <v>0</v>
      </c>
      <c r="Q95" s="283">
        <v>0</v>
      </c>
      <c r="R95" s="284">
        <v>0</v>
      </c>
      <c r="S95" s="284">
        <v>0</v>
      </c>
      <c r="T95" s="285">
        <v>0</v>
      </c>
      <c r="U95" s="127" t="str">
        <f t="shared" si="8"/>
        <v>Normal</v>
      </c>
      <c r="V95" s="127" t="str">
        <f t="shared" si="9"/>
        <v>Normal</v>
      </c>
      <c r="W95" s="87">
        <f t="shared" si="10"/>
        <v>0</v>
      </c>
      <c r="X95" s="87">
        <f t="shared" si="11"/>
        <v>0</v>
      </c>
      <c r="Y95" s="272"/>
      <c r="Z95" s="272"/>
      <c r="AA95" s="272"/>
      <c r="AB95" s="272"/>
      <c r="AC95" s="272"/>
      <c r="AD95" s="272"/>
      <c r="AE95" s="272"/>
      <c r="AF95" s="272"/>
      <c r="AG95" s="272"/>
      <c r="AH95" s="272"/>
      <c r="AI95" s="272"/>
      <c r="AJ95" s="272"/>
      <c r="AK95" s="272"/>
    </row>
    <row r="96" spans="1:37">
      <c r="A96" s="281">
        <v>44746</v>
      </c>
      <c r="B96" s="314">
        <f>IF(YEAR(Table9[[#This Row],[Date]]) = 2022, WEEKNUM(Table9[[#This Row],[Date]])-13, WEEKNUM(Table9[[#This Row],[Date]])+40)</f>
        <v>15</v>
      </c>
      <c r="C96" s="255" t="s">
        <v>48</v>
      </c>
      <c r="D96" s="65" t="s">
        <v>59</v>
      </c>
      <c r="E96" s="269">
        <v>738</v>
      </c>
      <c r="F96" s="269">
        <v>550</v>
      </c>
      <c r="G96" s="282">
        <v>0.41379310344827586</v>
      </c>
      <c r="H96" s="282">
        <v>8.9108910891089105E-2</v>
      </c>
      <c r="I96" s="269">
        <f>I94+Table3[[#This Row],[Calls Off]]</f>
        <v>1485</v>
      </c>
      <c r="J96" s="269">
        <f>J94+Table3[[#This Row],[Calls Ans]]</f>
        <v>1206</v>
      </c>
      <c r="K96" s="269">
        <v>35399</v>
      </c>
      <c r="L96" s="269">
        <v>32500</v>
      </c>
      <c r="M96" s="127">
        <v>0.46</v>
      </c>
      <c r="N96" s="127">
        <v>0.25</v>
      </c>
      <c r="O96" s="127">
        <v>0.75</v>
      </c>
      <c r="P96" s="127">
        <v>0.95</v>
      </c>
      <c r="Q96" s="283">
        <v>0.97</v>
      </c>
      <c r="R96" s="284">
        <v>0</v>
      </c>
      <c r="S96" s="284">
        <v>0</v>
      </c>
      <c r="T96" s="286">
        <v>0</v>
      </c>
      <c r="U96" s="127" t="str">
        <f t="shared" si="8"/>
        <v>Normal</v>
      </c>
      <c r="V96" s="127" t="str">
        <f t="shared" si="9"/>
        <v>Normal</v>
      </c>
      <c r="W96" s="87">
        <f t="shared" si="10"/>
        <v>0.41379310344827586</v>
      </c>
      <c r="X96" s="87">
        <f t="shared" si="11"/>
        <v>8.9108910891089105E-2</v>
      </c>
      <c r="Y96" s="273"/>
      <c r="Z96" s="273"/>
      <c r="AA96" s="273"/>
      <c r="AB96" s="273"/>
      <c r="AC96" s="273"/>
      <c r="AD96" s="273"/>
      <c r="AE96" s="273"/>
      <c r="AF96" s="273"/>
      <c r="AG96" s="273"/>
      <c r="AH96" s="273"/>
      <c r="AI96" s="273"/>
      <c r="AJ96" s="273"/>
      <c r="AK96" s="273"/>
    </row>
    <row r="97" spans="1:41">
      <c r="A97" s="281">
        <v>44747</v>
      </c>
      <c r="B97" s="314">
        <f>IF(YEAR(Table9[[#This Row],[Date]]) = 2022, WEEKNUM(Table9[[#This Row],[Date]])-13, WEEKNUM(Table9[[#This Row],[Date]])+40)</f>
        <v>15</v>
      </c>
      <c r="C97" s="255" t="s">
        <v>49</v>
      </c>
      <c r="D97" s="65" t="s">
        <v>59</v>
      </c>
      <c r="E97" s="269">
        <v>638</v>
      </c>
      <c r="F97" s="269">
        <v>459</v>
      </c>
      <c r="G97" s="282">
        <v>0.26838966202783299</v>
      </c>
      <c r="H97" s="282">
        <v>5.2752293577981654E-2</v>
      </c>
      <c r="I97" s="269">
        <f>I96+Table3[[#This Row],[Calls Off]]</f>
        <v>2123</v>
      </c>
      <c r="J97" s="269">
        <f>J96+Table3[[#This Row],[Calls Ans]]</f>
        <v>1665</v>
      </c>
      <c r="K97" s="269">
        <v>36037</v>
      </c>
      <c r="L97" s="269">
        <v>32959</v>
      </c>
      <c r="M97" s="127">
        <v>0.3</v>
      </c>
      <c r="N97" s="127">
        <v>0.28000000000000003</v>
      </c>
      <c r="O97" s="127">
        <v>0.72</v>
      </c>
      <c r="P97" s="127">
        <v>1.06</v>
      </c>
      <c r="Q97" s="283">
        <v>0.96</v>
      </c>
      <c r="R97" s="284">
        <v>0</v>
      </c>
      <c r="S97" s="284">
        <v>0</v>
      </c>
      <c r="T97" s="285">
        <v>0</v>
      </c>
      <c r="U97" s="127" t="str">
        <f t="shared" si="8"/>
        <v>Normal</v>
      </c>
      <c r="V97" s="127" t="str">
        <f t="shared" si="9"/>
        <v>Normal</v>
      </c>
      <c r="W97" s="87">
        <f t="shared" si="10"/>
        <v>0.26838966202783299</v>
      </c>
      <c r="X97" s="87">
        <f t="shared" si="11"/>
        <v>5.2752293577981654E-2</v>
      </c>
      <c r="Y97" s="272"/>
      <c r="Z97" s="272"/>
      <c r="AA97" s="272"/>
      <c r="AB97" s="272"/>
      <c r="AC97" s="272"/>
      <c r="AD97" s="272"/>
      <c r="AE97" s="272"/>
      <c r="AF97" s="272"/>
      <c r="AG97" s="272"/>
      <c r="AH97" s="272"/>
      <c r="AI97" s="272"/>
      <c r="AJ97" s="272"/>
      <c r="AK97" s="272"/>
    </row>
    <row r="98" spans="1:41">
      <c r="A98" s="281">
        <v>44748</v>
      </c>
      <c r="B98" s="314">
        <f>IF(YEAR(Table9[[#This Row],[Date]]) = 2022, WEEKNUM(Table9[[#This Row],[Date]])-13, WEEKNUM(Table9[[#This Row],[Date]])+40)</f>
        <v>15</v>
      </c>
      <c r="C98" s="255" t="s">
        <v>50</v>
      </c>
      <c r="D98" s="65" t="s">
        <v>59</v>
      </c>
      <c r="E98" s="269">
        <v>0</v>
      </c>
      <c r="F98" s="269">
        <v>0</v>
      </c>
      <c r="G98" s="282">
        <v>0</v>
      </c>
      <c r="H98" s="282">
        <v>0</v>
      </c>
      <c r="I98" s="269">
        <v>0</v>
      </c>
      <c r="J98" s="269">
        <v>0</v>
      </c>
      <c r="K98" s="269">
        <v>0</v>
      </c>
      <c r="L98" s="269">
        <v>0</v>
      </c>
      <c r="M98" s="127">
        <v>0</v>
      </c>
      <c r="N98" s="127">
        <v>0</v>
      </c>
      <c r="O98" s="127">
        <v>0</v>
      </c>
      <c r="P98" s="127">
        <v>0</v>
      </c>
      <c r="Q98" s="283">
        <v>0</v>
      </c>
      <c r="R98" s="284">
        <v>0</v>
      </c>
      <c r="S98" s="284">
        <v>0</v>
      </c>
      <c r="T98" s="285">
        <v>0</v>
      </c>
      <c r="U98" s="127" t="str">
        <f t="shared" si="8"/>
        <v>Normal</v>
      </c>
      <c r="V98" s="127" t="str">
        <f t="shared" si="9"/>
        <v>Normal</v>
      </c>
      <c r="W98" s="87">
        <f t="shared" si="10"/>
        <v>0</v>
      </c>
      <c r="X98" s="87">
        <f t="shared" si="11"/>
        <v>0</v>
      </c>
      <c r="Y98" s="272"/>
      <c r="Z98" s="272"/>
      <c r="AA98" s="272"/>
      <c r="AB98" s="272"/>
      <c r="AC98" s="272"/>
      <c r="AD98" s="272"/>
      <c r="AE98" s="272"/>
      <c r="AF98" s="272"/>
      <c r="AG98" s="272"/>
      <c r="AH98" s="272"/>
      <c r="AI98" s="272"/>
      <c r="AJ98" s="272"/>
      <c r="AK98" s="272"/>
    </row>
    <row r="99" spans="1:41">
      <c r="A99" s="281">
        <v>44749</v>
      </c>
      <c r="B99" s="314">
        <f>IF(YEAR(Table9[[#This Row],[Date]]) = 2022, WEEKNUM(Table9[[#This Row],[Date]])-13, WEEKNUM(Table9[[#This Row],[Date]])+40)</f>
        <v>15</v>
      </c>
      <c r="C99" s="255" t="s">
        <v>51</v>
      </c>
      <c r="D99" s="65" t="s">
        <v>59</v>
      </c>
      <c r="E99" s="269">
        <v>0</v>
      </c>
      <c r="F99" s="269">
        <v>0</v>
      </c>
      <c r="G99" s="282">
        <v>0</v>
      </c>
      <c r="H99" s="282">
        <v>0</v>
      </c>
      <c r="I99" s="269">
        <v>0</v>
      </c>
      <c r="J99" s="269">
        <v>0</v>
      </c>
      <c r="K99" s="269">
        <v>0</v>
      </c>
      <c r="L99" s="269">
        <v>0</v>
      </c>
      <c r="M99" s="127">
        <v>0</v>
      </c>
      <c r="N99" s="127">
        <v>0</v>
      </c>
      <c r="O99" s="127">
        <v>0</v>
      </c>
      <c r="P99" s="127">
        <v>0</v>
      </c>
      <c r="Q99" s="283">
        <v>0</v>
      </c>
      <c r="R99" s="284">
        <v>0</v>
      </c>
      <c r="S99" s="284">
        <v>0</v>
      </c>
      <c r="T99" s="285">
        <v>0</v>
      </c>
      <c r="U99" s="127" t="str">
        <f t="shared" si="8"/>
        <v>Normal</v>
      </c>
      <c r="V99" s="127" t="str">
        <f t="shared" si="9"/>
        <v>Normal</v>
      </c>
      <c r="W99" s="87">
        <f t="shared" si="10"/>
        <v>0</v>
      </c>
      <c r="X99" s="87">
        <f t="shared" si="11"/>
        <v>0</v>
      </c>
      <c r="Y99" s="272"/>
      <c r="Z99" s="272"/>
      <c r="AA99" s="272"/>
      <c r="AB99" s="272"/>
      <c r="AC99" s="272"/>
      <c r="AD99" s="272"/>
      <c r="AE99" s="272"/>
      <c r="AF99" s="272"/>
      <c r="AG99" s="272"/>
      <c r="AH99" s="272"/>
      <c r="AI99" s="272"/>
      <c r="AJ99" s="272"/>
      <c r="AK99" s="272"/>
    </row>
    <row r="100" spans="1:41">
      <c r="A100" s="281">
        <v>44750</v>
      </c>
      <c r="B100" s="314">
        <f>IF(YEAR(Table9[[#This Row],[Date]]) = 2022, WEEKNUM(Table9[[#This Row],[Date]])-13, WEEKNUM(Table9[[#This Row],[Date]])+40)</f>
        <v>15</v>
      </c>
      <c r="C100" s="255" t="s">
        <v>52</v>
      </c>
      <c r="D100" s="65" t="s">
        <v>59</v>
      </c>
      <c r="E100" s="269">
        <v>482</v>
      </c>
      <c r="F100" s="269">
        <v>434</v>
      </c>
      <c r="G100" s="282">
        <v>-1.8329938900203666E-2</v>
      </c>
      <c r="H100" s="282">
        <v>-2.4719101123595506E-2</v>
      </c>
      <c r="I100" s="269">
        <f>I97+Table3[[#This Row],[Calls Off]]</f>
        <v>2605</v>
      </c>
      <c r="J100" s="269">
        <f>J97+Table3[[#This Row],[Calls Ans]]</f>
        <v>2099</v>
      </c>
      <c r="K100" s="269">
        <v>36519</v>
      </c>
      <c r="L100" s="269">
        <v>33393</v>
      </c>
      <c r="M100" s="127">
        <v>0.67</v>
      </c>
      <c r="N100" s="127">
        <v>0.1</v>
      </c>
      <c r="O100" s="127">
        <v>0.9</v>
      </c>
      <c r="P100" s="127">
        <v>0.75</v>
      </c>
      <c r="Q100" s="283">
        <v>0.96</v>
      </c>
      <c r="R100" s="284">
        <v>0</v>
      </c>
      <c r="S100" s="284">
        <v>0</v>
      </c>
      <c r="T100" s="285">
        <v>0</v>
      </c>
      <c r="U100" s="127" t="str">
        <f t="shared" si="8"/>
        <v>Normal</v>
      </c>
      <c r="V100" s="127" t="str">
        <f t="shared" si="9"/>
        <v>Normal</v>
      </c>
      <c r="W100" s="87">
        <f t="shared" si="10"/>
        <v>-1.8329938900203666E-2</v>
      </c>
      <c r="X100" s="87">
        <f t="shared" si="11"/>
        <v>-2.4719101123595506E-2</v>
      </c>
      <c r="Y100" s="272"/>
      <c r="Z100" s="272"/>
      <c r="AA100" s="272"/>
      <c r="AB100" s="272"/>
      <c r="AC100" s="272"/>
      <c r="AD100" s="272"/>
      <c r="AE100" s="272"/>
      <c r="AF100" s="272"/>
      <c r="AG100" s="272"/>
      <c r="AH100" s="272"/>
      <c r="AI100" s="272"/>
      <c r="AJ100" s="272"/>
      <c r="AK100" s="272"/>
    </row>
    <row r="101" spans="1:41">
      <c r="A101" s="281">
        <v>44751</v>
      </c>
      <c r="B101" s="314">
        <f>IF(YEAR(Table9[[#This Row],[Date]]) = 2022, WEEKNUM(Table9[[#This Row],[Date]])-13, WEEKNUM(Table9[[#This Row],[Date]])+40)</f>
        <v>15</v>
      </c>
      <c r="C101" s="255" t="s">
        <v>53</v>
      </c>
      <c r="D101" s="65" t="s">
        <v>59</v>
      </c>
      <c r="E101" s="269">
        <v>251</v>
      </c>
      <c r="F101" s="269">
        <v>218</v>
      </c>
      <c r="G101" s="282">
        <v>-1.953125E-2</v>
      </c>
      <c r="H101" s="282">
        <v>3.3175355450236969E-2</v>
      </c>
      <c r="I101" s="269">
        <f>I100+Table3[[#This Row],[Calls Off]]</f>
        <v>2856</v>
      </c>
      <c r="J101" s="269">
        <f>J100+Table3[[#This Row],[Calls Ans]]</f>
        <v>2317</v>
      </c>
      <c r="K101" s="269">
        <v>36770</v>
      </c>
      <c r="L101" s="269">
        <v>33611</v>
      </c>
      <c r="M101" s="127">
        <v>0.68</v>
      </c>
      <c r="N101" s="127">
        <v>0.13</v>
      </c>
      <c r="O101" s="127">
        <v>0.87</v>
      </c>
      <c r="P101" s="127">
        <v>0.66</v>
      </c>
      <c r="Q101" s="283">
        <v>0.98</v>
      </c>
      <c r="R101" s="284">
        <v>0</v>
      </c>
      <c r="S101" s="284">
        <v>0</v>
      </c>
      <c r="T101" s="285">
        <v>0</v>
      </c>
      <c r="U101" s="127" t="str">
        <f t="shared" si="8"/>
        <v>Normal</v>
      </c>
      <c r="V101" s="127" t="str">
        <f t="shared" si="9"/>
        <v>Normal</v>
      </c>
      <c r="W101" s="87">
        <f t="shared" si="10"/>
        <v>-1.953125E-2</v>
      </c>
      <c r="X101" s="87">
        <f t="shared" si="11"/>
        <v>3.3175355450236969E-2</v>
      </c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  <c r="AJ101" s="272"/>
      <c r="AK101" s="272"/>
    </row>
    <row r="102" spans="1:41">
      <c r="A102" s="281">
        <v>44752</v>
      </c>
      <c r="B102" s="314">
        <f>IF(YEAR(Table9[[#This Row],[Date]]) = 2022, WEEKNUM(Table9[[#This Row],[Date]])-13, WEEKNUM(Table9[[#This Row],[Date]])+40)</f>
        <v>16</v>
      </c>
      <c r="C102" s="255" t="s">
        <v>47</v>
      </c>
      <c r="D102" s="65" t="s">
        <v>59</v>
      </c>
      <c r="E102" s="269">
        <v>0</v>
      </c>
      <c r="F102" s="269">
        <v>0</v>
      </c>
      <c r="G102" s="282">
        <v>0</v>
      </c>
      <c r="H102" s="282">
        <v>0</v>
      </c>
      <c r="I102" s="269">
        <v>0</v>
      </c>
      <c r="J102" s="269">
        <v>0</v>
      </c>
      <c r="K102" s="269">
        <v>0</v>
      </c>
      <c r="L102" s="269">
        <v>0</v>
      </c>
      <c r="M102" s="127">
        <v>0</v>
      </c>
      <c r="N102" s="127">
        <v>0</v>
      </c>
      <c r="O102" s="127">
        <v>0</v>
      </c>
      <c r="P102" s="127">
        <v>0</v>
      </c>
      <c r="Q102" s="283">
        <v>0</v>
      </c>
      <c r="R102" s="284">
        <v>0</v>
      </c>
      <c r="S102" s="284">
        <v>0</v>
      </c>
      <c r="T102" s="285">
        <v>0</v>
      </c>
      <c r="U102" s="127" t="str">
        <f t="shared" si="8"/>
        <v>Normal</v>
      </c>
      <c r="V102" s="127" t="str">
        <f t="shared" si="9"/>
        <v>Normal</v>
      </c>
      <c r="W102" s="87">
        <f t="shared" si="10"/>
        <v>0</v>
      </c>
      <c r="X102" s="87">
        <f t="shared" si="11"/>
        <v>0</v>
      </c>
      <c r="Y102" s="272"/>
      <c r="Z102" s="272"/>
      <c r="AA102" s="272"/>
      <c r="AB102" s="272"/>
      <c r="AC102" s="272"/>
      <c r="AD102" s="272"/>
      <c r="AE102" s="272"/>
      <c r="AF102" s="272"/>
      <c r="AG102" s="272"/>
      <c r="AH102" s="272"/>
      <c r="AI102" s="272"/>
      <c r="AJ102" s="272"/>
      <c r="AK102" s="272"/>
    </row>
    <row r="103" spans="1:41">
      <c r="A103" s="281">
        <v>44753</v>
      </c>
      <c r="B103" s="314">
        <f>IF(YEAR(Table9[[#This Row],[Date]]) = 2022, WEEKNUM(Table9[[#This Row],[Date]])-13, WEEKNUM(Table9[[#This Row],[Date]])+40)</f>
        <v>16</v>
      </c>
      <c r="C103" s="255" t="s">
        <v>48</v>
      </c>
      <c r="D103" s="65" t="s">
        <v>59</v>
      </c>
      <c r="E103" s="269">
        <v>426</v>
      </c>
      <c r="F103" s="269">
        <v>403</v>
      </c>
      <c r="G103" s="282">
        <v>-0.42276422764227645</v>
      </c>
      <c r="H103" s="282">
        <v>-0.26727272727272727</v>
      </c>
      <c r="I103" s="269">
        <f>I101+Table3[[#This Row],[Calls Off]]</f>
        <v>3282</v>
      </c>
      <c r="J103" s="269">
        <f>J101+Table3[[#This Row],[Calls Ans]]</f>
        <v>2720</v>
      </c>
      <c r="K103" s="269">
        <v>37196</v>
      </c>
      <c r="L103" s="269">
        <v>34014</v>
      </c>
      <c r="M103" s="127">
        <v>0.79</v>
      </c>
      <c r="N103" s="127">
        <v>0.05</v>
      </c>
      <c r="O103" s="127">
        <v>0.95</v>
      </c>
      <c r="P103" s="127">
        <v>0.56000000000000005</v>
      </c>
      <c r="Q103" s="283">
        <v>0.96</v>
      </c>
      <c r="R103" s="284">
        <v>0</v>
      </c>
      <c r="S103" s="284">
        <v>0</v>
      </c>
      <c r="T103" s="285">
        <v>0</v>
      </c>
      <c r="U103" s="127" t="str">
        <f t="shared" si="8"/>
        <v>Normal</v>
      </c>
      <c r="V103" s="127" t="str">
        <f t="shared" si="9"/>
        <v>Normal</v>
      </c>
      <c r="W103" s="87">
        <f t="shared" si="10"/>
        <v>-0.42276422764227645</v>
      </c>
      <c r="X103" s="87">
        <f t="shared" si="11"/>
        <v>-0.26727272727272727</v>
      </c>
      <c r="Y103" s="272"/>
      <c r="Z103" s="272"/>
      <c r="AA103" s="272"/>
      <c r="AB103" s="272"/>
      <c r="AC103" s="272"/>
      <c r="AD103" s="272"/>
      <c r="AE103" s="272"/>
      <c r="AF103" s="272"/>
      <c r="AG103" s="272"/>
      <c r="AH103" s="272"/>
      <c r="AI103" s="272"/>
      <c r="AJ103" s="272"/>
      <c r="AK103" s="272"/>
    </row>
    <row r="104" spans="1:41">
      <c r="A104" s="281">
        <v>44754</v>
      </c>
      <c r="B104" s="314">
        <f>IF(YEAR(Table9[[#This Row],[Date]]) = 2022, WEEKNUM(Table9[[#This Row],[Date]])-13, WEEKNUM(Table9[[#This Row],[Date]])+40)</f>
        <v>16</v>
      </c>
      <c r="C104" s="255" t="s">
        <v>49</v>
      </c>
      <c r="D104" s="65" t="s">
        <v>59</v>
      </c>
      <c r="E104" s="269">
        <v>470</v>
      </c>
      <c r="F104" s="269">
        <v>417</v>
      </c>
      <c r="G104" s="282">
        <v>-0.26332288401253917</v>
      </c>
      <c r="H104" s="282">
        <v>-9.1503267973856203E-2</v>
      </c>
      <c r="I104" s="269">
        <f>I103+Table3[[#This Row],[Calls Off]]</f>
        <v>3752</v>
      </c>
      <c r="J104" s="269">
        <f>J103+Table3[[#This Row],[Calls Ans]]</f>
        <v>3137</v>
      </c>
      <c r="K104" s="269">
        <v>37666</v>
      </c>
      <c r="L104" s="269">
        <v>34431</v>
      </c>
      <c r="M104" s="127">
        <v>0.68</v>
      </c>
      <c r="N104" s="127">
        <v>0.11</v>
      </c>
      <c r="O104" s="127">
        <v>0.89</v>
      </c>
      <c r="P104" s="127">
        <v>0.64</v>
      </c>
      <c r="Q104" s="283">
        <v>0.97</v>
      </c>
      <c r="R104" s="284">
        <v>0</v>
      </c>
      <c r="S104" s="284">
        <v>0</v>
      </c>
      <c r="T104" s="285">
        <v>0</v>
      </c>
      <c r="U104" s="127" t="str">
        <f t="shared" si="8"/>
        <v>Normal</v>
      </c>
      <c r="V104" s="127" t="str">
        <f t="shared" si="9"/>
        <v>Normal</v>
      </c>
      <c r="W104" s="87">
        <f t="shared" si="10"/>
        <v>-0.26332288401253917</v>
      </c>
      <c r="X104" s="87">
        <f t="shared" si="11"/>
        <v>-9.1503267973856203E-2</v>
      </c>
      <c r="Y104" s="272"/>
      <c r="Z104" s="272"/>
      <c r="AA104" s="272"/>
      <c r="AB104" s="272"/>
      <c r="AC104" s="272"/>
      <c r="AD104" s="272"/>
      <c r="AE104" s="272"/>
      <c r="AF104" s="272"/>
      <c r="AG104" s="272"/>
      <c r="AH104" s="272"/>
      <c r="AI104" s="272"/>
      <c r="AJ104" s="272"/>
      <c r="AK104" s="272"/>
    </row>
    <row r="105" spans="1:41">
      <c r="A105" s="281">
        <v>44755</v>
      </c>
      <c r="B105" s="314">
        <f>IF(YEAR(Table9[[#This Row],[Date]]) = 2022, WEEKNUM(Table9[[#This Row],[Date]])-13, WEEKNUM(Table9[[#This Row],[Date]])+40)</f>
        <v>16</v>
      </c>
      <c r="C105" s="255" t="s">
        <v>50</v>
      </c>
      <c r="D105" s="65" t="s">
        <v>59</v>
      </c>
      <c r="E105" s="269">
        <v>452</v>
      </c>
      <c r="F105" s="269">
        <v>364</v>
      </c>
      <c r="G105" s="282">
        <v>0</v>
      </c>
      <c r="H105" s="282">
        <v>0</v>
      </c>
      <c r="I105" s="269">
        <f>I104+Table3[[#This Row],[Calls Off]]</f>
        <v>4204</v>
      </c>
      <c r="J105" s="269">
        <f>J104+Table3[[#This Row],[Calls Ans]]</f>
        <v>3501</v>
      </c>
      <c r="K105" s="269">
        <v>38118</v>
      </c>
      <c r="L105" s="269">
        <v>34795</v>
      </c>
      <c r="M105" s="127">
        <v>0.54</v>
      </c>
      <c r="N105" s="127">
        <v>0.19</v>
      </c>
      <c r="O105" s="127">
        <v>0.81</v>
      </c>
      <c r="P105" s="127">
        <v>0.84</v>
      </c>
      <c r="Q105" s="283">
        <v>0.99</v>
      </c>
      <c r="R105" s="284">
        <v>0</v>
      </c>
      <c r="S105" s="284">
        <v>0</v>
      </c>
      <c r="T105" s="285">
        <v>0</v>
      </c>
      <c r="U105" s="127" t="str">
        <f t="shared" si="8"/>
        <v>Normal</v>
      </c>
      <c r="V105" s="127" t="str">
        <f t="shared" si="9"/>
        <v>Normal</v>
      </c>
      <c r="W105" s="87">
        <f t="shared" si="10"/>
        <v>0</v>
      </c>
      <c r="X105" s="87">
        <f t="shared" si="11"/>
        <v>0</v>
      </c>
      <c r="Y105" s="272"/>
      <c r="Z105" s="272"/>
      <c r="AA105" s="272"/>
      <c r="AB105" s="272"/>
      <c r="AC105" s="272"/>
      <c r="AD105" s="272"/>
      <c r="AE105" s="272"/>
      <c r="AF105" s="272"/>
      <c r="AG105" s="272"/>
      <c r="AH105" s="272"/>
      <c r="AI105" s="272"/>
      <c r="AJ105" s="272"/>
      <c r="AK105" s="272"/>
    </row>
    <row r="106" spans="1:41">
      <c r="A106" s="281">
        <v>44756</v>
      </c>
      <c r="B106" s="314">
        <f>IF(YEAR(Table9[[#This Row],[Date]]) = 2022, WEEKNUM(Table9[[#This Row],[Date]])-13, WEEKNUM(Table9[[#This Row],[Date]])+40)</f>
        <v>16</v>
      </c>
      <c r="C106" s="255" t="s">
        <v>51</v>
      </c>
      <c r="D106" s="65" t="s">
        <v>59</v>
      </c>
      <c r="E106" s="269">
        <v>410</v>
      </c>
      <c r="F106" s="269">
        <v>369</v>
      </c>
      <c r="G106" s="282">
        <v>0</v>
      </c>
      <c r="H106" s="282">
        <v>0</v>
      </c>
      <c r="I106" s="269">
        <f>I105+Table3[[#This Row],[Calls Off]]</f>
        <v>4614</v>
      </c>
      <c r="J106" s="269">
        <f>J105+Table3[[#This Row],[Calls Ans]]</f>
        <v>3870</v>
      </c>
      <c r="K106" s="269">
        <v>38528</v>
      </c>
      <c r="L106" s="269">
        <v>35164</v>
      </c>
      <c r="M106" s="127">
        <v>0.69</v>
      </c>
      <c r="N106" s="127">
        <v>0.1</v>
      </c>
      <c r="O106" s="127">
        <v>0.9</v>
      </c>
      <c r="P106" s="127">
        <v>0.89</v>
      </c>
      <c r="Q106" s="283">
        <v>0.93</v>
      </c>
      <c r="R106" s="284">
        <v>0</v>
      </c>
      <c r="S106" s="284">
        <v>0</v>
      </c>
      <c r="T106" s="285">
        <v>0</v>
      </c>
      <c r="U106" s="127" t="str">
        <f t="shared" si="8"/>
        <v>Normal</v>
      </c>
      <c r="V106" s="127" t="str">
        <f t="shared" si="9"/>
        <v>Normal</v>
      </c>
      <c r="W106" s="87">
        <f t="shared" si="10"/>
        <v>0</v>
      </c>
      <c r="X106" s="87">
        <f t="shared" si="11"/>
        <v>0</v>
      </c>
      <c r="Y106" s="272"/>
      <c r="Z106" s="272"/>
      <c r="AA106" s="272"/>
      <c r="AB106" s="272"/>
      <c r="AC106" s="272"/>
      <c r="AD106" s="272"/>
      <c r="AE106" s="272"/>
      <c r="AF106" s="272"/>
      <c r="AG106" s="272"/>
      <c r="AH106" s="272"/>
      <c r="AI106" s="272"/>
      <c r="AJ106" s="272"/>
      <c r="AK106" s="272"/>
    </row>
    <row r="107" spans="1:41">
      <c r="A107" s="281">
        <v>44757</v>
      </c>
      <c r="B107" s="314">
        <f>IF(YEAR(Table9[[#This Row],[Date]]) = 2022, WEEKNUM(Table9[[#This Row],[Date]])-13, WEEKNUM(Table9[[#This Row],[Date]])+40)</f>
        <v>16</v>
      </c>
      <c r="C107" s="255" t="s">
        <v>52</v>
      </c>
      <c r="D107" s="65" t="s">
        <v>59</v>
      </c>
      <c r="E107" s="269">
        <v>453</v>
      </c>
      <c r="F107" s="269">
        <v>398</v>
      </c>
      <c r="G107" s="282">
        <v>-6.0165975103734441E-2</v>
      </c>
      <c r="H107" s="282">
        <v>-8.294930875576037E-2</v>
      </c>
      <c r="I107" s="269">
        <f>I106+Table3[[#This Row],[Calls Off]]</f>
        <v>5067</v>
      </c>
      <c r="J107" s="269">
        <f>J106+Table3[[#This Row],[Calls Ans]]</f>
        <v>4268</v>
      </c>
      <c r="K107" s="269">
        <v>38981</v>
      </c>
      <c r="L107" s="269">
        <v>35562</v>
      </c>
      <c r="M107" s="127">
        <v>0.69</v>
      </c>
      <c r="N107" s="127">
        <v>0.12</v>
      </c>
      <c r="O107" s="127">
        <v>0.88</v>
      </c>
      <c r="P107" s="127">
        <v>0.69</v>
      </c>
      <c r="Q107" s="283">
        <v>0.98</v>
      </c>
      <c r="R107" s="284">
        <v>0</v>
      </c>
      <c r="S107" s="284">
        <v>0</v>
      </c>
      <c r="T107" s="285">
        <v>0</v>
      </c>
      <c r="U107" s="127" t="str">
        <f t="shared" si="8"/>
        <v>Normal</v>
      </c>
      <c r="V107" s="127" t="str">
        <f t="shared" si="9"/>
        <v>Normal</v>
      </c>
      <c r="W107" s="87">
        <f t="shared" si="10"/>
        <v>-6.0165975103734441E-2</v>
      </c>
      <c r="X107" s="87">
        <f t="shared" si="11"/>
        <v>-8.294930875576037E-2</v>
      </c>
      <c r="Y107" s="272"/>
      <c r="Z107" s="272"/>
      <c r="AA107" s="272"/>
      <c r="AB107" s="272"/>
      <c r="AC107" s="272"/>
      <c r="AD107" s="272"/>
      <c r="AE107" s="272"/>
      <c r="AF107" s="272"/>
      <c r="AG107" s="272"/>
      <c r="AH107" s="272"/>
      <c r="AI107" s="272"/>
      <c r="AJ107" s="272"/>
      <c r="AK107" s="272"/>
    </row>
    <row r="108" spans="1:41">
      <c r="A108" s="281">
        <v>44758</v>
      </c>
      <c r="B108" s="314">
        <f>IF(YEAR(Table9[[#This Row],[Date]]) = 2022, WEEKNUM(Table9[[#This Row],[Date]])-13, WEEKNUM(Table9[[#This Row],[Date]])+40)</f>
        <v>16</v>
      </c>
      <c r="C108" s="255" t="s">
        <v>53</v>
      </c>
      <c r="D108" s="65" t="s">
        <v>59</v>
      </c>
      <c r="E108" s="269">
        <v>193</v>
      </c>
      <c r="F108" s="269">
        <v>183</v>
      </c>
      <c r="G108" s="282">
        <v>-0.23107569721115537</v>
      </c>
      <c r="H108" s="282">
        <v>-0.16055045871559634</v>
      </c>
      <c r="I108" s="269">
        <f>I107+Table3[[#This Row],[Calls Off]]</f>
        <v>5260</v>
      </c>
      <c r="J108" s="269">
        <f>J107+Table3[[#This Row],[Calls Ans]]</f>
        <v>4451</v>
      </c>
      <c r="K108" s="269">
        <v>39174</v>
      </c>
      <c r="L108" s="269">
        <v>35745</v>
      </c>
      <c r="M108" s="127">
        <v>0.8</v>
      </c>
      <c r="N108" s="127">
        <v>0.05</v>
      </c>
      <c r="O108" s="127">
        <v>0.95</v>
      </c>
      <c r="P108" s="127">
        <v>0.42</v>
      </c>
      <c r="Q108" s="283">
        <v>0.9</v>
      </c>
      <c r="R108" s="284">
        <v>0</v>
      </c>
      <c r="S108" s="284">
        <v>0</v>
      </c>
      <c r="T108" s="285">
        <v>0</v>
      </c>
      <c r="U108" s="127" t="str">
        <f t="shared" si="8"/>
        <v>Normal</v>
      </c>
      <c r="V108" s="127" t="str">
        <f t="shared" si="9"/>
        <v>Normal</v>
      </c>
      <c r="W108" s="87">
        <f t="shared" si="10"/>
        <v>-0.23107569721115537</v>
      </c>
      <c r="X108" s="87">
        <f t="shared" si="11"/>
        <v>-0.16055045871559634</v>
      </c>
      <c r="Y108" s="272"/>
      <c r="Z108" s="272"/>
      <c r="AA108" s="272"/>
      <c r="AB108" s="272"/>
      <c r="AC108" s="272"/>
      <c r="AD108" s="272"/>
      <c r="AE108" s="272"/>
      <c r="AF108" s="272"/>
      <c r="AG108" s="272"/>
      <c r="AH108" s="272"/>
      <c r="AI108" s="272"/>
      <c r="AJ108" s="272"/>
      <c r="AK108" s="272"/>
    </row>
    <row r="109" spans="1:41">
      <c r="A109" s="287">
        <v>44759</v>
      </c>
      <c r="B109" s="315">
        <f>IF(YEAR(Table9[[#This Row],[Date]]) = 2022, WEEKNUM(Table9[[#This Row],[Date]])-13, WEEKNUM(Table9[[#This Row],[Date]])+40)</f>
        <v>17</v>
      </c>
      <c r="C109" s="288" t="s">
        <v>47</v>
      </c>
      <c r="D109" s="65" t="s">
        <v>59</v>
      </c>
      <c r="E109" s="289">
        <v>0</v>
      </c>
      <c r="F109" s="289">
        <v>0</v>
      </c>
      <c r="G109" s="290">
        <v>0</v>
      </c>
      <c r="H109" s="290">
        <v>0</v>
      </c>
      <c r="I109" s="289">
        <v>0</v>
      </c>
      <c r="J109" s="289">
        <v>0</v>
      </c>
      <c r="K109" s="289">
        <v>0</v>
      </c>
      <c r="L109" s="289">
        <v>0</v>
      </c>
      <c r="M109" s="291">
        <v>0</v>
      </c>
      <c r="N109" s="291">
        <v>0</v>
      </c>
      <c r="O109" s="291">
        <v>0</v>
      </c>
      <c r="P109" s="291">
        <v>0</v>
      </c>
      <c r="Q109" s="292">
        <v>0</v>
      </c>
      <c r="R109" s="293">
        <v>0</v>
      </c>
      <c r="S109" s="293">
        <v>0</v>
      </c>
      <c r="T109" s="285">
        <v>0</v>
      </c>
      <c r="U109" s="127" t="str">
        <f t="shared" si="8"/>
        <v>Normal</v>
      </c>
      <c r="V109" s="127" t="str">
        <f t="shared" si="9"/>
        <v>Normal</v>
      </c>
      <c r="W109" s="87">
        <f t="shared" si="10"/>
        <v>0</v>
      </c>
      <c r="X109" s="87">
        <f t="shared" si="11"/>
        <v>0</v>
      </c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272"/>
      <c r="AI109" s="272"/>
      <c r="AJ109" s="272"/>
      <c r="AK109" s="272"/>
    </row>
    <row r="110" spans="1:41">
      <c r="A110" s="281">
        <v>44760</v>
      </c>
      <c r="B110" s="314">
        <f>IF(YEAR(Table9[[#This Row],[Date]]) = 2022, WEEKNUM(Table9[[#This Row],[Date]])-13, WEEKNUM(Table9[[#This Row],[Date]])+40)</f>
        <v>17</v>
      </c>
      <c r="C110" s="255" t="s">
        <v>48</v>
      </c>
      <c r="D110" s="65" t="s">
        <v>59</v>
      </c>
      <c r="E110" s="269">
        <v>718</v>
      </c>
      <c r="F110" s="269">
        <v>614</v>
      </c>
      <c r="G110" s="282">
        <v>0.68544600938967137</v>
      </c>
      <c r="H110" s="282">
        <v>0.52357320099255578</v>
      </c>
      <c r="I110" s="269">
        <f>I108+Table3[[#This Row],[Calls Off]]</f>
        <v>5978</v>
      </c>
      <c r="J110" s="269">
        <f>J108+Table3[[#This Row],[Calls Ans]]</f>
        <v>5065</v>
      </c>
      <c r="K110" s="269">
        <v>39892</v>
      </c>
      <c r="L110" s="269">
        <v>36359</v>
      </c>
      <c r="M110" s="127">
        <v>0.62</v>
      </c>
      <c r="N110" s="127">
        <v>0.14000000000000001</v>
      </c>
      <c r="O110" s="127">
        <v>0.86</v>
      </c>
      <c r="P110" s="127">
        <v>0.85</v>
      </c>
      <c r="Q110" s="292">
        <v>0.96</v>
      </c>
      <c r="R110" s="293">
        <v>0</v>
      </c>
      <c r="S110" s="293">
        <v>0</v>
      </c>
      <c r="T110" s="285">
        <v>0</v>
      </c>
      <c r="U110" s="127" t="str">
        <f t="shared" si="8"/>
        <v>Outlier</v>
      </c>
      <c r="V110" s="127" t="str">
        <f t="shared" si="9"/>
        <v>Outlier</v>
      </c>
      <c r="W110" s="87">
        <f t="shared" si="10"/>
        <v>0.68544600938967137</v>
      </c>
      <c r="X110" s="87">
        <f t="shared" si="11"/>
        <v>0.52357320099255578</v>
      </c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  <c r="AI110" s="272"/>
      <c r="AJ110" s="272"/>
      <c r="AK110" s="272"/>
    </row>
    <row r="111" spans="1:41" s="50" customFormat="1">
      <c r="A111" s="281">
        <v>44761</v>
      </c>
      <c r="B111" s="314">
        <f>IF(YEAR(Table9[[#This Row],[Date]]) = 2022, WEEKNUM(Table9[[#This Row],[Date]])-13, WEEKNUM(Table9[[#This Row],[Date]])+40)</f>
        <v>17</v>
      </c>
      <c r="C111" s="255" t="s">
        <v>49</v>
      </c>
      <c r="D111" s="65" t="s">
        <v>59</v>
      </c>
      <c r="E111" s="269">
        <v>685</v>
      </c>
      <c r="F111" s="269">
        <v>578</v>
      </c>
      <c r="G111" s="282">
        <v>0.45744680851063829</v>
      </c>
      <c r="H111" s="282">
        <v>0.38609112709832133</v>
      </c>
      <c r="I111" s="269">
        <f>I110+Table3[[#This Row],[Calls Off]]</f>
        <v>6663</v>
      </c>
      <c r="J111" s="269">
        <f>J110+Table3[[#This Row],[Calls Ans]]</f>
        <v>5643</v>
      </c>
      <c r="K111" s="269">
        <v>40577</v>
      </c>
      <c r="L111" s="269">
        <v>36937</v>
      </c>
      <c r="M111" s="127">
        <v>0.53</v>
      </c>
      <c r="N111" s="127">
        <v>0.16</v>
      </c>
      <c r="O111" s="127">
        <v>0.84</v>
      </c>
      <c r="P111" s="127">
        <v>0.99</v>
      </c>
      <c r="Q111" s="292">
        <v>0.96</v>
      </c>
      <c r="R111" s="293">
        <v>0</v>
      </c>
      <c r="S111" s="293">
        <v>0</v>
      </c>
      <c r="T111" s="285">
        <v>0</v>
      </c>
      <c r="U111" s="127" t="str">
        <f t="shared" si="8"/>
        <v>Outlier</v>
      </c>
      <c r="V111" s="127" t="str">
        <f t="shared" si="9"/>
        <v>Outlier</v>
      </c>
      <c r="W111" s="87">
        <f t="shared" si="10"/>
        <v>0.45744680851063829</v>
      </c>
      <c r="X111" s="87">
        <f t="shared" si="11"/>
        <v>0.38609112709832133</v>
      </c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M111" t="s">
        <v>61</v>
      </c>
      <c r="AN111" s="16">
        <v>44986</v>
      </c>
      <c r="AO111"/>
    </row>
    <row r="112" spans="1:41">
      <c r="A112" s="281">
        <v>44762</v>
      </c>
      <c r="B112" s="314">
        <f>IF(YEAR(Table9[[#This Row],[Date]]) = 2022, WEEKNUM(Table9[[#This Row],[Date]])-13, WEEKNUM(Table9[[#This Row],[Date]])+40)</f>
        <v>17</v>
      </c>
      <c r="C112" s="255" t="s">
        <v>50</v>
      </c>
      <c r="D112" s="65" t="s">
        <v>59</v>
      </c>
      <c r="E112" s="269">
        <v>523</v>
      </c>
      <c r="F112" s="269">
        <v>442</v>
      </c>
      <c r="G112" s="282">
        <v>0.15707964601769911</v>
      </c>
      <c r="H112" s="282">
        <v>0.21428571428571427</v>
      </c>
      <c r="I112" s="269">
        <f>I111+Table3[[#This Row],[Calls Off]]</f>
        <v>7186</v>
      </c>
      <c r="J112" s="269">
        <f>J111+Table3[[#This Row],[Calls Ans]]</f>
        <v>6085</v>
      </c>
      <c r="K112" s="269">
        <v>41100</v>
      </c>
      <c r="L112" s="269">
        <v>37379</v>
      </c>
      <c r="M112" s="127">
        <v>0.57999999999999996</v>
      </c>
      <c r="N112" s="127">
        <v>0.15</v>
      </c>
      <c r="O112" s="127">
        <v>0.85</v>
      </c>
      <c r="P112" s="127">
        <v>0.72</v>
      </c>
      <c r="Q112" s="292">
        <v>0.96</v>
      </c>
      <c r="R112" s="293">
        <v>0</v>
      </c>
      <c r="S112" s="293">
        <v>0</v>
      </c>
      <c r="T112" s="285">
        <v>0</v>
      </c>
      <c r="U112" s="127" t="str">
        <f t="shared" si="8"/>
        <v>Normal</v>
      </c>
      <c r="V112" s="127" t="str">
        <f t="shared" si="9"/>
        <v>Normal</v>
      </c>
      <c r="W112" s="87">
        <f t="shared" si="10"/>
        <v>0.15707964601769911</v>
      </c>
      <c r="X112" s="87">
        <f t="shared" si="11"/>
        <v>0.21428571428571427</v>
      </c>
      <c r="Y112" s="272"/>
      <c r="Z112" s="272"/>
      <c r="AA112" s="272"/>
      <c r="AB112" s="272"/>
      <c r="AC112" s="272"/>
      <c r="AD112" s="272"/>
      <c r="AE112" s="272"/>
      <c r="AF112" s="272"/>
      <c r="AG112" s="272"/>
      <c r="AH112" s="272"/>
      <c r="AI112" s="272"/>
      <c r="AJ112" s="272"/>
      <c r="AK112" s="272"/>
      <c r="AM112" t="s">
        <v>62</v>
      </c>
      <c r="AN112" s="16">
        <v>45016</v>
      </c>
    </row>
    <row r="113" spans="1:37">
      <c r="A113" s="281">
        <v>44763</v>
      </c>
      <c r="B113" s="314">
        <f>IF(YEAR(Table9[[#This Row],[Date]]) = 2022, WEEKNUM(Table9[[#This Row],[Date]])-13, WEEKNUM(Table9[[#This Row],[Date]])+40)</f>
        <v>17</v>
      </c>
      <c r="C113" s="255" t="s">
        <v>51</v>
      </c>
      <c r="D113" s="65" t="s">
        <v>59</v>
      </c>
      <c r="E113" s="269">
        <v>535</v>
      </c>
      <c r="F113" s="269">
        <v>466</v>
      </c>
      <c r="G113" s="282">
        <v>0.3048780487804878</v>
      </c>
      <c r="H113" s="282">
        <v>0.26287262872628725</v>
      </c>
      <c r="I113" s="269">
        <f>I112+Table3[[#This Row],[Calls Off]]</f>
        <v>7721</v>
      </c>
      <c r="J113" s="269">
        <f>J112+Table3[[#This Row],[Calls Ans]]</f>
        <v>6551</v>
      </c>
      <c r="K113" s="269">
        <v>41635</v>
      </c>
      <c r="L113" s="269">
        <v>37845</v>
      </c>
      <c r="M113" s="127">
        <v>0.65</v>
      </c>
      <c r="N113" s="127">
        <v>0.13</v>
      </c>
      <c r="O113" s="127">
        <v>0.87</v>
      </c>
      <c r="P113" s="127">
        <v>0.8</v>
      </c>
      <c r="Q113" s="292">
        <v>0.96</v>
      </c>
      <c r="R113" s="293">
        <v>0</v>
      </c>
      <c r="S113" s="293">
        <v>0</v>
      </c>
      <c r="T113" s="285">
        <v>0</v>
      </c>
      <c r="U113" s="127" t="str">
        <f t="shared" si="8"/>
        <v>Normal</v>
      </c>
      <c r="V113" s="127" t="str">
        <f t="shared" si="9"/>
        <v>Normal</v>
      </c>
      <c r="W113" s="87">
        <f t="shared" si="10"/>
        <v>0.3048780487804878</v>
      </c>
      <c r="X113" s="87">
        <f t="shared" si="11"/>
        <v>0.26287262872628725</v>
      </c>
      <c r="Y113" s="272"/>
      <c r="Z113" s="272"/>
      <c r="AA113" s="272"/>
      <c r="AB113" s="272"/>
      <c r="AC113" s="272"/>
      <c r="AD113" s="272"/>
      <c r="AE113" s="272"/>
      <c r="AF113" s="272"/>
      <c r="AG113" s="272"/>
      <c r="AH113" s="272"/>
      <c r="AI113" s="272"/>
      <c r="AJ113" s="272"/>
      <c r="AK113" s="272"/>
    </row>
    <row r="114" spans="1:37">
      <c r="A114" s="281">
        <v>44764</v>
      </c>
      <c r="B114" s="314">
        <f>IF(YEAR(Table9[[#This Row],[Date]]) = 2022, WEEKNUM(Table9[[#This Row],[Date]])-13, WEEKNUM(Table9[[#This Row],[Date]])+40)</f>
        <v>17</v>
      </c>
      <c r="C114" s="255" t="s">
        <v>52</v>
      </c>
      <c r="D114" s="65" t="s">
        <v>59</v>
      </c>
      <c r="E114" s="269">
        <v>488</v>
      </c>
      <c r="F114" s="269">
        <v>425</v>
      </c>
      <c r="G114" s="282">
        <v>7.7262693156732898E-2</v>
      </c>
      <c r="H114" s="282">
        <v>6.78391959798995E-2</v>
      </c>
      <c r="I114" s="269">
        <f>I113+Table3[[#This Row],[Calls Off]]</f>
        <v>8209</v>
      </c>
      <c r="J114" s="269">
        <f>J113+Table3[[#This Row],[Calls Ans]]</f>
        <v>6976</v>
      </c>
      <c r="K114" s="269">
        <v>42123</v>
      </c>
      <c r="L114" s="269">
        <v>38270</v>
      </c>
      <c r="M114" s="127">
        <v>0.64</v>
      </c>
      <c r="N114" s="127">
        <v>0.13</v>
      </c>
      <c r="O114" s="127">
        <v>0.87</v>
      </c>
      <c r="P114" s="127">
        <v>0.73</v>
      </c>
      <c r="Q114" s="292">
        <v>0.96</v>
      </c>
      <c r="R114" s="293">
        <v>0</v>
      </c>
      <c r="S114" s="293">
        <v>0</v>
      </c>
      <c r="T114" s="285">
        <v>0</v>
      </c>
      <c r="U114" s="127" t="str">
        <f t="shared" si="8"/>
        <v>Normal</v>
      </c>
      <c r="V114" s="127" t="str">
        <f t="shared" si="9"/>
        <v>Normal</v>
      </c>
      <c r="W114" s="87">
        <f t="shared" si="10"/>
        <v>7.7262693156732898E-2</v>
      </c>
      <c r="X114" s="87">
        <f t="shared" si="11"/>
        <v>6.78391959798995E-2</v>
      </c>
      <c r="Y114" s="272"/>
      <c r="Z114" s="272"/>
      <c r="AA114" s="272"/>
      <c r="AB114" s="272"/>
      <c r="AC114" s="272"/>
      <c r="AD114" s="272"/>
      <c r="AE114" s="272"/>
      <c r="AF114" s="272"/>
      <c r="AG114" s="272"/>
      <c r="AH114" s="272"/>
      <c r="AI114" s="272"/>
      <c r="AJ114" s="272"/>
      <c r="AK114" s="272"/>
    </row>
    <row r="115" spans="1:37">
      <c r="A115" s="281">
        <v>44765</v>
      </c>
      <c r="B115" s="314">
        <f>IF(YEAR(Table9[[#This Row],[Date]]) = 2022, WEEKNUM(Table9[[#This Row],[Date]])-13, WEEKNUM(Table9[[#This Row],[Date]])+40)</f>
        <v>17</v>
      </c>
      <c r="C115" s="255" t="s">
        <v>53</v>
      </c>
      <c r="D115" s="65" t="s">
        <v>59</v>
      </c>
      <c r="E115" s="269">
        <v>279</v>
      </c>
      <c r="F115" s="269">
        <v>203</v>
      </c>
      <c r="G115" s="282">
        <v>0.44559585492227977</v>
      </c>
      <c r="H115" s="282">
        <v>0.10928961748633879</v>
      </c>
      <c r="I115" s="269">
        <f>I114+Table3[[#This Row],[Calls Off]]</f>
        <v>8488</v>
      </c>
      <c r="J115" s="269">
        <f>J114+Table3[[#This Row],[Calls Ans]]</f>
        <v>7179</v>
      </c>
      <c r="K115" s="269">
        <v>42402</v>
      </c>
      <c r="L115" s="269">
        <v>38473</v>
      </c>
      <c r="M115" s="127">
        <v>0.33</v>
      </c>
      <c r="N115" s="127">
        <v>0.27</v>
      </c>
      <c r="O115" s="127">
        <v>0.73</v>
      </c>
      <c r="P115" s="127">
        <v>0.7</v>
      </c>
      <c r="Q115" s="292">
        <v>0.95</v>
      </c>
      <c r="R115" s="293">
        <v>0</v>
      </c>
      <c r="S115" s="293">
        <v>0</v>
      </c>
      <c r="T115" s="285">
        <v>0</v>
      </c>
      <c r="U115" s="127" t="str">
        <f t="shared" si="8"/>
        <v>Normal</v>
      </c>
      <c r="V115" s="127" t="str">
        <f t="shared" si="9"/>
        <v>Normal</v>
      </c>
      <c r="W115" s="87">
        <f t="shared" si="10"/>
        <v>0.44559585492227977</v>
      </c>
      <c r="X115" s="87">
        <f t="shared" si="11"/>
        <v>0.10928961748633879</v>
      </c>
      <c r="Y115" s="272"/>
      <c r="Z115" s="272"/>
      <c r="AA115" s="272"/>
      <c r="AB115" s="272"/>
      <c r="AC115" s="272"/>
      <c r="AD115" s="272"/>
      <c r="AE115" s="272"/>
      <c r="AF115" s="272"/>
      <c r="AG115" s="272"/>
      <c r="AH115" s="272"/>
      <c r="AI115" s="272"/>
      <c r="AJ115" s="272"/>
      <c r="AK115" s="272"/>
    </row>
    <row r="116" spans="1:37">
      <c r="A116" s="281">
        <v>44766</v>
      </c>
      <c r="B116" s="314">
        <f>IF(YEAR(Table9[[#This Row],[Date]]) = 2022, WEEKNUM(Table9[[#This Row],[Date]])-13, WEEKNUM(Table9[[#This Row],[Date]])+40)</f>
        <v>18</v>
      </c>
      <c r="C116" s="255" t="s">
        <v>47</v>
      </c>
      <c r="D116" s="65" t="s">
        <v>59</v>
      </c>
      <c r="E116" s="269">
        <v>0</v>
      </c>
      <c r="F116" s="269">
        <v>0</v>
      </c>
      <c r="G116" s="282">
        <v>0</v>
      </c>
      <c r="H116" s="282">
        <v>0</v>
      </c>
      <c r="I116" s="269">
        <v>0</v>
      </c>
      <c r="J116" s="269">
        <v>0</v>
      </c>
      <c r="K116" s="269">
        <v>0</v>
      </c>
      <c r="L116" s="269">
        <v>0</v>
      </c>
      <c r="M116" s="127">
        <v>0</v>
      </c>
      <c r="N116" s="127">
        <v>0</v>
      </c>
      <c r="O116" s="127">
        <v>0</v>
      </c>
      <c r="P116" s="127">
        <v>0</v>
      </c>
      <c r="Q116" s="292">
        <v>0</v>
      </c>
      <c r="R116" s="293">
        <v>0</v>
      </c>
      <c r="S116" s="293">
        <v>0</v>
      </c>
      <c r="T116" s="285">
        <v>0</v>
      </c>
      <c r="U116" s="127" t="str">
        <f t="shared" si="8"/>
        <v>Normal</v>
      </c>
      <c r="V116" s="127" t="str">
        <f t="shared" si="9"/>
        <v>Normal</v>
      </c>
      <c r="W116" s="87">
        <f t="shared" si="10"/>
        <v>0</v>
      </c>
      <c r="X116" s="87">
        <f t="shared" si="11"/>
        <v>0</v>
      </c>
      <c r="Y116" s="272"/>
      <c r="Z116" s="272"/>
      <c r="AA116" s="272"/>
      <c r="AB116" s="272"/>
      <c r="AC116" s="272"/>
      <c r="AD116" s="272"/>
      <c r="AE116" s="272"/>
      <c r="AF116" s="272"/>
      <c r="AG116" s="272"/>
      <c r="AH116" s="272"/>
      <c r="AI116" s="272"/>
      <c r="AJ116" s="272"/>
      <c r="AK116" s="272"/>
    </row>
    <row r="117" spans="1:37">
      <c r="A117" s="281">
        <v>44767</v>
      </c>
      <c r="B117" s="314">
        <f>IF(YEAR(Table9[[#This Row],[Date]]) = 2022, WEEKNUM(Table9[[#This Row],[Date]])-13, WEEKNUM(Table9[[#This Row],[Date]])+40)</f>
        <v>18</v>
      </c>
      <c r="C117" s="255" t="s">
        <v>48</v>
      </c>
      <c r="D117" s="65" t="s">
        <v>59</v>
      </c>
      <c r="E117" s="269">
        <v>717</v>
      </c>
      <c r="F117" s="269">
        <v>476</v>
      </c>
      <c r="G117" s="282">
        <v>-1.3927576601671309E-3</v>
      </c>
      <c r="H117" s="282">
        <v>-0.22475570032573289</v>
      </c>
      <c r="I117" s="269">
        <f>I115+Table3[[#This Row],[Calls Off]]</f>
        <v>9205</v>
      </c>
      <c r="J117" s="269">
        <f>J115+Table3[[#This Row],[Calls Ans]]</f>
        <v>7655</v>
      </c>
      <c r="K117" s="269">
        <v>43119</v>
      </c>
      <c r="L117" s="269">
        <v>38949</v>
      </c>
      <c r="M117" s="127">
        <v>0.3</v>
      </c>
      <c r="N117" s="127">
        <v>0.34</v>
      </c>
      <c r="O117" s="127">
        <v>0.66</v>
      </c>
      <c r="P117" s="127">
        <v>0.82</v>
      </c>
      <c r="Q117" s="292">
        <v>0.97</v>
      </c>
      <c r="R117" s="293">
        <v>0</v>
      </c>
      <c r="S117" s="293">
        <v>0</v>
      </c>
      <c r="T117" s="285">
        <v>0</v>
      </c>
      <c r="U117" s="127" t="str">
        <f t="shared" si="8"/>
        <v>Normal</v>
      </c>
      <c r="V117" s="127" t="str">
        <f t="shared" si="9"/>
        <v>Normal</v>
      </c>
      <c r="W117" s="87">
        <f t="shared" si="10"/>
        <v>-1.3927576601671309E-3</v>
      </c>
      <c r="X117" s="87">
        <f t="shared" si="11"/>
        <v>-0.22475570032573289</v>
      </c>
      <c r="Y117" s="272"/>
      <c r="Z117" s="272"/>
      <c r="AA117" s="272"/>
      <c r="AB117" s="272"/>
      <c r="AC117" s="272"/>
      <c r="AD117" s="272"/>
      <c r="AE117" s="272"/>
      <c r="AF117" s="272"/>
      <c r="AG117" s="272"/>
      <c r="AH117" s="272"/>
      <c r="AI117" s="272"/>
      <c r="AJ117" s="272"/>
      <c r="AK117" s="272"/>
    </row>
    <row r="118" spans="1:37">
      <c r="A118" s="281">
        <v>44768</v>
      </c>
      <c r="B118" s="314">
        <f>IF(YEAR(Table9[[#This Row],[Date]]) = 2022, WEEKNUM(Table9[[#This Row],[Date]])-13, WEEKNUM(Table9[[#This Row],[Date]])+40)</f>
        <v>18</v>
      </c>
      <c r="C118" s="255" t="s">
        <v>49</v>
      </c>
      <c r="D118" s="65" t="s">
        <v>59</v>
      </c>
      <c r="E118" s="269">
        <v>417</v>
      </c>
      <c r="F118" s="269">
        <v>380</v>
      </c>
      <c r="G118" s="282">
        <v>-0.39124087591240875</v>
      </c>
      <c r="H118" s="282">
        <v>-0.34256055363321797</v>
      </c>
      <c r="I118" s="269">
        <f>I117+Table3[[#This Row],[Calls Off]]</f>
        <v>9622</v>
      </c>
      <c r="J118" s="269">
        <f>J117+Table3[[#This Row],[Calls Ans]]</f>
        <v>8035</v>
      </c>
      <c r="K118" s="269">
        <v>43536</v>
      </c>
      <c r="L118" s="269">
        <v>39329</v>
      </c>
      <c r="M118" s="127">
        <v>0.67</v>
      </c>
      <c r="N118" s="127">
        <v>0.09</v>
      </c>
      <c r="O118" s="127">
        <v>0.91</v>
      </c>
      <c r="P118" s="127">
        <v>0.66</v>
      </c>
      <c r="Q118" s="292">
        <v>0.97</v>
      </c>
      <c r="R118" s="293">
        <v>0</v>
      </c>
      <c r="S118" s="293">
        <v>0</v>
      </c>
      <c r="T118" s="285">
        <v>0</v>
      </c>
      <c r="U118" s="127" t="str">
        <f t="shared" si="8"/>
        <v>Normal</v>
      </c>
      <c r="V118" s="127" t="str">
        <f t="shared" si="9"/>
        <v>Outlier</v>
      </c>
      <c r="W118" s="87">
        <f t="shared" si="10"/>
        <v>-0.39124087591240875</v>
      </c>
      <c r="X118" s="87">
        <f t="shared" si="11"/>
        <v>-0.34256055363321797</v>
      </c>
      <c r="Y118" s="272"/>
      <c r="Z118" s="272"/>
      <c r="AA118" s="272"/>
      <c r="AB118" s="272"/>
      <c r="AC118" s="272"/>
      <c r="AD118" s="272"/>
      <c r="AE118" s="272"/>
      <c r="AF118" s="272"/>
      <c r="AG118" s="272"/>
      <c r="AH118" s="272"/>
      <c r="AI118" s="272"/>
      <c r="AJ118" s="272"/>
      <c r="AK118" s="272"/>
    </row>
    <row r="119" spans="1:37">
      <c r="A119" s="281">
        <v>44769</v>
      </c>
      <c r="B119" s="314">
        <f>IF(YEAR(Table9[[#This Row],[Date]]) = 2022, WEEKNUM(Table9[[#This Row],[Date]])-13, WEEKNUM(Table9[[#This Row],[Date]])+40)</f>
        <v>18</v>
      </c>
      <c r="C119" s="255" t="s">
        <v>50</v>
      </c>
      <c r="D119" s="65" t="s">
        <v>59</v>
      </c>
      <c r="E119" s="269">
        <v>667</v>
      </c>
      <c r="F119" s="269">
        <v>517</v>
      </c>
      <c r="G119" s="282">
        <v>0.27533460803059273</v>
      </c>
      <c r="H119" s="282">
        <v>0.16968325791855204</v>
      </c>
      <c r="I119" s="269">
        <f>I118+Table3[[#This Row],[Calls Off]]</f>
        <v>10289</v>
      </c>
      <c r="J119" s="269">
        <f>J118+Table3[[#This Row],[Calls Ans]]</f>
        <v>8552</v>
      </c>
      <c r="K119" s="269">
        <v>43786</v>
      </c>
      <c r="L119" s="269">
        <v>39466</v>
      </c>
      <c r="M119" s="127">
        <v>0.51</v>
      </c>
      <c r="N119" s="127">
        <v>0.22</v>
      </c>
      <c r="O119" s="127">
        <v>0.78</v>
      </c>
      <c r="P119" s="127">
        <v>0.89</v>
      </c>
      <c r="Q119" s="292">
        <v>0.95</v>
      </c>
      <c r="R119" s="293">
        <v>0</v>
      </c>
      <c r="S119" s="293">
        <v>0</v>
      </c>
      <c r="T119" s="285">
        <v>0</v>
      </c>
      <c r="U119" s="127" t="str">
        <f t="shared" si="8"/>
        <v>Normal</v>
      </c>
      <c r="V119" s="127" t="str">
        <f t="shared" si="9"/>
        <v>Normal</v>
      </c>
      <c r="W119" s="87">
        <f t="shared" si="10"/>
        <v>0.27533460803059273</v>
      </c>
      <c r="X119" s="87">
        <f t="shared" si="11"/>
        <v>0.16968325791855204</v>
      </c>
      <c r="Y119" s="272"/>
      <c r="Z119" s="272"/>
      <c r="AA119" s="272"/>
      <c r="AB119" s="272"/>
      <c r="AC119" s="272"/>
      <c r="AD119" s="272"/>
      <c r="AE119" s="272"/>
      <c r="AF119" s="272"/>
      <c r="AG119" s="272"/>
      <c r="AH119" s="272"/>
      <c r="AI119" s="272"/>
      <c r="AJ119" s="272"/>
      <c r="AK119" s="272"/>
    </row>
    <row r="120" spans="1:37">
      <c r="A120" s="281">
        <v>44770</v>
      </c>
      <c r="B120" s="314">
        <f>IF(YEAR(Table9[[#This Row],[Date]]) = 2022, WEEKNUM(Table9[[#This Row],[Date]])-13, WEEKNUM(Table9[[#This Row],[Date]])+40)</f>
        <v>18</v>
      </c>
      <c r="C120" s="255" t="s">
        <v>51</v>
      </c>
      <c r="D120" s="65" t="s">
        <v>59</v>
      </c>
      <c r="E120" s="269">
        <v>527</v>
      </c>
      <c r="F120" s="269">
        <v>457</v>
      </c>
      <c r="G120" s="282">
        <v>-1.4953271028037384E-2</v>
      </c>
      <c r="H120" s="282">
        <v>-1.9313304721030045E-2</v>
      </c>
      <c r="I120" s="269">
        <f>I119+Table3[[#This Row],[Calls Off]]</f>
        <v>10816</v>
      </c>
      <c r="J120" s="269">
        <f>J119+Table3[[#This Row],[Calls Ans]]</f>
        <v>9009</v>
      </c>
      <c r="K120" s="269">
        <v>44063</v>
      </c>
      <c r="L120" s="269">
        <v>39786</v>
      </c>
      <c r="M120" s="127">
        <v>0.62</v>
      </c>
      <c r="N120" s="127">
        <v>0.13</v>
      </c>
      <c r="O120" s="127">
        <v>0.87</v>
      </c>
      <c r="P120" s="127">
        <v>0.79</v>
      </c>
      <c r="Q120" s="292">
        <v>0.98</v>
      </c>
      <c r="R120" s="293">
        <v>0</v>
      </c>
      <c r="S120" s="293">
        <v>0</v>
      </c>
      <c r="T120" s="285">
        <v>0</v>
      </c>
      <c r="U120" s="127" t="str">
        <f t="shared" si="8"/>
        <v>Normal</v>
      </c>
      <c r="V120" s="127" t="str">
        <f t="shared" si="9"/>
        <v>Normal</v>
      </c>
      <c r="W120" s="87">
        <f t="shared" si="10"/>
        <v>-1.4953271028037384E-2</v>
      </c>
      <c r="X120" s="87">
        <f t="shared" si="11"/>
        <v>-1.9313304721030045E-2</v>
      </c>
      <c r="Y120" s="272"/>
      <c r="Z120" s="272"/>
      <c r="AA120" s="272"/>
      <c r="AB120" s="272"/>
      <c r="AC120" s="272"/>
      <c r="AD120" s="272"/>
      <c r="AE120" s="272"/>
      <c r="AF120" s="272"/>
      <c r="AG120" s="272"/>
      <c r="AH120" s="272"/>
      <c r="AI120" s="272"/>
      <c r="AJ120" s="272"/>
      <c r="AK120" s="272"/>
    </row>
    <row r="121" spans="1:37">
      <c r="A121" s="281">
        <v>44771</v>
      </c>
      <c r="B121" s="314">
        <f>IF(YEAR(Table9[[#This Row],[Date]]) = 2022, WEEKNUM(Table9[[#This Row],[Date]])-13, WEEKNUM(Table9[[#This Row],[Date]])+40)</f>
        <v>18</v>
      </c>
      <c r="C121" s="255" t="s">
        <v>52</v>
      </c>
      <c r="D121" s="65" t="s">
        <v>59</v>
      </c>
      <c r="E121" s="269">
        <v>647</v>
      </c>
      <c r="F121" s="269">
        <v>458</v>
      </c>
      <c r="G121" s="282">
        <v>0.32581967213114754</v>
      </c>
      <c r="H121" s="282">
        <v>7.7647058823529416E-2</v>
      </c>
      <c r="I121" s="269">
        <f>I120+Table3[[#This Row],[Calls Off]]</f>
        <v>11463</v>
      </c>
      <c r="J121" s="269">
        <f>J120+Table3[[#This Row],[Calls Ans]]</f>
        <v>9467</v>
      </c>
      <c r="K121" s="269">
        <v>44433</v>
      </c>
      <c r="L121" s="269">
        <v>39924</v>
      </c>
      <c r="M121" s="127">
        <v>0.38</v>
      </c>
      <c r="N121" s="127">
        <v>0.28999999999999998</v>
      </c>
      <c r="O121" s="127">
        <v>0.71</v>
      </c>
      <c r="P121" s="127">
        <v>0.79</v>
      </c>
      <c r="Q121" s="283">
        <v>0.99</v>
      </c>
      <c r="R121" s="284">
        <v>0</v>
      </c>
      <c r="S121" s="284">
        <v>0</v>
      </c>
      <c r="T121" s="285">
        <v>0</v>
      </c>
      <c r="U121" s="127" t="str">
        <f t="shared" si="8"/>
        <v>Normal</v>
      </c>
      <c r="V121" s="127" t="str">
        <f t="shared" si="9"/>
        <v>Normal</v>
      </c>
      <c r="W121" s="87">
        <f t="shared" si="10"/>
        <v>0.32581967213114754</v>
      </c>
      <c r="X121" s="87">
        <f t="shared" si="11"/>
        <v>7.7647058823529416E-2</v>
      </c>
      <c r="Y121" s="272"/>
      <c r="Z121" s="272"/>
      <c r="AA121" s="272"/>
      <c r="AB121" s="272"/>
      <c r="AC121" s="272"/>
      <c r="AD121" s="272"/>
      <c r="AE121" s="272"/>
      <c r="AF121" s="272"/>
      <c r="AG121" s="272"/>
      <c r="AH121" s="272"/>
      <c r="AI121" s="272"/>
      <c r="AJ121" s="272"/>
      <c r="AK121" s="272"/>
    </row>
    <row r="122" spans="1:37">
      <c r="A122" s="281">
        <v>44772</v>
      </c>
      <c r="B122" s="314">
        <f>IF(YEAR(Table9[[#This Row],[Date]]) = 2022, WEEKNUM(Table9[[#This Row],[Date]])-13, WEEKNUM(Table9[[#This Row],[Date]])+40)</f>
        <v>18</v>
      </c>
      <c r="C122" s="255" t="s">
        <v>53</v>
      </c>
      <c r="D122" s="65" t="s">
        <v>59</v>
      </c>
      <c r="E122" s="269">
        <v>363</v>
      </c>
      <c r="F122" s="269">
        <v>245</v>
      </c>
      <c r="G122" s="282">
        <v>0.30107526881720431</v>
      </c>
      <c r="H122" s="282">
        <v>0.20689655172413793</v>
      </c>
      <c r="I122" s="269">
        <f>I121+Table3[[#This Row],[Calls Off]]</f>
        <v>11826</v>
      </c>
      <c r="J122" s="269">
        <f>J121+Table3[[#This Row],[Calls Ans]]</f>
        <v>9712</v>
      </c>
      <c r="K122" s="269">
        <v>44426</v>
      </c>
      <c r="L122" s="269">
        <v>40031</v>
      </c>
      <c r="M122" s="127">
        <v>0.26</v>
      </c>
      <c r="N122" s="127">
        <v>0.33</v>
      </c>
      <c r="O122" s="127">
        <v>0.67</v>
      </c>
      <c r="P122" s="127">
        <v>0.56000000000000005</v>
      </c>
      <c r="Q122" s="283">
        <v>0.97</v>
      </c>
      <c r="R122" s="284">
        <v>0</v>
      </c>
      <c r="S122" s="284">
        <v>0</v>
      </c>
      <c r="T122" s="285">
        <v>0</v>
      </c>
      <c r="U122" s="127" t="str">
        <f t="shared" si="8"/>
        <v>Normal</v>
      </c>
      <c r="V122" s="127" t="str">
        <f t="shared" si="9"/>
        <v>Normal</v>
      </c>
      <c r="W122" s="87">
        <f t="shared" si="10"/>
        <v>0.30107526881720431</v>
      </c>
      <c r="X122" s="87">
        <f t="shared" si="11"/>
        <v>0.20689655172413793</v>
      </c>
      <c r="Y122" s="272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</row>
    <row r="123" spans="1:37">
      <c r="A123" s="281">
        <v>44773</v>
      </c>
      <c r="B123" s="314">
        <f>IF(YEAR(Table9[[#This Row],[Date]]) = 2022, WEEKNUM(Table9[[#This Row],[Date]])-13, WEEKNUM(Table9[[#This Row],[Date]])+40)</f>
        <v>19</v>
      </c>
      <c r="C123" s="255" t="s">
        <v>47</v>
      </c>
      <c r="D123" s="65" t="s">
        <v>59</v>
      </c>
      <c r="E123" s="269">
        <v>0</v>
      </c>
      <c r="F123" s="269">
        <v>0</v>
      </c>
      <c r="G123" s="282">
        <v>0</v>
      </c>
      <c r="H123" s="282">
        <v>0</v>
      </c>
      <c r="I123" s="269">
        <v>0</v>
      </c>
      <c r="J123" s="269">
        <v>0</v>
      </c>
      <c r="K123" s="269">
        <v>0</v>
      </c>
      <c r="L123" s="269">
        <v>0</v>
      </c>
      <c r="M123" s="127">
        <v>0</v>
      </c>
      <c r="N123" s="127">
        <v>0</v>
      </c>
      <c r="O123" s="127">
        <v>0</v>
      </c>
      <c r="P123" s="127">
        <v>0</v>
      </c>
      <c r="Q123" s="283">
        <v>0</v>
      </c>
      <c r="R123" s="284">
        <v>0</v>
      </c>
      <c r="S123" s="284">
        <v>0</v>
      </c>
      <c r="T123" s="285">
        <v>0</v>
      </c>
      <c r="U123" s="127" t="str">
        <f t="shared" si="8"/>
        <v>Normal</v>
      </c>
      <c r="V123" s="127" t="str">
        <f t="shared" si="9"/>
        <v>Normal</v>
      </c>
      <c r="W123" s="87">
        <f t="shared" si="10"/>
        <v>0</v>
      </c>
      <c r="X123" s="87">
        <f t="shared" si="11"/>
        <v>0</v>
      </c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K123" s="272"/>
    </row>
    <row r="124" spans="1:37">
      <c r="A124" s="281">
        <v>44774</v>
      </c>
      <c r="B124" s="314">
        <f>IF(YEAR(Table9[[#This Row],[Date]]) = 2022, WEEKNUM(Table9[[#This Row],[Date]])-13, WEEKNUM(Table9[[#This Row],[Date]])+40)</f>
        <v>19</v>
      </c>
      <c r="C124" s="255" t="s">
        <v>48</v>
      </c>
      <c r="D124" s="65" t="s">
        <v>59</v>
      </c>
      <c r="E124" s="269">
        <v>0</v>
      </c>
      <c r="F124" s="269">
        <v>0</v>
      </c>
      <c r="G124" s="282">
        <v>0</v>
      </c>
      <c r="H124" s="282">
        <v>0</v>
      </c>
      <c r="I124" s="269">
        <v>0</v>
      </c>
      <c r="J124" s="269">
        <v>0</v>
      </c>
      <c r="K124" s="269">
        <v>0</v>
      </c>
      <c r="L124" s="269">
        <v>0</v>
      </c>
      <c r="M124" s="127">
        <v>0</v>
      </c>
      <c r="N124" s="127">
        <v>0</v>
      </c>
      <c r="O124" s="127">
        <v>0</v>
      </c>
      <c r="P124" s="127">
        <v>0</v>
      </c>
      <c r="Q124" s="283">
        <v>0</v>
      </c>
      <c r="R124" s="284">
        <v>0</v>
      </c>
      <c r="S124" s="284">
        <v>0</v>
      </c>
      <c r="T124" s="285">
        <v>0</v>
      </c>
      <c r="U124" s="127" t="str">
        <f t="shared" si="8"/>
        <v>Normal</v>
      </c>
      <c r="V124" s="127" t="str">
        <f t="shared" si="9"/>
        <v>Normal</v>
      </c>
      <c r="W124" s="87">
        <f t="shared" si="10"/>
        <v>0</v>
      </c>
      <c r="X124" s="87">
        <f t="shared" si="11"/>
        <v>0</v>
      </c>
      <c r="Y124" s="272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</row>
    <row r="125" spans="1:37">
      <c r="A125" s="281">
        <v>44775</v>
      </c>
      <c r="B125" s="315">
        <f>IF(YEAR(Table9[[#This Row],[Date]]) = 2022, WEEKNUM(Table9[[#This Row],[Date]])-13, WEEKNUM(Table9[[#This Row],[Date]])+40)</f>
        <v>19</v>
      </c>
      <c r="C125" s="294" t="s">
        <v>49</v>
      </c>
      <c r="D125" s="65" t="s">
        <v>59</v>
      </c>
      <c r="E125" s="269">
        <v>0</v>
      </c>
      <c r="F125" s="269">
        <v>0</v>
      </c>
      <c r="G125" s="282">
        <v>0</v>
      </c>
      <c r="H125" s="282">
        <v>0</v>
      </c>
      <c r="I125" s="269">
        <v>0</v>
      </c>
      <c r="J125" s="269">
        <v>0</v>
      </c>
      <c r="K125" s="269">
        <v>0</v>
      </c>
      <c r="L125" s="269">
        <v>0</v>
      </c>
      <c r="M125" s="127">
        <v>0</v>
      </c>
      <c r="N125" s="127">
        <v>0</v>
      </c>
      <c r="O125" s="127">
        <v>0</v>
      </c>
      <c r="P125" s="127">
        <v>0</v>
      </c>
      <c r="Q125" s="283">
        <v>0</v>
      </c>
      <c r="R125" s="284">
        <v>0</v>
      </c>
      <c r="S125" s="284">
        <v>0</v>
      </c>
      <c r="T125" s="285">
        <v>0</v>
      </c>
      <c r="U125" s="127" t="str">
        <f t="shared" si="8"/>
        <v>Normal</v>
      </c>
      <c r="V125" s="127" t="str">
        <f t="shared" si="9"/>
        <v>Normal</v>
      </c>
      <c r="W125" s="87">
        <f t="shared" si="10"/>
        <v>0</v>
      </c>
      <c r="X125" s="87">
        <f t="shared" si="11"/>
        <v>0</v>
      </c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</row>
    <row r="126" spans="1:37">
      <c r="A126" s="281">
        <v>44776</v>
      </c>
      <c r="B126" s="314">
        <f>IF(YEAR(Table9[[#This Row],[Date]]) = 2022, WEEKNUM(Table9[[#This Row],[Date]])-13, WEEKNUM(Table9[[#This Row],[Date]])+40)</f>
        <v>19</v>
      </c>
      <c r="C126" s="255" t="s">
        <v>50</v>
      </c>
      <c r="D126" s="65" t="s">
        <v>59</v>
      </c>
      <c r="E126" s="269">
        <v>0</v>
      </c>
      <c r="F126" s="269">
        <v>0</v>
      </c>
      <c r="G126" s="282">
        <v>0</v>
      </c>
      <c r="H126" s="282">
        <v>0</v>
      </c>
      <c r="I126" s="269">
        <v>0</v>
      </c>
      <c r="J126" s="269">
        <v>0</v>
      </c>
      <c r="K126" s="269">
        <v>0</v>
      </c>
      <c r="L126" s="269">
        <v>0</v>
      </c>
      <c r="M126" s="127">
        <v>0</v>
      </c>
      <c r="N126" s="127">
        <v>0</v>
      </c>
      <c r="O126" s="127">
        <v>0</v>
      </c>
      <c r="P126" s="127">
        <v>0</v>
      </c>
      <c r="Q126" s="283">
        <v>0</v>
      </c>
      <c r="R126" s="284">
        <v>0</v>
      </c>
      <c r="S126" s="284">
        <v>0</v>
      </c>
      <c r="T126" s="285">
        <v>0</v>
      </c>
      <c r="U126" s="127" t="str">
        <f t="shared" si="8"/>
        <v>Normal</v>
      </c>
      <c r="V126" s="127" t="str">
        <f t="shared" si="9"/>
        <v>Normal</v>
      </c>
      <c r="W126" s="87">
        <f t="shared" si="10"/>
        <v>0</v>
      </c>
      <c r="X126" s="87">
        <f t="shared" si="11"/>
        <v>0</v>
      </c>
      <c r="Y126" s="272"/>
      <c r="Z126" s="272"/>
      <c r="AA126" s="272"/>
      <c r="AB126" s="272"/>
      <c r="AC126" s="272"/>
      <c r="AD126" s="272"/>
      <c r="AE126" s="272"/>
      <c r="AF126" s="272"/>
      <c r="AG126" s="272"/>
      <c r="AH126" s="272"/>
      <c r="AI126" s="272"/>
      <c r="AJ126" s="272"/>
      <c r="AK126" s="272"/>
    </row>
    <row r="127" spans="1:37">
      <c r="A127" s="281">
        <v>44777</v>
      </c>
      <c r="B127" s="314">
        <f>IF(YEAR(Table9[[#This Row],[Date]]) = 2022, WEEKNUM(Table9[[#This Row],[Date]])-13, WEEKNUM(Table9[[#This Row],[Date]])+40)</f>
        <v>19</v>
      </c>
      <c r="C127" s="255" t="s">
        <v>51</v>
      </c>
      <c r="D127" s="65" t="s">
        <v>59</v>
      </c>
      <c r="E127" s="269">
        <v>559</v>
      </c>
      <c r="F127" s="269">
        <v>339</v>
      </c>
      <c r="G127" s="282">
        <v>6.0721062618595827E-2</v>
      </c>
      <c r="H127" s="282">
        <v>-0.25820568927789933</v>
      </c>
      <c r="I127" s="269">
        <v>559</v>
      </c>
      <c r="J127" s="269">
        <v>339</v>
      </c>
      <c r="K127" s="269">
        <v>44985</v>
      </c>
      <c r="L127" s="269">
        <v>40370</v>
      </c>
      <c r="M127" s="127">
        <v>0.24</v>
      </c>
      <c r="N127" s="127">
        <v>0.39</v>
      </c>
      <c r="O127" s="127">
        <v>0.61</v>
      </c>
      <c r="P127" s="127">
        <v>0.73</v>
      </c>
      <c r="Q127" s="283">
        <v>0.97</v>
      </c>
      <c r="R127" s="284">
        <v>0</v>
      </c>
      <c r="S127" s="284">
        <v>0</v>
      </c>
      <c r="T127" s="285">
        <v>0</v>
      </c>
      <c r="U127" s="127" t="str">
        <f t="shared" si="8"/>
        <v>Normal</v>
      </c>
      <c r="V127" s="127" t="str">
        <f t="shared" si="9"/>
        <v>Normal</v>
      </c>
      <c r="W127" s="87">
        <f t="shared" si="10"/>
        <v>6.0721062618595827E-2</v>
      </c>
      <c r="X127" s="87">
        <f t="shared" si="11"/>
        <v>-0.25820568927789933</v>
      </c>
      <c r="Y127" s="272"/>
      <c r="Z127" s="272"/>
      <c r="AA127" s="272"/>
      <c r="AB127" s="272"/>
      <c r="AC127" s="272"/>
      <c r="AD127" s="272"/>
      <c r="AE127" s="272"/>
      <c r="AF127" s="272"/>
      <c r="AG127" s="272"/>
      <c r="AH127" s="272"/>
      <c r="AI127" s="272"/>
      <c r="AJ127" s="272"/>
      <c r="AK127" s="272"/>
    </row>
    <row r="128" spans="1:37">
      <c r="A128" s="281">
        <v>44778</v>
      </c>
      <c r="B128" s="314">
        <f>IF(YEAR(Table9[[#This Row],[Date]]) = 2022, WEEKNUM(Table9[[#This Row],[Date]])-13, WEEKNUM(Table9[[#This Row],[Date]])+40)</f>
        <v>19</v>
      </c>
      <c r="C128" s="255" t="s">
        <v>52</v>
      </c>
      <c r="D128" s="65" t="s">
        <v>59</v>
      </c>
      <c r="E128" s="269">
        <v>513</v>
      </c>
      <c r="F128" s="269">
        <v>428</v>
      </c>
      <c r="G128" s="282">
        <v>-0.2071097372488408</v>
      </c>
      <c r="H128" s="282">
        <v>-6.5502183406113537E-2</v>
      </c>
      <c r="I128" s="269">
        <v>1072</v>
      </c>
      <c r="J128" s="269">
        <v>767</v>
      </c>
      <c r="K128" s="269">
        <v>45498</v>
      </c>
      <c r="L128" s="269">
        <v>40798</v>
      </c>
      <c r="M128" s="127">
        <v>0.56999999999999995</v>
      </c>
      <c r="N128" s="127">
        <v>0.17</v>
      </c>
      <c r="O128" s="127">
        <v>0.83</v>
      </c>
      <c r="P128" s="127">
        <v>0.74</v>
      </c>
      <c r="Q128" s="283">
        <v>0.97</v>
      </c>
      <c r="R128" s="284">
        <v>0</v>
      </c>
      <c r="S128" s="284">
        <v>0</v>
      </c>
      <c r="T128" s="285">
        <v>0</v>
      </c>
      <c r="U128" s="127" t="str">
        <f t="shared" si="8"/>
        <v>Normal</v>
      </c>
      <c r="V128" s="127" t="str">
        <f t="shared" si="9"/>
        <v>Normal</v>
      </c>
      <c r="W128" s="87">
        <f t="shared" si="10"/>
        <v>-0.2071097372488408</v>
      </c>
      <c r="X128" s="87">
        <f t="shared" si="11"/>
        <v>-6.5502183406113537E-2</v>
      </c>
      <c r="Y128" s="272"/>
      <c r="Z128" s="272"/>
      <c r="AA128" s="272"/>
      <c r="AB128" s="272"/>
      <c r="AC128" s="272"/>
      <c r="AD128" s="272"/>
      <c r="AE128" s="272"/>
      <c r="AF128" s="272"/>
      <c r="AG128" s="272"/>
      <c r="AH128" s="272"/>
      <c r="AI128" s="272"/>
      <c r="AJ128" s="272"/>
      <c r="AK128" s="272"/>
    </row>
    <row r="129" spans="1:37">
      <c r="A129" s="281">
        <v>44779</v>
      </c>
      <c r="B129" s="314">
        <f>IF(YEAR(Table9[[#This Row],[Date]]) = 2022, WEEKNUM(Table9[[#This Row],[Date]])-13, WEEKNUM(Table9[[#This Row],[Date]])+40)</f>
        <v>19</v>
      </c>
      <c r="C129" s="255" t="s">
        <v>53</v>
      </c>
      <c r="D129" s="65" t="s">
        <v>59</v>
      </c>
      <c r="E129" s="269">
        <v>320</v>
      </c>
      <c r="F129" s="269">
        <v>259</v>
      </c>
      <c r="G129" s="282">
        <v>-0.1184573002754821</v>
      </c>
      <c r="H129" s="282">
        <v>5.7142857142857141E-2</v>
      </c>
      <c r="I129" s="269">
        <v>1392</v>
      </c>
      <c r="J129" s="269">
        <v>1026</v>
      </c>
      <c r="K129" s="269">
        <v>45818</v>
      </c>
      <c r="L129" s="269">
        <v>41057</v>
      </c>
      <c r="M129" s="127">
        <v>0.44</v>
      </c>
      <c r="N129" s="127">
        <v>0.19</v>
      </c>
      <c r="O129" s="127">
        <v>0.81</v>
      </c>
      <c r="P129" s="127">
        <v>0.6</v>
      </c>
      <c r="Q129" s="283">
        <v>0.99</v>
      </c>
      <c r="R129" s="284">
        <v>0</v>
      </c>
      <c r="S129" s="284">
        <v>0</v>
      </c>
      <c r="T129" s="285">
        <v>0</v>
      </c>
      <c r="U129" s="127" t="str">
        <f t="shared" si="8"/>
        <v>Normal</v>
      </c>
      <c r="V129" s="127" t="str">
        <f t="shared" si="9"/>
        <v>Normal</v>
      </c>
      <c r="W129" s="87">
        <f t="shared" si="10"/>
        <v>-0.1184573002754821</v>
      </c>
      <c r="X129" s="87">
        <f t="shared" si="11"/>
        <v>5.7142857142857141E-2</v>
      </c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72"/>
      <c r="AI129" s="272"/>
      <c r="AJ129" s="272"/>
      <c r="AK129" s="272"/>
    </row>
    <row r="130" spans="1:37">
      <c r="A130" s="281">
        <v>44780</v>
      </c>
      <c r="B130" s="314">
        <f>IF(YEAR(Table9[[#This Row],[Date]]) = 2022, WEEKNUM(Table9[[#This Row],[Date]])-13, WEEKNUM(Table9[[#This Row],[Date]])+40)</f>
        <v>20</v>
      </c>
      <c r="C130" s="255" t="s">
        <v>47</v>
      </c>
      <c r="D130" s="65" t="s">
        <v>59</v>
      </c>
      <c r="E130" s="269">
        <v>0</v>
      </c>
      <c r="F130" s="269">
        <v>0</v>
      </c>
      <c r="G130" s="282">
        <v>0</v>
      </c>
      <c r="H130" s="282">
        <v>0</v>
      </c>
      <c r="I130" s="269">
        <v>0</v>
      </c>
      <c r="J130" s="269">
        <v>0</v>
      </c>
      <c r="K130" s="269">
        <v>0</v>
      </c>
      <c r="L130" s="269">
        <v>0</v>
      </c>
      <c r="M130" s="127">
        <v>0</v>
      </c>
      <c r="N130" s="127">
        <v>0</v>
      </c>
      <c r="O130" s="127">
        <v>0</v>
      </c>
      <c r="P130" s="127">
        <v>0</v>
      </c>
      <c r="Q130" s="283">
        <v>0</v>
      </c>
      <c r="R130" s="284">
        <v>0</v>
      </c>
      <c r="S130" s="284">
        <v>0</v>
      </c>
      <c r="T130" s="285">
        <v>0</v>
      </c>
      <c r="U130" s="127" t="str">
        <f t="shared" si="8"/>
        <v>Normal</v>
      </c>
      <c r="V130" s="127" t="str">
        <f t="shared" si="9"/>
        <v>Normal</v>
      </c>
      <c r="W130" s="87">
        <f t="shared" si="10"/>
        <v>0</v>
      </c>
      <c r="X130" s="87">
        <f t="shared" si="11"/>
        <v>0</v>
      </c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72"/>
      <c r="AI130" s="272"/>
      <c r="AJ130" s="272"/>
      <c r="AK130" s="272"/>
    </row>
    <row r="131" spans="1:37">
      <c r="A131" s="281">
        <v>44781</v>
      </c>
      <c r="B131" s="314">
        <f>IF(YEAR(Table9[[#This Row],[Date]]) = 2022, WEEKNUM(Table9[[#This Row],[Date]])-13, WEEKNUM(Table9[[#This Row],[Date]])+40)</f>
        <v>20</v>
      </c>
      <c r="C131" s="255" t="s">
        <v>48</v>
      </c>
      <c r="D131" s="65" t="s">
        <v>59</v>
      </c>
      <c r="E131" s="269">
        <v>555</v>
      </c>
      <c r="F131" s="269">
        <v>399</v>
      </c>
      <c r="G131" s="282">
        <v>0</v>
      </c>
      <c r="H131" s="282">
        <v>0</v>
      </c>
      <c r="I131" s="269">
        <v>1947</v>
      </c>
      <c r="J131" s="269">
        <v>1425</v>
      </c>
      <c r="K131" s="269">
        <v>46373</v>
      </c>
      <c r="L131" s="269">
        <v>41456</v>
      </c>
      <c r="M131" s="127">
        <v>0.35</v>
      </c>
      <c r="N131" s="127">
        <v>0.28000000000000003</v>
      </c>
      <c r="O131" s="127">
        <v>0.72</v>
      </c>
      <c r="P131" s="127">
        <v>0.92</v>
      </c>
      <c r="Q131" s="283">
        <v>0.97</v>
      </c>
      <c r="R131" s="284">
        <v>0</v>
      </c>
      <c r="S131" s="284">
        <v>0</v>
      </c>
      <c r="T131" s="285">
        <v>0</v>
      </c>
      <c r="U131" s="127" t="str">
        <f t="shared" ref="U131:U194" si="12">IF(OR(G131&lt;$AA$5,G131&gt;$AB$5), "Outlier", "Normal")</f>
        <v>Normal</v>
      </c>
      <c r="V131" s="127" t="str">
        <f t="shared" ref="V131:V194" si="13">IF(OR(H131&lt;$AA$6,H131&gt;$AB$6), "Outlier", "Normal")</f>
        <v>Normal</v>
      </c>
      <c r="W131" s="87">
        <f t="shared" ref="W131:W194" si="14">IF(U131="Normal",$G131,IF($G131&lt;150%, $G131, $AA$9))</f>
        <v>0</v>
      </c>
      <c r="X131" s="87">
        <f t="shared" ref="X131:X194" si="15">IF(V131="Normal",$H131,IF($H131&lt;150%, $H131, $AE$9))</f>
        <v>0</v>
      </c>
      <c r="Y131" s="272"/>
      <c r="Z131" s="272"/>
      <c r="AA131" s="272"/>
      <c r="AB131" s="272"/>
      <c r="AC131" s="272"/>
      <c r="AD131" s="272"/>
      <c r="AE131" s="272"/>
      <c r="AF131" s="272"/>
      <c r="AG131" s="272"/>
      <c r="AH131" s="272"/>
      <c r="AI131" s="272"/>
      <c r="AJ131" s="272"/>
      <c r="AK131" s="272"/>
    </row>
    <row r="132" spans="1:37">
      <c r="A132" s="281">
        <v>44782</v>
      </c>
      <c r="B132" s="314">
        <f>IF(YEAR(Table9[[#This Row],[Date]]) = 2022, WEEKNUM(Table9[[#This Row],[Date]])-13, WEEKNUM(Table9[[#This Row],[Date]])+40)</f>
        <v>20</v>
      </c>
      <c r="C132" s="255" t="s">
        <v>49</v>
      </c>
      <c r="D132" s="65" t="s">
        <v>59</v>
      </c>
      <c r="E132" s="269">
        <v>455</v>
      </c>
      <c r="F132" s="269">
        <v>396</v>
      </c>
      <c r="G132" s="282">
        <v>0</v>
      </c>
      <c r="H132" s="282">
        <v>0</v>
      </c>
      <c r="I132" s="269">
        <v>2402</v>
      </c>
      <c r="J132" s="269">
        <v>1821</v>
      </c>
      <c r="K132" s="269">
        <v>46828</v>
      </c>
      <c r="L132" s="269">
        <v>41852</v>
      </c>
      <c r="M132" s="127">
        <v>0.6</v>
      </c>
      <c r="N132" s="127">
        <v>0.13</v>
      </c>
      <c r="O132" s="127">
        <v>0.87</v>
      </c>
      <c r="P132" s="127">
        <v>0.68</v>
      </c>
      <c r="Q132" s="283">
        <v>0.98</v>
      </c>
      <c r="R132" s="284">
        <v>0</v>
      </c>
      <c r="S132" s="284">
        <v>0</v>
      </c>
      <c r="T132" s="285">
        <v>0</v>
      </c>
      <c r="U132" s="127" t="str">
        <f t="shared" si="12"/>
        <v>Normal</v>
      </c>
      <c r="V132" s="127" t="str">
        <f t="shared" si="13"/>
        <v>Normal</v>
      </c>
      <c r="W132" s="87">
        <f t="shared" si="14"/>
        <v>0</v>
      </c>
      <c r="X132" s="87">
        <f t="shared" si="15"/>
        <v>0</v>
      </c>
      <c r="Y132" s="272"/>
      <c r="Z132" s="272"/>
      <c r="AA132" s="272"/>
      <c r="AB132" s="272"/>
      <c r="AC132" s="272"/>
      <c r="AD132" s="272"/>
      <c r="AE132" s="272"/>
      <c r="AF132" s="272"/>
      <c r="AG132" s="272"/>
      <c r="AH132" s="272"/>
      <c r="AI132" s="272"/>
      <c r="AJ132" s="272"/>
      <c r="AK132" s="272"/>
    </row>
    <row r="133" spans="1:37">
      <c r="A133" s="281">
        <v>44783</v>
      </c>
      <c r="B133" s="314">
        <f>IF(YEAR(Table9[[#This Row],[Date]]) = 2022, WEEKNUM(Table9[[#This Row],[Date]])-13, WEEKNUM(Table9[[#This Row],[Date]])+40)</f>
        <v>20</v>
      </c>
      <c r="C133" s="255" t="s">
        <v>50</v>
      </c>
      <c r="D133" s="65" t="s">
        <v>59</v>
      </c>
      <c r="E133" s="269">
        <v>539</v>
      </c>
      <c r="F133" s="269">
        <v>408</v>
      </c>
      <c r="G133" s="282">
        <v>0</v>
      </c>
      <c r="H133" s="282">
        <v>0</v>
      </c>
      <c r="I133" s="269">
        <v>2941</v>
      </c>
      <c r="J133" s="269">
        <v>2229</v>
      </c>
      <c r="K133" s="269">
        <v>47367</v>
      </c>
      <c r="L133" s="269">
        <v>42260</v>
      </c>
      <c r="M133" s="127">
        <v>0.34</v>
      </c>
      <c r="N133" s="127">
        <v>0.24</v>
      </c>
      <c r="O133" s="127">
        <v>0.76</v>
      </c>
      <c r="P133" s="127">
        <v>0.93</v>
      </c>
      <c r="Q133" s="283">
        <v>0.97</v>
      </c>
      <c r="R133" s="284">
        <v>0</v>
      </c>
      <c r="S133" s="284">
        <v>0</v>
      </c>
      <c r="T133" s="285">
        <v>0</v>
      </c>
      <c r="U133" s="127" t="str">
        <f t="shared" si="12"/>
        <v>Normal</v>
      </c>
      <c r="V133" s="127" t="str">
        <f t="shared" si="13"/>
        <v>Normal</v>
      </c>
      <c r="W133" s="87">
        <f t="shared" si="14"/>
        <v>0</v>
      </c>
      <c r="X133" s="87">
        <f t="shared" si="15"/>
        <v>0</v>
      </c>
      <c r="Y133" s="272"/>
      <c r="Z133" s="272"/>
      <c r="AA133" s="272"/>
      <c r="AB133" s="272"/>
      <c r="AC133" s="272"/>
      <c r="AD133" s="272"/>
      <c r="AE133" s="272"/>
      <c r="AF133" s="272"/>
      <c r="AG133" s="272"/>
      <c r="AH133" s="272"/>
      <c r="AI133" s="272"/>
      <c r="AJ133" s="272"/>
      <c r="AK133" s="272"/>
    </row>
    <row r="134" spans="1:37">
      <c r="A134" s="281">
        <v>44784</v>
      </c>
      <c r="B134" s="314">
        <f>IF(YEAR(Table9[[#This Row],[Date]]) = 2022, WEEKNUM(Table9[[#This Row],[Date]])-13, WEEKNUM(Table9[[#This Row],[Date]])+40)</f>
        <v>20</v>
      </c>
      <c r="C134" s="255" t="s">
        <v>51</v>
      </c>
      <c r="D134" s="65" t="s">
        <v>59</v>
      </c>
      <c r="E134" s="269">
        <v>458</v>
      </c>
      <c r="F134" s="269">
        <v>375</v>
      </c>
      <c r="G134" s="282">
        <v>-0.18067978533094811</v>
      </c>
      <c r="H134" s="282">
        <v>0.10619469026548672</v>
      </c>
      <c r="I134" s="269">
        <v>3399</v>
      </c>
      <c r="J134" s="269">
        <v>2604</v>
      </c>
      <c r="K134" s="269">
        <v>47825</v>
      </c>
      <c r="L134" s="269">
        <v>42635</v>
      </c>
      <c r="M134" s="127">
        <v>0.56000000000000005</v>
      </c>
      <c r="N134" s="127">
        <v>0.18</v>
      </c>
      <c r="O134" s="127">
        <v>0.82</v>
      </c>
      <c r="P134" s="127">
        <v>0.79</v>
      </c>
      <c r="Q134" s="283">
        <v>0.95</v>
      </c>
      <c r="R134" s="284">
        <v>0</v>
      </c>
      <c r="S134" s="284">
        <v>0</v>
      </c>
      <c r="T134" s="285">
        <v>0</v>
      </c>
      <c r="U134" s="127" t="str">
        <f t="shared" si="12"/>
        <v>Normal</v>
      </c>
      <c r="V134" s="127" t="str">
        <f t="shared" si="13"/>
        <v>Normal</v>
      </c>
      <c r="W134" s="87">
        <f t="shared" si="14"/>
        <v>-0.18067978533094811</v>
      </c>
      <c r="X134" s="87">
        <f t="shared" si="15"/>
        <v>0.10619469026548672</v>
      </c>
      <c r="Y134" s="272"/>
      <c r="Z134" s="272"/>
      <c r="AA134" s="272"/>
      <c r="AB134" s="272"/>
      <c r="AC134" s="272"/>
      <c r="AD134" s="272"/>
      <c r="AE134" s="272"/>
      <c r="AF134" s="272"/>
      <c r="AG134" s="272"/>
      <c r="AH134" s="272"/>
      <c r="AI134" s="272"/>
      <c r="AJ134" s="272"/>
      <c r="AK134" s="272"/>
    </row>
    <row r="135" spans="1:37">
      <c r="A135" s="281">
        <v>44785</v>
      </c>
      <c r="B135" s="314">
        <f>IF(YEAR(Table9[[#This Row],[Date]]) = 2022, WEEKNUM(Table9[[#This Row],[Date]])-13, WEEKNUM(Table9[[#This Row],[Date]])+40)</f>
        <v>20</v>
      </c>
      <c r="C135" s="255" t="s">
        <v>52</v>
      </c>
      <c r="D135" s="65" t="s">
        <v>59</v>
      </c>
      <c r="E135" s="269">
        <v>488</v>
      </c>
      <c r="F135" s="269">
        <v>440</v>
      </c>
      <c r="G135" s="282">
        <v>-4.8732943469785572E-2</v>
      </c>
      <c r="H135" s="282">
        <v>2.8037383177570093E-2</v>
      </c>
      <c r="I135" s="269">
        <v>3887</v>
      </c>
      <c r="J135" s="269">
        <v>3044</v>
      </c>
      <c r="K135" s="269">
        <v>48313</v>
      </c>
      <c r="L135" s="269">
        <v>43075</v>
      </c>
      <c r="M135" s="127">
        <v>0.7</v>
      </c>
      <c r="N135" s="127">
        <v>0.1</v>
      </c>
      <c r="O135" s="127">
        <v>0.9</v>
      </c>
      <c r="P135" s="127">
        <v>0.82</v>
      </c>
      <c r="Q135" s="283">
        <v>0.98</v>
      </c>
      <c r="R135" s="284">
        <v>0</v>
      </c>
      <c r="S135" s="284">
        <v>0</v>
      </c>
      <c r="T135" s="285">
        <v>0</v>
      </c>
      <c r="U135" s="127" t="str">
        <f t="shared" si="12"/>
        <v>Normal</v>
      </c>
      <c r="V135" s="127" t="str">
        <f t="shared" si="13"/>
        <v>Normal</v>
      </c>
      <c r="W135" s="87">
        <f t="shared" si="14"/>
        <v>-4.8732943469785572E-2</v>
      </c>
      <c r="X135" s="87">
        <f t="shared" si="15"/>
        <v>2.8037383177570093E-2</v>
      </c>
      <c r="Y135" s="272"/>
      <c r="Z135" s="272"/>
      <c r="AA135" s="272"/>
      <c r="AB135" s="272"/>
      <c r="AC135" s="272"/>
      <c r="AD135" s="272"/>
      <c r="AE135" s="272"/>
      <c r="AF135" s="272"/>
      <c r="AG135" s="272"/>
      <c r="AH135" s="272"/>
      <c r="AI135" s="272"/>
      <c r="AJ135" s="272"/>
      <c r="AK135" s="272"/>
    </row>
    <row r="136" spans="1:37">
      <c r="A136" s="281">
        <v>44786</v>
      </c>
      <c r="B136" s="314">
        <f>IF(YEAR(Table9[[#This Row],[Date]]) = 2022, WEEKNUM(Table9[[#This Row],[Date]])-13, WEEKNUM(Table9[[#This Row],[Date]])+40)</f>
        <v>20</v>
      </c>
      <c r="C136" s="255" t="s">
        <v>53</v>
      </c>
      <c r="D136" s="65" t="s">
        <v>59</v>
      </c>
      <c r="E136" s="269">
        <v>323</v>
      </c>
      <c r="F136" s="269">
        <v>257</v>
      </c>
      <c r="G136" s="282">
        <v>9.3749999999999997E-3</v>
      </c>
      <c r="H136" s="282">
        <v>-7.7220077220077222E-3</v>
      </c>
      <c r="I136" s="269">
        <v>4210</v>
      </c>
      <c r="J136" s="269">
        <v>3301</v>
      </c>
      <c r="K136" s="269">
        <v>48636</v>
      </c>
      <c r="L136" s="269">
        <v>43332</v>
      </c>
      <c r="M136" s="127">
        <v>0.56000000000000005</v>
      </c>
      <c r="N136" s="127">
        <v>0.2</v>
      </c>
      <c r="O136" s="127">
        <v>0.8</v>
      </c>
      <c r="P136" s="127">
        <v>0.88</v>
      </c>
      <c r="Q136" s="283">
        <v>0.96</v>
      </c>
      <c r="R136" s="284">
        <v>0</v>
      </c>
      <c r="S136" s="284">
        <v>0</v>
      </c>
      <c r="T136" s="285">
        <v>0</v>
      </c>
      <c r="U136" s="127" t="str">
        <f t="shared" si="12"/>
        <v>Normal</v>
      </c>
      <c r="V136" s="127" t="str">
        <f t="shared" si="13"/>
        <v>Normal</v>
      </c>
      <c r="W136" s="87">
        <f t="shared" si="14"/>
        <v>9.3749999999999997E-3</v>
      </c>
      <c r="X136" s="87">
        <f t="shared" si="15"/>
        <v>-7.7220077220077222E-3</v>
      </c>
      <c r="Y136" s="272"/>
      <c r="Z136" s="272"/>
      <c r="AA136" s="272"/>
      <c r="AB136" s="272"/>
      <c r="AC136" s="272"/>
      <c r="AD136" s="272"/>
      <c r="AE136" s="272"/>
      <c r="AF136" s="272"/>
      <c r="AG136" s="272"/>
      <c r="AH136" s="272"/>
      <c r="AI136" s="272"/>
      <c r="AJ136" s="272"/>
      <c r="AK136" s="272"/>
    </row>
    <row r="137" spans="1:37">
      <c r="A137" s="281">
        <v>44787</v>
      </c>
      <c r="B137" s="314">
        <f>IF(YEAR(Table9[[#This Row],[Date]]) = 2022, WEEKNUM(Table9[[#This Row],[Date]])-13, WEEKNUM(Table9[[#This Row],[Date]])+40)</f>
        <v>21</v>
      </c>
      <c r="C137" s="255" t="s">
        <v>47</v>
      </c>
      <c r="D137" s="65" t="s">
        <v>59</v>
      </c>
      <c r="E137" s="269">
        <v>0</v>
      </c>
      <c r="F137" s="269">
        <v>0</v>
      </c>
      <c r="G137" s="282">
        <v>0</v>
      </c>
      <c r="H137" s="282">
        <v>0</v>
      </c>
      <c r="I137" s="269">
        <v>0</v>
      </c>
      <c r="J137" s="269">
        <v>0</v>
      </c>
      <c r="K137" s="269">
        <v>0</v>
      </c>
      <c r="L137" s="269">
        <v>0</v>
      </c>
      <c r="M137" s="127">
        <v>0</v>
      </c>
      <c r="N137" s="127">
        <v>0</v>
      </c>
      <c r="O137" s="127">
        <v>0</v>
      </c>
      <c r="P137" s="127">
        <v>0</v>
      </c>
      <c r="Q137" s="283">
        <v>0</v>
      </c>
      <c r="R137" s="284">
        <v>0</v>
      </c>
      <c r="S137" s="284">
        <v>0</v>
      </c>
      <c r="T137" s="285">
        <v>0</v>
      </c>
      <c r="U137" s="127" t="str">
        <f t="shared" si="12"/>
        <v>Normal</v>
      </c>
      <c r="V137" s="127" t="str">
        <f t="shared" si="13"/>
        <v>Normal</v>
      </c>
      <c r="W137" s="87">
        <f t="shared" si="14"/>
        <v>0</v>
      </c>
      <c r="X137" s="87">
        <f t="shared" si="15"/>
        <v>0</v>
      </c>
      <c r="Y137" s="272"/>
      <c r="Z137" s="272"/>
      <c r="AA137" s="272"/>
      <c r="AB137" s="272"/>
      <c r="AC137" s="272"/>
      <c r="AD137" s="272"/>
      <c r="AE137" s="272"/>
      <c r="AF137" s="272"/>
      <c r="AG137" s="272"/>
      <c r="AH137" s="272"/>
      <c r="AI137" s="272"/>
      <c r="AJ137" s="272"/>
      <c r="AK137" s="272"/>
    </row>
    <row r="138" spans="1:37">
      <c r="A138" s="281">
        <v>44788</v>
      </c>
      <c r="B138" s="314">
        <f>IF(YEAR(Table9[[#This Row],[Date]]) = 2022, WEEKNUM(Table9[[#This Row],[Date]])-13, WEEKNUM(Table9[[#This Row],[Date]])+40)</f>
        <v>21</v>
      </c>
      <c r="C138" s="255" t="s">
        <v>48</v>
      </c>
      <c r="D138" s="65" t="s">
        <v>59</v>
      </c>
      <c r="E138" s="269">
        <v>728</v>
      </c>
      <c r="F138" s="269">
        <v>531</v>
      </c>
      <c r="G138" s="282">
        <v>0.31171171171171169</v>
      </c>
      <c r="H138" s="282">
        <v>0.33082706766917291</v>
      </c>
      <c r="I138" s="269">
        <v>4938</v>
      </c>
      <c r="J138" s="269">
        <v>3832</v>
      </c>
      <c r="K138" s="269">
        <v>49364</v>
      </c>
      <c r="L138" s="269">
        <v>43863</v>
      </c>
      <c r="M138" s="127">
        <v>0.31</v>
      </c>
      <c r="N138" s="127">
        <v>0.27</v>
      </c>
      <c r="O138" s="127">
        <v>0.73</v>
      </c>
      <c r="P138" s="127">
        <v>0.73</v>
      </c>
      <c r="Q138" s="283">
        <v>0.94</v>
      </c>
      <c r="R138" s="284">
        <v>0</v>
      </c>
      <c r="S138" s="284">
        <v>0</v>
      </c>
      <c r="T138" s="285">
        <v>0</v>
      </c>
      <c r="U138" s="127" t="str">
        <f t="shared" si="12"/>
        <v>Normal</v>
      </c>
      <c r="V138" s="127" t="str">
        <f t="shared" si="13"/>
        <v>Outlier</v>
      </c>
      <c r="W138" s="87">
        <f t="shared" si="14"/>
        <v>0.31171171171171169</v>
      </c>
      <c r="X138" s="87">
        <f t="shared" si="15"/>
        <v>0.33082706766917291</v>
      </c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</row>
    <row r="139" spans="1:37">
      <c r="A139" s="281">
        <v>44789</v>
      </c>
      <c r="B139" s="314">
        <f>IF(YEAR(Table9[[#This Row],[Date]]) = 2022, WEEKNUM(Table9[[#This Row],[Date]])-13, WEEKNUM(Table9[[#This Row],[Date]])+40)</f>
        <v>21</v>
      </c>
      <c r="C139" s="255" t="s">
        <v>49</v>
      </c>
      <c r="D139" s="65" t="s">
        <v>59</v>
      </c>
      <c r="E139" s="269">
        <v>716</v>
      </c>
      <c r="F139" s="269">
        <v>499</v>
      </c>
      <c r="G139" s="282">
        <v>0.57362637362637359</v>
      </c>
      <c r="H139" s="282">
        <v>0.26010101010101011</v>
      </c>
      <c r="I139" s="269">
        <v>5654</v>
      </c>
      <c r="J139" s="269">
        <v>4331</v>
      </c>
      <c r="K139" s="269">
        <v>50080</v>
      </c>
      <c r="L139" s="269">
        <v>44362</v>
      </c>
      <c r="M139" s="127">
        <v>0.26</v>
      </c>
      <c r="N139" s="127">
        <v>0.38</v>
      </c>
      <c r="O139" s="127">
        <v>0.62</v>
      </c>
      <c r="P139" s="127">
        <v>0.69</v>
      </c>
      <c r="Q139" s="283">
        <v>0.97</v>
      </c>
      <c r="R139" s="284">
        <v>0</v>
      </c>
      <c r="S139" s="284">
        <v>0</v>
      </c>
      <c r="T139" s="285">
        <v>0</v>
      </c>
      <c r="U139" s="127" t="str">
        <f t="shared" si="12"/>
        <v>Outlier</v>
      </c>
      <c r="V139" s="127" t="str">
        <f t="shared" si="13"/>
        <v>Normal</v>
      </c>
      <c r="W139" s="87">
        <f t="shared" si="14"/>
        <v>0.57362637362637359</v>
      </c>
      <c r="X139" s="87">
        <f t="shared" si="15"/>
        <v>0.26010101010101011</v>
      </c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  <c r="AI139" s="272"/>
      <c r="AJ139" s="272"/>
      <c r="AK139" s="272"/>
    </row>
    <row r="140" spans="1:37">
      <c r="A140" s="281">
        <v>44790</v>
      </c>
      <c r="B140" s="314">
        <f>IF(YEAR(Table9[[#This Row],[Date]]) = 2022, WEEKNUM(Table9[[#This Row],[Date]])-13, WEEKNUM(Table9[[#This Row],[Date]])+40)</f>
        <v>21</v>
      </c>
      <c r="C140" s="255" t="s">
        <v>50</v>
      </c>
      <c r="D140" s="65" t="s">
        <v>59</v>
      </c>
      <c r="E140" s="269">
        <v>238</v>
      </c>
      <c r="F140" s="269">
        <v>229</v>
      </c>
      <c r="G140" s="282">
        <v>-0.55844155844155841</v>
      </c>
      <c r="H140" s="282">
        <v>-0.43872549019607843</v>
      </c>
      <c r="I140" s="269">
        <v>5892</v>
      </c>
      <c r="J140" s="269">
        <v>4560</v>
      </c>
      <c r="K140" s="269">
        <v>50318</v>
      </c>
      <c r="L140" s="269">
        <v>44591</v>
      </c>
      <c r="M140" s="127">
        <v>0.88</v>
      </c>
      <c r="N140" s="127">
        <v>0.04</v>
      </c>
      <c r="O140" s="127">
        <v>0.96</v>
      </c>
      <c r="P140" s="127">
        <v>0.32</v>
      </c>
      <c r="Q140" s="283">
        <v>0.98</v>
      </c>
      <c r="R140" s="284">
        <v>0</v>
      </c>
      <c r="S140" s="284">
        <v>0</v>
      </c>
      <c r="T140" s="285">
        <v>0</v>
      </c>
      <c r="U140" s="127" t="str">
        <f t="shared" si="12"/>
        <v>Outlier</v>
      </c>
      <c r="V140" s="127" t="str">
        <f t="shared" si="13"/>
        <v>Outlier</v>
      </c>
      <c r="W140" s="87">
        <f t="shared" si="14"/>
        <v>-0.55844155844155841</v>
      </c>
      <c r="X140" s="87">
        <f t="shared" si="15"/>
        <v>-0.43872549019607843</v>
      </c>
      <c r="Y140" s="272"/>
      <c r="Z140" s="272"/>
      <c r="AA140" s="272"/>
      <c r="AB140" s="272"/>
      <c r="AC140" s="272"/>
      <c r="AD140" s="272"/>
      <c r="AE140" s="272"/>
      <c r="AF140" s="272"/>
      <c r="AG140" s="272"/>
      <c r="AH140" s="272"/>
      <c r="AI140" s="272"/>
      <c r="AJ140" s="272"/>
      <c r="AK140" s="272"/>
    </row>
    <row r="141" spans="1:37">
      <c r="A141" s="281">
        <v>44791</v>
      </c>
      <c r="B141" s="314">
        <f>IF(YEAR(Table9[[#This Row],[Date]]) = 2022, WEEKNUM(Table9[[#This Row],[Date]])-13, WEEKNUM(Table9[[#This Row],[Date]])+40)</f>
        <v>21</v>
      </c>
      <c r="C141" s="255" t="s">
        <v>51</v>
      </c>
      <c r="D141" s="65" t="s">
        <v>59</v>
      </c>
      <c r="E141" s="269">
        <v>576</v>
      </c>
      <c r="F141" s="269">
        <v>333</v>
      </c>
      <c r="G141" s="282">
        <v>0.2576419213973799</v>
      </c>
      <c r="H141" s="282">
        <v>-0.112</v>
      </c>
      <c r="I141" s="269">
        <v>6468</v>
      </c>
      <c r="J141" s="269">
        <v>4893</v>
      </c>
      <c r="K141" s="269">
        <v>50894</v>
      </c>
      <c r="L141" s="269">
        <v>44924</v>
      </c>
      <c r="M141" s="127">
        <v>0.2</v>
      </c>
      <c r="N141" s="127">
        <v>0.42</v>
      </c>
      <c r="O141" s="127">
        <v>0.57999999999999996</v>
      </c>
      <c r="P141" s="127">
        <v>0.46</v>
      </c>
      <c r="Q141" s="283">
        <v>0.97</v>
      </c>
      <c r="R141" s="284">
        <v>0</v>
      </c>
      <c r="S141" s="284">
        <v>0</v>
      </c>
      <c r="T141" s="285">
        <v>0</v>
      </c>
      <c r="U141" s="127" t="str">
        <f t="shared" si="12"/>
        <v>Normal</v>
      </c>
      <c r="V141" s="127" t="str">
        <f t="shared" si="13"/>
        <v>Normal</v>
      </c>
      <c r="W141" s="87">
        <f t="shared" si="14"/>
        <v>0.2576419213973799</v>
      </c>
      <c r="X141" s="87">
        <f t="shared" si="15"/>
        <v>-0.112</v>
      </c>
      <c r="Y141" s="272"/>
      <c r="Z141" s="272"/>
      <c r="AA141" s="272"/>
      <c r="AB141" s="272"/>
      <c r="AC141" s="272"/>
      <c r="AD141" s="272"/>
      <c r="AE141" s="272"/>
      <c r="AF141" s="272"/>
      <c r="AG141" s="272"/>
      <c r="AH141" s="272"/>
      <c r="AI141" s="272"/>
      <c r="AJ141" s="272"/>
      <c r="AK141" s="272"/>
    </row>
    <row r="142" spans="1:37">
      <c r="A142" s="281">
        <v>44792</v>
      </c>
      <c r="B142" s="314">
        <f>IF(YEAR(Table9[[#This Row],[Date]]) = 2022, WEEKNUM(Table9[[#This Row],[Date]])-13, WEEKNUM(Table9[[#This Row],[Date]])+40)</f>
        <v>21</v>
      </c>
      <c r="C142" s="255" t="s">
        <v>52</v>
      </c>
      <c r="D142" s="65" t="s">
        <v>59</v>
      </c>
      <c r="E142" s="269">
        <v>528</v>
      </c>
      <c r="F142" s="269">
        <v>473</v>
      </c>
      <c r="G142" s="282">
        <v>8.1967213114754092E-2</v>
      </c>
      <c r="H142" s="282">
        <v>7.4999999999999997E-2</v>
      </c>
      <c r="I142" s="269">
        <v>6996</v>
      </c>
      <c r="J142" s="269">
        <v>5366</v>
      </c>
      <c r="K142" s="269">
        <v>51422</v>
      </c>
      <c r="L142" s="269">
        <v>45397</v>
      </c>
      <c r="M142" s="127">
        <v>0.73</v>
      </c>
      <c r="N142" s="127">
        <v>0.1</v>
      </c>
      <c r="O142" s="127">
        <v>0.9</v>
      </c>
      <c r="P142" s="127">
        <v>0.65</v>
      </c>
      <c r="Q142" s="283">
        <v>0.95</v>
      </c>
      <c r="R142" s="284">
        <v>0</v>
      </c>
      <c r="S142" s="284">
        <v>0</v>
      </c>
      <c r="T142" s="285">
        <v>0</v>
      </c>
      <c r="U142" s="127" t="str">
        <f t="shared" si="12"/>
        <v>Normal</v>
      </c>
      <c r="V142" s="127" t="str">
        <f t="shared" si="13"/>
        <v>Normal</v>
      </c>
      <c r="W142" s="87">
        <f t="shared" si="14"/>
        <v>8.1967213114754092E-2</v>
      </c>
      <c r="X142" s="87">
        <f t="shared" si="15"/>
        <v>7.4999999999999997E-2</v>
      </c>
      <c r="Y142" s="272"/>
      <c r="Z142" s="272"/>
      <c r="AA142" s="272"/>
      <c r="AB142" s="272"/>
      <c r="AC142" s="272"/>
      <c r="AD142" s="272"/>
      <c r="AE142" s="272"/>
      <c r="AF142" s="272"/>
      <c r="AG142" s="272"/>
      <c r="AH142" s="272"/>
      <c r="AI142" s="272"/>
      <c r="AJ142" s="272"/>
      <c r="AK142" s="272"/>
    </row>
    <row r="143" spans="1:37">
      <c r="A143" s="281">
        <v>44793</v>
      </c>
      <c r="B143" s="314">
        <f>IF(YEAR(Table9[[#This Row],[Date]]) = 2022, WEEKNUM(Table9[[#This Row],[Date]])-13, WEEKNUM(Table9[[#This Row],[Date]])+40)</f>
        <v>21</v>
      </c>
      <c r="C143" s="255" t="s">
        <v>53</v>
      </c>
      <c r="D143" s="65" t="s">
        <v>59</v>
      </c>
      <c r="E143" s="269">
        <v>241</v>
      </c>
      <c r="F143" s="269">
        <v>207</v>
      </c>
      <c r="G143" s="282">
        <v>-0.25386996904024767</v>
      </c>
      <c r="H143" s="282">
        <v>-0.19455252918287938</v>
      </c>
      <c r="I143" s="269">
        <v>7237</v>
      </c>
      <c r="J143" s="269">
        <v>5573</v>
      </c>
      <c r="K143" s="269">
        <v>51663</v>
      </c>
      <c r="L143" s="269">
        <v>45604</v>
      </c>
      <c r="M143" s="127">
        <v>0.69</v>
      </c>
      <c r="N143" s="127">
        <v>0.13</v>
      </c>
      <c r="O143" s="127">
        <v>0.87</v>
      </c>
      <c r="P143" s="127">
        <v>0.48</v>
      </c>
      <c r="Q143" s="283">
        <v>0.97</v>
      </c>
      <c r="R143" s="284">
        <v>0</v>
      </c>
      <c r="S143" s="284">
        <v>0</v>
      </c>
      <c r="T143" s="285">
        <v>0</v>
      </c>
      <c r="U143" s="127" t="str">
        <f t="shared" si="12"/>
        <v>Normal</v>
      </c>
      <c r="V143" s="127" t="str">
        <f t="shared" si="13"/>
        <v>Normal</v>
      </c>
      <c r="W143" s="87">
        <f t="shared" si="14"/>
        <v>-0.25386996904024767</v>
      </c>
      <c r="X143" s="87">
        <f t="shared" si="15"/>
        <v>-0.19455252918287938</v>
      </c>
      <c r="Y143" s="272"/>
      <c r="Z143" s="272"/>
      <c r="AA143" s="272"/>
      <c r="AB143" s="272"/>
      <c r="AC143" s="272"/>
      <c r="AD143" s="272"/>
      <c r="AE143" s="272"/>
      <c r="AF143" s="272"/>
      <c r="AG143" s="272"/>
      <c r="AH143" s="272"/>
      <c r="AI143" s="272"/>
      <c r="AJ143" s="272"/>
      <c r="AK143" s="272"/>
    </row>
    <row r="144" spans="1:37">
      <c r="A144" s="281">
        <v>44794</v>
      </c>
      <c r="B144" s="314">
        <f>IF(YEAR(Table9[[#This Row],[Date]]) = 2022, WEEKNUM(Table9[[#This Row],[Date]])-13, WEEKNUM(Table9[[#This Row],[Date]])+40)</f>
        <v>22</v>
      </c>
      <c r="C144" s="255" t="s">
        <v>47</v>
      </c>
      <c r="D144" s="65" t="s">
        <v>59</v>
      </c>
      <c r="E144" s="269">
        <v>0</v>
      </c>
      <c r="F144" s="269">
        <v>0</v>
      </c>
      <c r="G144" s="282">
        <v>0</v>
      </c>
      <c r="H144" s="282">
        <v>0</v>
      </c>
      <c r="I144" s="269">
        <v>0</v>
      </c>
      <c r="J144" s="269">
        <v>0</v>
      </c>
      <c r="K144" s="269">
        <v>0</v>
      </c>
      <c r="L144" s="269">
        <v>0</v>
      </c>
      <c r="M144" s="127">
        <v>0</v>
      </c>
      <c r="N144" s="127">
        <v>0</v>
      </c>
      <c r="O144" s="127">
        <v>0</v>
      </c>
      <c r="P144" s="127">
        <v>0</v>
      </c>
      <c r="Q144" s="283">
        <v>0</v>
      </c>
      <c r="R144" s="284">
        <v>0</v>
      </c>
      <c r="S144" s="284">
        <v>0</v>
      </c>
      <c r="T144" s="285">
        <v>0</v>
      </c>
      <c r="U144" s="127" t="str">
        <f t="shared" si="12"/>
        <v>Normal</v>
      </c>
      <c r="V144" s="127" t="str">
        <f t="shared" si="13"/>
        <v>Normal</v>
      </c>
      <c r="W144" s="87">
        <f t="shared" si="14"/>
        <v>0</v>
      </c>
      <c r="X144" s="87">
        <f t="shared" si="15"/>
        <v>0</v>
      </c>
      <c r="Y144" s="272"/>
      <c r="Z144" s="272"/>
      <c r="AA144" s="272"/>
      <c r="AB144" s="272"/>
      <c r="AC144" s="272"/>
      <c r="AD144" s="272"/>
      <c r="AE144" s="272"/>
      <c r="AF144" s="272"/>
      <c r="AG144" s="272"/>
      <c r="AH144" s="272"/>
      <c r="AI144" s="272"/>
      <c r="AJ144" s="272"/>
      <c r="AK144" s="272"/>
    </row>
    <row r="145" spans="1:41">
      <c r="A145" s="281">
        <v>44795</v>
      </c>
      <c r="B145" s="314">
        <f>IF(YEAR(Table9[[#This Row],[Date]]) = 2022, WEEKNUM(Table9[[#This Row],[Date]])-13, WEEKNUM(Table9[[#This Row],[Date]])+40)</f>
        <v>22</v>
      </c>
      <c r="C145" s="255" t="s">
        <v>48</v>
      </c>
      <c r="D145" s="65" t="s">
        <v>59</v>
      </c>
      <c r="E145" s="269">
        <v>681</v>
      </c>
      <c r="F145" s="269">
        <v>531</v>
      </c>
      <c r="G145" s="282">
        <v>-6.4560439560439567E-2</v>
      </c>
      <c r="H145" s="282">
        <v>0</v>
      </c>
      <c r="I145" s="269">
        <v>7918</v>
      </c>
      <c r="J145" s="269">
        <v>6104</v>
      </c>
      <c r="K145" s="269">
        <v>52344</v>
      </c>
      <c r="L145" s="269">
        <v>46135</v>
      </c>
      <c r="M145" s="127">
        <v>0.41</v>
      </c>
      <c r="N145" s="127">
        <v>0.22</v>
      </c>
      <c r="O145" s="127">
        <v>0.78</v>
      </c>
      <c r="P145" s="127">
        <v>0.73</v>
      </c>
      <c r="Q145" s="283">
        <v>0.98</v>
      </c>
      <c r="R145" s="293">
        <v>0</v>
      </c>
      <c r="S145" s="293">
        <v>0</v>
      </c>
      <c r="T145" s="295">
        <v>0</v>
      </c>
      <c r="U145" s="127" t="str">
        <f t="shared" si="12"/>
        <v>Normal</v>
      </c>
      <c r="V145" s="127" t="str">
        <f t="shared" si="13"/>
        <v>Normal</v>
      </c>
      <c r="W145" s="87">
        <f t="shared" si="14"/>
        <v>-6.4560439560439567E-2</v>
      </c>
      <c r="X145" s="87">
        <f t="shared" si="15"/>
        <v>0</v>
      </c>
      <c r="Y145" s="272"/>
      <c r="Z145" s="272"/>
      <c r="AA145" s="272"/>
      <c r="AB145" s="272"/>
      <c r="AC145" s="272"/>
      <c r="AD145" s="272"/>
      <c r="AE145" s="272"/>
      <c r="AF145" s="272"/>
      <c r="AG145" s="272"/>
      <c r="AH145" s="272"/>
      <c r="AI145" s="272"/>
      <c r="AJ145" s="272"/>
      <c r="AK145" s="272"/>
    </row>
    <row r="146" spans="1:41">
      <c r="A146" s="281">
        <v>44796</v>
      </c>
      <c r="B146" s="314">
        <f>IF(YEAR(Table9[[#This Row],[Date]]) = 2022, WEEKNUM(Table9[[#This Row],[Date]])-13, WEEKNUM(Table9[[#This Row],[Date]])+40)</f>
        <v>22</v>
      </c>
      <c r="C146" s="255" t="s">
        <v>49</v>
      </c>
      <c r="D146" s="65" t="s">
        <v>59</v>
      </c>
      <c r="E146" s="269">
        <v>659</v>
      </c>
      <c r="F146" s="269">
        <v>501</v>
      </c>
      <c r="G146" s="282">
        <v>-7.9608938547486033E-2</v>
      </c>
      <c r="H146" s="282">
        <v>4.0080160320641279E-3</v>
      </c>
      <c r="I146" s="269">
        <v>8577</v>
      </c>
      <c r="J146" s="269">
        <v>6605</v>
      </c>
      <c r="K146" s="269">
        <v>53003</v>
      </c>
      <c r="L146" s="269">
        <v>46636</v>
      </c>
      <c r="M146" s="127">
        <v>0.38</v>
      </c>
      <c r="N146" s="127">
        <v>0.24</v>
      </c>
      <c r="O146" s="127">
        <v>0.76</v>
      </c>
      <c r="P146" s="127">
        <v>0.86</v>
      </c>
      <c r="Q146" s="283">
        <v>0.98</v>
      </c>
      <c r="R146" s="284">
        <v>0</v>
      </c>
      <c r="S146" s="284">
        <v>0</v>
      </c>
      <c r="T146" s="285">
        <v>0</v>
      </c>
      <c r="U146" s="127" t="str">
        <f t="shared" si="12"/>
        <v>Normal</v>
      </c>
      <c r="V146" s="127" t="str">
        <f t="shared" si="13"/>
        <v>Normal</v>
      </c>
      <c r="W146" s="87">
        <f t="shared" si="14"/>
        <v>-7.9608938547486033E-2</v>
      </c>
      <c r="X146" s="87">
        <f t="shared" si="15"/>
        <v>4.0080160320641279E-3</v>
      </c>
      <c r="Y146" s="272"/>
      <c r="Z146" s="272"/>
      <c r="AA146" s="272"/>
      <c r="AB146" s="272"/>
      <c r="AC146" s="272"/>
      <c r="AD146" s="272"/>
      <c r="AE146" s="272"/>
      <c r="AF146" s="272"/>
      <c r="AG146" s="272"/>
      <c r="AH146" s="272"/>
      <c r="AI146" s="272"/>
      <c r="AJ146" s="272"/>
      <c r="AK146" s="272"/>
    </row>
    <row r="147" spans="1:41">
      <c r="A147" s="281">
        <v>44797</v>
      </c>
      <c r="B147" s="314">
        <f>IF(YEAR(Table9[[#This Row],[Date]]) = 2022, WEEKNUM(Table9[[#This Row],[Date]])-13, WEEKNUM(Table9[[#This Row],[Date]])+40)</f>
        <v>22</v>
      </c>
      <c r="C147" s="255" t="s">
        <v>50</v>
      </c>
      <c r="D147" s="65" t="s">
        <v>59</v>
      </c>
      <c r="E147" s="269">
        <v>581</v>
      </c>
      <c r="F147" s="269">
        <v>495</v>
      </c>
      <c r="G147" s="282">
        <v>1.4411764705882353</v>
      </c>
      <c r="H147" s="282">
        <v>1.1615720524017468</v>
      </c>
      <c r="I147" s="269">
        <v>9158</v>
      </c>
      <c r="J147" s="269">
        <v>7100</v>
      </c>
      <c r="K147" s="269">
        <v>53584</v>
      </c>
      <c r="L147" s="269">
        <v>47131</v>
      </c>
      <c r="M147" s="127">
        <v>0.63</v>
      </c>
      <c r="N147" s="127">
        <v>0.15</v>
      </c>
      <c r="O147" s="127">
        <v>0.85</v>
      </c>
      <c r="P147" s="127">
        <v>0.68</v>
      </c>
      <c r="Q147" s="283">
        <v>0.97</v>
      </c>
      <c r="R147" s="284">
        <v>0</v>
      </c>
      <c r="S147" s="284">
        <v>0</v>
      </c>
      <c r="T147" s="285">
        <v>0</v>
      </c>
      <c r="U147" s="127" t="str">
        <f t="shared" si="12"/>
        <v>Outlier</v>
      </c>
      <c r="V147" s="127" t="str">
        <f t="shared" si="13"/>
        <v>Outlier</v>
      </c>
      <c r="W147" s="87">
        <f t="shared" si="14"/>
        <v>1.4411764705882353</v>
      </c>
      <c r="X147" s="87">
        <f t="shared" si="15"/>
        <v>1.1615720524017468</v>
      </c>
      <c r="Y147" s="272"/>
      <c r="Z147" s="272"/>
      <c r="AA147" s="272"/>
      <c r="AB147" s="272"/>
      <c r="AC147" s="272"/>
      <c r="AD147" s="272"/>
      <c r="AE147" s="272"/>
      <c r="AF147" s="272"/>
      <c r="AG147" s="272"/>
      <c r="AH147" s="272"/>
      <c r="AI147" s="272"/>
      <c r="AJ147" s="272"/>
      <c r="AK147" s="272"/>
      <c r="AM147" s="50"/>
      <c r="AN147" s="50"/>
      <c r="AO147" s="50"/>
    </row>
    <row r="148" spans="1:41">
      <c r="A148" s="281">
        <v>44798</v>
      </c>
      <c r="B148" s="314">
        <f>IF(YEAR(Table9[[#This Row],[Date]]) = 2022, WEEKNUM(Table9[[#This Row],[Date]])-13, WEEKNUM(Table9[[#This Row],[Date]])+40)</f>
        <v>22</v>
      </c>
      <c r="C148" s="255" t="s">
        <v>51</v>
      </c>
      <c r="D148" s="65" t="s">
        <v>59</v>
      </c>
      <c r="E148" s="269">
        <v>599</v>
      </c>
      <c r="F148" s="269">
        <v>488</v>
      </c>
      <c r="G148" s="282">
        <v>3.9930555555555552E-2</v>
      </c>
      <c r="H148" s="282">
        <v>0.46546546546546547</v>
      </c>
      <c r="I148" s="269">
        <v>9757</v>
      </c>
      <c r="J148" s="269">
        <v>7588</v>
      </c>
      <c r="K148" s="269">
        <v>54183</v>
      </c>
      <c r="L148" s="269">
        <v>47619</v>
      </c>
      <c r="M148" s="127">
        <v>0.49</v>
      </c>
      <c r="N148" s="127">
        <v>0.19</v>
      </c>
      <c r="O148" s="127">
        <v>0.81</v>
      </c>
      <c r="P148" s="127">
        <v>0.67</v>
      </c>
      <c r="Q148" s="283">
        <v>0.94</v>
      </c>
      <c r="R148" s="284">
        <v>0</v>
      </c>
      <c r="S148" s="284">
        <v>0</v>
      </c>
      <c r="T148" s="285">
        <v>0</v>
      </c>
      <c r="U148" s="127" t="str">
        <f t="shared" si="12"/>
        <v>Normal</v>
      </c>
      <c r="V148" s="127" t="str">
        <f t="shared" si="13"/>
        <v>Outlier</v>
      </c>
      <c r="W148" s="87">
        <f t="shared" si="14"/>
        <v>3.9930555555555552E-2</v>
      </c>
      <c r="X148" s="87">
        <f t="shared" si="15"/>
        <v>0.46546546546546547</v>
      </c>
      <c r="Y148" s="272"/>
      <c r="Z148" s="272"/>
      <c r="AA148" s="272"/>
      <c r="AB148" s="272"/>
      <c r="AC148" s="272"/>
      <c r="AD148" s="272"/>
      <c r="AE148" s="272"/>
      <c r="AF148" s="272"/>
      <c r="AG148" s="272"/>
      <c r="AH148" s="272"/>
      <c r="AI148" s="272"/>
      <c r="AJ148" s="272"/>
      <c r="AK148" s="272"/>
    </row>
    <row r="149" spans="1:41">
      <c r="A149" s="281">
        <v>44799</v>
      </c>
      <c r="B149" s="314">
        <f>IF(YEAR(Table9[[#This Row],[Date]]) = 2022, WEEKNUM(Table9[[#This Row],[Date]])-13, WEEKNUM(Table9[[#This Row],[Date]])+40)</f>
        <v>22</v>
      </c>
      <c r="C149" s="255" t="s">
        <v>52</v>
      </c>
      <c r="D149" s="65" t="s">
        <v>59</v>
      </c>
      <c r="E149" s="269">
        <v>666</v>
      </c>
      <c r="F149" s="269">
        <v>536</v>
      </c>
      <c r="G149" s="282">
        <v>0.26136363636363635</v>
      </c>
      <c r="H149" s="282">
        <v>0.1331923890063425</v>
      </c>
      <c r="I149" s="269">
        <v>10423</v>
      </c>
      <c r="J149" s="269">
        <v>8124</v>
      </c>
      <c r="K149" s="269">
        <v>54849</v>
      </c>
      <c r="L149" s="269">
        <v>48155</v>
      </c>
      <c r="M149" s="127">
        <v>0.47</v>
      </c>
      <c r="N149" s="127">
        <v>0.19</v>
      </c>
      <c r="O149" s="127">
        <v>0.81</v>
      </c>
      <c r="P149" s="127">
        <v>0.74</v>
      </c>
      <c r="Q149" s="283">
        <v>0.93</v>
      </c>
      <c r="R149" s="284">
        <v>0</v>
      </c>
      <c r="S149" s="284">
        <v>0</v>
      </c>
      <c r="T149" s="285">
        <v>0</v>
      </c>
      <c r="U149" s="127" t="str">
        <f t="shared" si="12"/>
        <v>Normal</v>
      </c>
      <c r="V149" s="127" t="str">
        <f t="shared" si="13"/>
        <v>Normal</v>
      </c>
      <c r="W149" s="87">
        <f t="shared" si="14"/>
        <v>0.26136363636363635</v>
      </c>
      <c r="X149" s="87">
        <f t="shared" si="15"/>
        <v>0.1331923890063425</v>
      </c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</row>
    <row r="150" spans="1:41">
      <c r="A150" s="281">
        <v>44800</v>
      </c>
      <c r="B150" s="314">
        <f>IF(YEAR(Table9[[#This Row],[Date]]) = 2022, WEEKNUM(Table9[[#This Row],[Date]])-13, WEEKNUM(Table9[[#This Row],[Date]])+40)</f>
        <v>22</v>
      </c>
      <c r="C150" s="255" t="s">
        <v>53</v>
      </c>
      <c r="D150" s="65" t="s">
        <v>59</v>
      </c>
      <c r="E150" s="269">
        <v>508</v>
      </c>
      <c r="F150" s="269">
        <v>303</v>
      </c>
      <c r="G150" s="282">
        <v>1.107883817427386</v>
      </c>
      <c r="H150" s="282">
        <v>0.46376811594202899</v>
      </c>
      <c r="I150" s="269">
        <v>10931</v>
      </c>
      <c r="J150" s="269">
        <v>8427</v>
      </c>
      <c r="K150" s="269">
        <v>55357</v>
      </c>
      <c r="L150" s="269">
        <v>48458</v>
      </c>
      <c r="M150" s="127">
        <v>0.16</v>
      </c>
      <c r="N150" s="127">
        <v>0.4</v>
      </c>
      <c r="O150" s="127">
        <v>0.7</v>
      </c>
      <c r="P150" s="127">
        <v>0.7</v>
      </c>
      <c r="Q150" s="283">
        <v>0.95</v>
      </c>
      <c r="R150" s="284">
        <v>0</v>
      </c>
      <c r="S150" s="284">
        <v>0</v>
      </c>
      <c r="T150" s="285">
        <v>0</v>
      </c>
      <c r="U150" s="127" t="str">
        <f t="shared" si="12"/>
        <v>Outlier</v>
      </c>
      <c r="V150" s="127" t="str">
        <f t="shared" si="13"/>
        <v>Outlier</v>
      </c>
      <c r="W150" s="87">
        <f t="shared" si="14"/>
        <v>1.107883817427386</v>
      </c>
      <c r="X150" s="87">
        <f t="shared" si="15"/>
        <v>0.46376811594202899</v>
      </c>
      <c r="Y150" s="272"/>
      <c r="Z150" s="272"/>
      <c r="AA150" s="272"/>
      <c r="AB150" s="272"/>
      <c r="AC150" s="272"/>
      <c r="AD150" s="272"/>
      <c r="AE150" s="272"/>
      <c r="AF150" s="272"/>
      <c r="AG150" s="272"/>
      <c r="AH150" s="272"/>
      <c r="AI150" s="272"/>
      <c r="AJ150" s="272"/>
      <c r="AK150" s="272"/>
    </row>
    <row r="151" spans="1:41">
      <c r="A151" s="281">
        <v>44801</v>
      </c>
      <c r="B151" s="314">
        <f>IF(YEAR(Table9[[#This Row],[Date]]) = 2022, WEEKNUM(Table9[[#This Row],[Date]])-13, WEEKNUM(Table9[[#This Row],[Date]])+40)</f>
        <v>23</v>
      </c>
      <c r="C151" s="255" t="s">
        <v>47</v>
      </c>
      <c r="D151" s="65" t="s">
        <v>59</v>
      </c>
      <c r="E151" s="269">
        <v>0</v>
      </c>
      <c r="F151" s="269">
        <v>0</v>
      </c>
      <c r="G151" s="282">
        <v>0</v>
      </c>
      <c r="H151" s="282">
        <v>0</v>
      </c>
      <c r="I151" s="269">
        <v>0</v>
      </c>
      <c r="J151" s="269">
        <v>0</v>
      </c>
      <c r="K151" s="269">
        <v>0</v>
      </c>
      <c r="L151" s="269">
        <v>0</v>
      </c>
      <c r="M151" s="127">
        <v>0</v>
      </c>
      <c r="N151" s="127">
        <v>0</v>
      </c>
      <c r="O151" s="127">
        <v>0</v>
      </c>
      <c r="P151" s="127">
        <v>0</v>
      </c>
      <c r="Q151" s="283">
        <v>0</v>
      </c>
      <c r="R151" s="284">
        <v>0</v>
      </c>
      <c r="S151" s="284">
        <v>0</v>
      </c>
      <c r="T151" s="285">
        <v>0</v>
      </c>
      <c r="U151" s="127" t="str">
        <f t="shared" si="12"/>
        <v>Normal</v>
      </c>
      <c r="V151" s="127" t="str">
        <f t="shared" si="13"/>
        <v>Normal</v>
      </c>
      <c r="W151" s="87">
        <f t="shared" si="14"/>
        <v>0</v>
      </c>
      <c r="X151" s="87">
        <f t="shared" si="15"/>
        <v>0</v>
      </c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72"/>
      <c r="AI151" s="272"/>
      <c r="AJ151" s="272"/>
      <c r="AK151" s="272"/>
    </row>
    <row r="152" spans="1:41">
      <c r="A152" s="281">
        <v>44802</v>
      </c>
      <c r="B152" s="314">
        <f>IF(YEAR(Table9[[#This Row],[Date]]) = 2022, WEEKNUM(Table9[[#This Row],[Date]])-13, WEEKNUM(Table9[[#This Row],[Date]])+40)</f>
        <v>23</v>
      </c>
      <c r="C152" s="255" t="s">
        <v>48</v>
      </c>
      <c r="D152" s="65" t="s">
        <v>59</v>
      </c>
      <c r="E152" s="269">
        <v>919</v>
      </c>
      <c r="F152" s="269">
        <v>391</v>
      </c>
      <c r="G152" s="282">
        <v>0.34948604992657856</v>
      </c>
      <c r="H152" s="282">
        <v>-0.26365348399246702</v>
      </c>
      <c r="I152" s="269">
        <v>11850</v>
      </c>
      <c r="J152" s="269">
        <v>8818</v>
      </c>
      <c r="K152" s="269">
        <v>56276</v>
      </c>
      <c r="L152" s="269">
        <v>48849</v>
      </c>
      <c r="M152" s="127">
        <v>0.04</v>
      </c>
      <c r="N152" s="127">
        <v>0.56999999999999995</v>
      </c>
      <c r="O152" s="127">
        <v>0.43</v>
      </c>
      <c r="P152" s="127">
        <v>0.67</v>
      </c>
      <c r="Q152" s="283">
        <v>0.99</v>
      </c>
      <c r="R152" s="284">
        <v>0</v>
      </c>
      <c r="S152" s="284">
        <v>0</v>
      </c>
      <c r="T152" s="296">
        <v>4</v>
      </c>
      <c r="U152" s="127" t="str">
        <f t="shared" si="12"/>
        <v>Normal</v>
      </c>
      <c r="V152" s="127" t="str">
        <f t="shared" si="13"/>
        <v>Normal</v>
      </c>
      <c r="W152" s="87">
        <f t="shared" si="14"/>
        <v>0.34948604992657856</v>
      </c>
      <c r="X152" s="87">
        <f t="shared" si="15"/>
        <v>-0.26365348399246702</v>
      </c>
      <c r="Y152" s="275"/>
      <c r="Z152" s="275"/>
      <c r="AA152" s="275"/>
      <c r="AB152" s="275"/>
      <c r="AC152" s="275"/>
      <c r="AD152" s="275"/>
      <c r="AE152" s="275"/>
      <c r="AF152" s="275"/>
      <c r="AG152" s="275"/>
      <c r="AH152" s="275"/>
      <c r="AI152" s="275"/>
      <c r="AJ152" s="275"/>
      <c r="AK152" s="275"/>
    </row>
    <row r="153" spans="1:41">
      <c r="A153" s="281">
        <v>44803</v>
      </c>
      <c r="B153" s="314">
        <f>IF(YEAR(Table9[[#This Row],[Date]]) = 2022, WEEKNUM(Table9[[#This Row],[Date]])-13, WEEKNUM(Table9[[#This Row],[Date]])+40)</f>
        <v>23</v>
      </c>
      <c r="C153" s="255" t="s">
        <v>49</v>
      </c>
      <c r="D153" s="65" t="s">
        <v>59</v>
      </c>
      <c r="E153" s="269">
        <v>801</v>
      </c>
      <c r="F153" s="269">
        <v>368</v>
      </c>
      <c r="G153" s="282">
        <v>0.21547799696509864</v>
      </c>
      <c r="H153" s="282">
        <v>-0.26546906187624753</v>
      </c>
      <c r="I153" s="269">
        <v>12651</v>
      </c>
      <c r="J153" s="269">
        <v>9186</v>
      </c>
      <c r="K153" s="269">
        <v>57077</v>
      </c>
      <c r="L153" s="269">
        <v>49217</v>
      </c>
      <c r="M153" s="127">
        <v>0.08</v>
      </c>
      <c r="N153" s="127">
        <v>0.54</v>
      </c>
      <c r="O153" s="127">
        <v>0.46</v>
      </c>
      <c r="P153" s="127">
        <v>0.79</v>
      </c>
      <c r="Q153" s="283">
        <v>0.98</v>
      </c>
      <c r="R153" s="284">
        <v>0</v>
      </c>
      <c r="S153" s="284">
        <v>0</v>
      </c>
      <c r="T153" s="296">
        <v>3</v>
      </c>
      <c r="U153" s="127" t="str">
        <f t="shared" si="12"/>
        <v>Normal</v>
      </c>
      <c r="V153" s="127" t="str">
        <f t="shared" si="13"/>
        <v>Normal</v>
      </c>
      <c r="W153" s="87">
        <f t="shared" si="14"/>
        <v>0.21547799696509864</v>
      </c>
      <c r="X153" s="87">
        <f t="shared" si="15"/>
        <v>-0.26546906187624753</v>
      </c>
      <c r="Y153" s="275"/>
      <c r="Z153" s="275"/>
      <c r="AA153" s="275"/>
      <c r="AB153" s="275"/>
      <c r="AC153" s="275"/>
      <c r="AD153" s="275"/>
      <c r="AE153" s="275"/>
      <c r="AF153" s="275"/>
      <c r="AG153" s="275"/>
      <c r="AH153" s="275"/>
      <c r="AI153" s="275"/>
      <c r="AJ153" s="275"/>
      <c r="AK153" s="275"/>
      <c r="AN153" s="330" t="s">
        <v>95</v>
      </c>
      <c r="AO153" s="330"/>
    </row>
    <row r="154" spans="1:41">
      <c r="A154" s="281">
        <v>44804</v>
      </c>
      <c r="B154" s="314">
        <f>IF(YEAR(Table9[[#This Row],[Date]]) = 2022, WEEKNUM(Table9[[#This Row],[Date]])-13, WEEKNUM(Table9[[#This Row],[Date]])+40)</f>
        <v>23</v>
      </c>
      <c r="C154" s="255" t="s">
        <v>50</v>
      </c>
      <c r="D154" s="65" t="s">
        <v>59</v>
      </c>
      <c r="E154" s="269">
        <v>744</v>
      </c>
      <c r="F154" s="269">
        <v>331</v>
      </c>
      <c r="G154" s="282">
        <v>0.28055077452667815</v>
      </c>
      <c r="H154" s="282">
        <v>-0.33131313131313134</v>
      </c>
      <c r="I154" s="269">
        <v>13395</v>
      </c>
      <c r="J154" s="269">
        <v>9517</v>
      </c>
      <c r="K154" s="269">
        <v>57821</v>
      </c>
      <c r="L154" s="269">
        <v>49548</v>
      </c>
      <c r="M154" s="127">
        <v>7.0000000000000007E-2</v>
      </c>
      <c r="N154" s="127">
        <v>0.46</v>
      </c>
      <c r="O154" s="127">
        <v>0.54</v>
      </c>
      <c r="P154" s="127">
        <v>0.85</v>
      </c>
      <c r="Q154" s="283">
        <v>0.98</v>
      </c>
      <c r="R154" s="284">
        <v>0</v>
      </c>
      <c r="S154" s="284">
        <v>0</v>
      </c>
      <c r="T154" s="296">
        <v>3</v>
      </c>
      <c r="U154" s="127" t="str">
        <f t="shared" si="12"/>
        <v>Normal</v>
      </c>
      <c r="V154" s="127" t="str">
        <f t="shared" si="13"/>
        <v>Outlier</v>
      </c>
      <c r="W154" s="87">
        <f t="shared" si="14"/>
        <v>0.28055077452667815</v>
      </c>
      <c r="X154" s="87">
        <f t="shared" si="15"/>
        <v>-0.33131313131313134</v>
      </c>
      <c r="Y154" s="275"/>
      <c r="Z154" s="275"/>
      <c r="AA154" s="275"/>
      <c r="AB154" s="275"/>
      <c r="AC154" s="275"/>
      <c r="AD154" s="275"/>
      <c r="AE154" s="275"/>
      <c r="AF154" s="275"/>
      <c r="AG154" s="275"/>
      <c r="AH154" s="275"/>
      <c r="AI154" s="275"/>
      <c r="AJ154" s="275"/>
      <c r="AK154" s="275"/>
      <c r="AN154" t="s">
        <v>96</v>
      </c>
      <c r="AO154" t="s">
        <v>97</v>
      </c>
    </row>
    <row r="155" spans="1:41">
      <c r="A155" s="281">
        <v>44805</v>
      </c>
      <c r="B155" s="314">
        <f>IF(YEAR(Table9[[#This Row],[Date]]) = 2022, WEEKNUM(Table9[[#This Row],[Date]])-13, WEEKNUM(Table9[[#This Row],[Date]])+40)</f>
        <v>23</v>
      </c>
      <c r="C155" s="255" t="s">
        <v>51</v>
      </c>
      <c r="D155" s="65" t="s">
        <v>59</v>
      </c>
      <c r="E155" s="269">
        <v>715</v>
      </c>
      <c r="F155" s="269">
        <v>292</v>
      </c>
      <c r="G155" s="282">
        <v>0.19365609348914858</v>
      </c>
      <c r="H155" s="282">
        <v>-0.40163934426229508</v>
      </c>
      <c r="I155" s="269">
        <v>715</v>
      </c>
      <c r="J155" s="269">
        <v>292</v>
      </c>
      <c r="K155" s="269">
        <v>58536</v>
      </c>
      <c r="L155" s="269">
        <v>49840</v>
      </c>
      <c r="M155" s="127">
        <v>0.04</v>
      </c>
      <c r="N155" s="127">
        <v>0.59</v>
      </c>
      <c r="O155" s="127">
        <v>0.41</v>
      </c>
      <c r="P155" s="127">
        <v>0.67</v>
      </c>
      <c r="Q155" s="283">
        <v>0.98</v>
      </c>
      <c r="R155" s="284">
        <v>0</v>
      </c>
      <c r="S155" s="284">
        <v>0</v>
      </c>
      <c r="T155" s="297">
        <v>3</v>
      </c>
      <c r="U155" s="127" t="str">
        <f t="shared" si="12"/>
        <v>Normal</v>
      </c>
      <c r="V155" s="127" t="str">
        <f t="shared" si="13"/>
        <v>Outlier</v>
      </c>
      <c r="W155" s="87">
        <f t="shared" si="14"/>
        <v>0.19365609348914858</v>
      </c>
      <c r="X155" s="87">
        <f t="shared" si="15"/>
        <v>-0.40163934426229508</v>
      </c>
      <c r="Y155" s="276"/>
      <c r="Z155" s="276"/>
      <c r="AA155" s="276"/>
      <c r="AB155" s="276"/>
      <c r="AC155" s="276"/>
      <c r="AD155" s="276"/>
      <c r="AE155" s="276"/>
      <c r="AF155" s="276"/>
      <c r="AG155" s="276"/>
      <c r="AH155" s="276"/>
      <c r="AI155" s="276"/>
      <c r="AJ155" s="276"/>
      <c r="AK155" s="276"/>
      <c r="AN155" t="s">
        <v>98</v>
      </c>
      <c r="AO155" s="163">
        <v>0</v>
      </c>
    </row>
    <row r="156" spans="1:41">
      <c r="A156" s="281">
        <v>44806</v>
      </c>
      <c r="B156" s="314">
        <f>IF(YEAR(Table9[[#This Row],[Date]]) = 2022, WEEKNUM(Table9[[#This Row],[Date]])-13, WEEKNUM(Table9[[#This Row],[Date]])+40)</f>
        <v>23</v>
      </c>
      <c r="C156" s="255" t="s">
        <v>52</v>
      </c>
      <c r="D156" s="65" t="s">
        <v>59</v>
      </c>
      <c r="E156" s="269">
        <v>659</v>
      </c>
      <c r="F156" s="269">
        <v>351</v>
      </c>
      <c r="G156" s="282">
        <v>-1.0510510510510511E-2</v>
      </c>
      <c r="H156" s="282">
        <v>-0.34514925373134331</v>
      </c>
      <c r="I156" s="269">
        <v>1374</v>
      </c>
      <c r="J156" s="269">
        <v>643</v>
      </c>
      <c r="K156" s="269">
        <v>59195</v>
      </c>
      <c r="L156" s="269">
        <v>50191</v>
      </c>
      <c r="M156" s="127">
        <v>0.13</v>
      </c>
      <c r="N156" s="127">
        <v>0.47</v>
      </c>
      <c r="O156" s="127">
        <v>0.53</v>
      </c>
      <c r="P156" s="127">
        <v>0.81</v>
      </c>
      <c r="Q156" s="283">
        <v>0.97</v>
      </c>
      <c r="R156" s="284">
        <v>0</v>
      </c>
      <c r="S156" s="284">
        <v>0</v>
      </c>
      <c r="T156" s="297">
        <v>3</v>
      </c>
      <c r="U156" s="127" t="str">
        <f t="shared" si="12"/>
        <v>Normal</v>
      </c>
      <c r="V156" s="127" t="str">
        <f t="shared" si="13"/>
        <v>Outlier</v>
      </c>
      <c r="W156" s="87">
        <f t="shared" si="14"/>
        <v>-1.0510510510510511E-2</v>
      </c>
      <c r="X156" s="87">
        <f t="shared" si="15"/>
        <v>-0.34514925373134331</v>
      </c>
      <c r="Y156" s="276"/>
      <c r="Z156" s="276"/>
      <c r="AA156" s="276"/>
      <c r="AB156" s="276"/>
      <c r="AC156" s="276"/>
      <c r="AD156" s="276"/>
      <c r="AE156" s="276"/>
      <c r="AF156" s="276"/>
      <c r="AG156" s="276"/>
      <c r="AH156" s="276"/>
      <c r="AI156" s="276"/>
      <c r="AJ156" s="276"/>
      <c r="AK156" s="276"/>
      <c r="AN156" t="s">
        <v>99</v>
      </c>
      <c r="AO156" s="163">
        <v>0.10416666666666667</v>
      </c>
    </row>
    <row r="157" spans="1:41">
      <c r="A157" s="281">
        <v>44807</v>
      </c>
      <c r="B157" s="314">
        <f>IF(YEAR(Table9[[#This Row],[Date]]) = 2022, WEEKNUM(Table9[[#This Row],[Date]])-13, WEEKNUM(Table9[[#This Row],[Date]])+40)</f>
        <v>23</v>
      </c>
      <c r="C157" s="255" t="s">
        <v>53</v>
      </c>
      <c r="D157" s="65" t="s">
        <v>59</v>
      </c>
      <c r="E157" s="269">
        <v>334</v>
      </c>
      <c r="F157" s="269">
        <v>281</v>
      </c>
      <c r="G157" s="282">
        <v>-0.34251968503937008</v>
      </c>
      <c r="H157" s="282">
        <v>-7.2607260726072612E-2</v>
      </c>
      <c r="I157" s="269">
        <v>1708</v>
      </c>
      <c r="J157" s="269">
        <v>924</v>
      </c>
      <c r="K157" s="269">
        <v>59529</v>
      </c>
      <c r="L157" s="269">
        <v>50472</v>
      </c>
      <c r="M157" s="127">
        <v>0.56999999999999995</v>
      </c>
      <c r="N157" s="127">
        <v>0.16</v>
      </c>
      <c r="O157" s="127">
        <v>0.84</v>
      </c>
      <c r="P157" s="127">
        <v>0.64</v>
      </c>
      <c r="Q157" s="283">
        <v>0.97</v>
      </c>
      <c r="R157" s="284">
        <v>0</v>
      </c>
      <c r="S157" s="284">
        <v>0</v>
      </c>
      <c r="T157" s="297">
        <v>4</v>
      </c>
      <c r="U157" s="127" t="str">
        <f t="shared" si="12"/>
        <v>Normal</v>
      </c>
      <c r="V157" s="127" t="str">
        <f t="shared" si="13"/>
        <v>Normal</v>
      </c>
      <c r="W157" s="87">
        <f t="shared" si="14"/>
        <v>-0.34251968503937008</v>
      </c>
      <c r="X157" s="87">
        <f t="shared" si="15"/>
        <v>-7.2607260726072612E-2</v>
      </c>
      <c r="Y157" s="276"/>
      <c r="Z157" s="276"/>
      <c r="AA157" s="276"/>
      <c r="AB157" s="276"/>
      <c r="AC157" s="276"/>
      <c r="AD157" s="276"/>
      <c r="AE157" s="276"/>
      <c r="AF157" s="276"/>
      <c r="AG157" s="276"/>
      <c r="AH157" s="276"/>
      <c r="AI157" s="276"/>
      <c r="AJ157" s="276"/>
      <c r="AK157" s="276"/>
      <c r="AN157" t="s">
        <v>100</v>
      </c>
      <c r="AO157" s="163">
        <v>0.10416666666666667</v>
      </c>
    </row>
    <row r="158" spans="1:41">
      <c r="A158" s="281">
        <v>44808</v>
      </c>
      <c r="B158" s="314">
        <f>IF(YEAR(Table9[[#This Row],[Date]]) = 2022, WEEKNUM(Table9[[#This Row],[Date]])-13, WEEKNUM(Table9[[#This Row],[Date]])+40)</f>
        <v>24</v>
      </c>
      <c r="C158" s="255" t="s">
        <v>47</v>
      </c>
      <c r="D158" s="65" t="s">
        <v>59</v>
      </c>
      <c r="E158" s="269">
        <v>0</v>
      </c>
      <c r="F158" s="269">
        <v>0</v>
      </c>
      <c r="G158" s="282">
        <v>0</v>
      </c>
      <c r="H158" s="282">
        <v>0</v>
      </c>
      <c r="I158" s="269">
        <v>0</v>
      </c>
      <c r="J158" s="269">
        <v>0</v>
      </c>
      <c r="K158" s="269">
        <v>0</v>
      </c>
      <c r="L158" s="269">
        <v>0</v>
      </c>
      <c r="M158" s="127">
        <v>0</v>
      </c>
      <c r="N158" s="127">
        <v>0</v>
      </c>
      <c r="O158" s="127">
        <v>0</v>
      </c>
      <c r="P158" s="127">
        <v>0</v>
      </c>
      <c r="Q158" s="283">
        <v>0</v>
      </c>
      <c r="R158" s="284">
        <v>0</v>
      </c>
      <c r="S158" s="284">
        <v>0</v>
      </c>
      <c r="T158" s="297">
        <v>0</v>
      </c>
      <c r="U158" s="127" t="str">
        <f t="shared" si="12"/>
        <v>Normal</v>
      </c>
      <c r="V158" s="127" t="str">
        <f t="shared" si="13"/>
        <v>Normal</v>
      </c>
      <c r="W158" s="87">
        <f t="shared" si="14"/>
        <v>0</v>
      </c>
      <c r="X158" s="87">
        <f t="shared" si="15"/>
        <v>0</v>
      </c>
      <c r="Y158" s="276"/>
      <c r="Z158" s="276"/>
      <c r="AA158" s="276"/>
      <c r="AB158" s="276"/>
      <c r="AC158" s="276"/>
      <c r="AD158" s="276"/>
      <c r="AE158" s="276"/>
      <c r="AF158" s="276"/>
      <c r="AG158" s="276"/>
      <c r="AH158" s="276"/>
      <c r="AI158" s="276"/>
      <c r="AJ158" s="276"/>
      <c r="AK158" s="276"/>
      <c r="AN158" t="s">
        <v>101</v>
      </c>
      <c r="AO158" s="163">
        <v>0.20833333333333334</v>
      </c>
    </row>
    <row r="159" spans="1:41">
      <c r="A159" s="281">
        <v>44809</v>
      </c>
      <c r="B159" s="314">
        <f>IF(YEAR(Table9[[#This Row],[Date]]) = 2022, WEEKNUM(Table9[[#This Row],[Date]])-13, WEEKNUM(Table9[[#This Row],[Date]])+40)</f>
        <v>24</v>
      </c>
      <c r="C159" s="255" t="s">
        <v>48</v>
      </c>
      <c r="D159" s="65" t="s">
        <v>59</v>
      </c>
      <c r="E159" s="269">
        <v>774</v>
      </c>
      <c r="F159" s="269">
        <v>502</v>
      </c>
      <c r="G159" s="282">
        <v>-0.15778019586507072</v>
      </c>
      <c r="H159" s="282">
        <v>0.28388746803069054</v>
      </c>
      <c r="I159" s="269">
        <v>2482</v>
      </c>
      <c r="J159" s="269">
        <v>1426</v>
      </c>
      <c r="K159" s="269">
        <v>60303</v>
      </c>
      <c r="L159" s="269">
        <v>50974</v>
      </c>
      <c r="M159" s="127">
        <v>0.22</v>
      </c>
      <c r="N159" s="127">
        <v>0.35</v>
      </c>
      <c r="O159" s="127">
        <v>0.65</v>
      </c>
      <c r="P159" s="127">
        <v>0.69</v>
      </c>
      <c r="Q159" s="283">
        <v>0.91</v>
      </c>
      <c r="R159" s="284">
        <v>0</v>
      </c>
      <c r="S159" s="284">
        <v>0</v>
      </c>
      <c r="T159" s="297">
        <v>5</v>
      </c>
      <c r="U159" s="127" t="str">
        <f t="shared" si="12"/>
        <v>Normal</v>
      </c>
      <c r="V159" s="127" t="str">
        <f t="shared" si="13"/>
        <v>Normal</v>
      </c>
      <c r="W159" s="87">
        <f t="shared" si="14"/>
        <v>-0.15778019586507072</v>
      </c>
      <c r="X159" s="87">
        <f t="shared" si="15"/>
        <v>0.28388746803069054</v>
      </c>
      <c r="Y159" s="276"/>
      <c r="Z159" s="276"/>
      <c r="AA159" s="276"/>
      <c r="AB159" s="276"/>
      <c r="AC159" s="276"/>
      <c r="AD159" s="276"/>
      <c r="AE159" s="276"/>
      <c r="AF159" s="276"/>
      <c r="AG159" s="276"/>
      <c r="AH159" s="276"/>
      <c r="AI159" s="276"/>
      <c r="AJ159" s="276"/>
      <c r="AK159" s="276"/>
      <c r="AN159" t="s">
        <v>97</v>
      </c>
      <c r="AO159" s="163" cm="1">
        <f t="array" ref="AO159">AVERAGEIF(chart_ATT_BAR, "&lt;&gt;0")</f>
        <v>162.55555555555554</v>
      </c>
    </row>
    <row r="160" spans="1:41">
      <c r="A160" s="281">
        <v>44810</v>
      </c>
      <c r="B160" s="314">
        <f>IF(YEAR(Table9[[#This Row],[Date]]) = 2022, WEEKNUM(Table9[[#This Row],[Date]])-13, WEEKNUM(Table9[[#This Row],[Date]])+40)</f>
        <v>24</v>
      </c>
      <c r="C160" s="255" t="s">
        <v>49</v>
      </c>
      <c r="D160" s="65" t="s">
        <v>59</v>
      </c>
      <c r="E160" s="269">
        <v>692</v>
      </c>
      <c r="F160" s="269">
        <v>342</v>
      </c>
      <c r="G160" s="282">
        <v>-0.13607990012484394</v>
      </c>
      <c r="H160" s="282">
        <v>-7.0652173913043473E-2</v>
      </c>
      <c r="I160" s="269">
        <v>3174</v>
      </c>
      <c r="J160" s="269">
        <v>1768</v>
      </c>
      <c r="K160" s="269">
        <v>60995</v>
      </c>
      <c r="L160" s="269">
        <v>51316</v>
      </c>
      <c r="M160" s="127">
        <v>0.1</v>
      </c>
      <c r="N160" s="127">
        <v>0.51</v>
      </c>
      <c r="O160" s="127">
        <v>0.49</v>
      </c>
      <c r="P160" s="127">
        <v>0.79</v>
      </c>
      <c r="Q160" s="283">
        <v>1</v>
      </c>
      <c r="R160" s="284">
        <v>0</v>
      </c>
      <c r="S160" s="284">
        <v>0</v>
      </c>
      <c r="T160" s="297">
        <v>3</v>
      </c>
      <c r="U160" s="127" t="str">
        <f t="shared" si="12"/>
        <v>Normal</v>
      </c>
      <c r="V160" s="127" t="str">
        <f t="shared" si="13"/>
        <v>Normal</v>
      </c>
      <c r="W160" s="87">
        <f t="shared" si="14"/>
        <v>-0.13607990012484394</v>
      </c>
      <c r="X160" s="87">
        <f t="shared" si="15"/>
        <v>-7.0652173913043473E-2</v>
      </c>
      <c r="Y160" s="276"/>
      <c r="Z160" s="276"/>
      <c r="AA160" s="276"/>
      <c r="AB160" s="276"/>
      <c r="AC160" s="276"/>
      <c r="AD160" s="276"/>
      <c r="AE160" s="276"/>
      <c r="AF160" s="276"/>
      <c r="AG160" s="276"/>
      <c r="AH160" s="276"/>
      <c r="AI160" s="276"/>
      <c r="AJ160" s="276"/>
      <c r="AK160" s="276"/>
    </row>
    <row r="161" spans="1:40">
      <c r="A161" s="281">
        <v>44811</v>
      </c>
      <c r="B161" s="314">
        <f>IF(YEAR(Table9[[#This Row],[Date]]) = 2022, WEEKNUM(Table9[[#This Row],[Date]])-13, WEEKNUM(Table9[[#This Row],[Date]])+40)</f>
        <v>24</v>
      </c>
      <c r="C161" s="255" t="s">
        <v>50</v>
      </c>
      <c r="D161" s="65" t="s">
        <v>59</v>
      </c>
      <c r="E161" s="269">
        <v>847</v>
      </c>
      <c r="F161" s="269">
        <v>293</v>
      </c>
      <c r="G161" s="282">
        <v>0.13844086021505375</v>
      </c>
      <c r="H161" s="282">
        <v>-0.11480362537764351</v>
      </c>
      <c r="I161" s="269">
        <v>4021</v>
      </c>
      <c r="J161" s="269">
        <v>2061</v>
      </c>
      <c r="K161" s="269">
        <v>61842</v>
      </c>
      <c r="L161" s="269">
        <v>51609</v>
      </c>
      <c r="M161" s="127">
        <v>0.04</v>
      </c>
      <c r="N161" s="127">
        <v>0.65</v>
      </c>
      <c r="O161" s="127">
        <v>0.35</v>
      </c>
      <c r="P161" s="127">
        <v>0.67</v>
      </c>
      <c r="Q161" s="283">
        <v>0.99</v>
      </c>
      <c r="R161" s="284">
        <v>0</v>
      </c>
      <c r="S161" s="284">
        <v>0</v>
      </c>
      <c r="T161" s="297">
        <v>3</v>
      </c>
      <c r="U161" s="127" t="str">
        <f t="shared" si="12"/>
        <v>Normal</v>
      </c>
      <c r="V161" s="127" t="str">
        <f t="shared" si="13"/>
        <v>Normal</v>
      </c>
      <c r="W161" s="87">
        <f t="shared" si="14"/>
        <v>0.13844086021505375</v>
      </c>
      <c r="X161" s="87">
        <f t="shared" si="15"/>
        <v>-0.11480362537764351</v>
      </c>
      <c r="Y161" s="276"/>
      <c r="Z161" s="276"/>
      <c r="AA161" s="276"/>
      <c r="AB161" s="276"/>
      <c r="AC161" s="276"/>
      <c r="AD161" s="276"/>
      <c r="AE161" s="276"/>
      <c r="AF161" s="276"/>
      <c r="AG161" s="276"/>
      <c r="AH161" s="276"/>
      <c r="AI161" s="276"/>
      <c r="AJ161" s="276"/>
      <c r="AK161" s="276"/>
    </row>
    <row r="162" spans="1:40">
      <c r="A162" s="281">
        <v>44812</v>
      </c>
      <c r="B162" s="314">
        <f>IF(YEAR(Table9[[#This Row],[Date]]) = 2022, WEEKNUM(Table9[[#This Row],[Date]])-13, WEEKNUM(Table9[[#This Row],[Date]])+40)</f>
        <v>24</v>
      </c>
      <c r="C162" s="255" t="s">
        <v>51</v>
      </c>
      <c r="D162" s="65" t="s">
        <v>59</v>
      </c>
      <c r="E162" s="269">
        <v>595</v>
      </c>
      <c r="F162" s="269">
        <v>387</v>
      </c>
      <c r="G162" s="282">
        <v>-0.16783216783216784</v>
      </c>
      <c r="H162" s="282">
        <v>0.32534246575342468</v>
      </c>
      <c r="I162" s="269">
        <v>4616</v>
      </c>
      <c r="J162" s="269">
        <v>2448</v>
      </c>
      <c r="K162" s="269">
        <v>62437</v>
      </c>
      <c r="L162" s="269">
        <v>51996</v>
      </c>
      <c r="M162" s="127">
        <v>0.22</v>
      </c>
      <c r="N162" s="127">
        <v>0.35</v>
      </c>
      <c r="O162" s="127">
        <v>0.65</v>
      </c>
      <c r="P162" s="127">
        <v>0.88</v>
      </c>
      <c r="Q162" s="283">
        <v>0.99</v>
      </c>
      <c r="R162" s="284">
        <v>0</v>
      </c>
      <c r="S162" s="284">
        <v>0</v>
      </c>
      <c r="T162" s="297">
        <v>4</v>
      </c>
      <c r="U162" s="127" t="str">
        <f t="shared" si="12"/>
        <v>Normal</v>
      </c>
      <c r="V162" s="127" t="str">
        <f t="shared" si="13"/>
        <v>Outlier</v>
      </c>
      <c r="W162" s="87">
        <f t="shared" si="14"/>
        <v>-0.16783216783216784</v>
      </c>
      <c r="X162" s="87">
        <f t="shared" si="15"/>
        <v>0.32534246575342468</v>
      </c>
      <c r="Y162" s="276"/>
      <c r="Z162" s="276"/>
      <c r="AA162" s="276"/>
      <c r="AB162" s="276"/>
      <c r="AC162" s="276"/>
      <c r="AD162" s="276"/>
      <c r="AE162" s="276"/>
      <c r="AF162" s="276"/>
      <c r="AG162" s="276"/>
      <c r="AH162" s="276"/>
      <c r="AI162" s="276"/>
      <c r="AJ162" s="276"/>
      <c r="AK162" s="276"/>
    </row>
    <row r="163" spans="1:40">
      <c r="A163" s="281">
        <v>44813</v>
      </c>
      <c r="B163" s="314">
        <f>IF(YEAR(Table9[[#This Row],[Date]]) = 2022, WEEKNUM(Table9[[#This Row],[Date]])-13, WEEKNUM(Table9[[#This Row],[Date]])+40)</f>
        <v>24</v>
      </c>
      <c r="C163" s="255" t="s">
        <v>52</v>
      </c>
      <c r="D163" s="65" t="s">
        <v>59</v>
      </c>
      <c r="E163" s="269">
        <v>602</v>
      </c>
      <c r="F163" s="269">
        <v>392</v>
      </c>
      <c r="G163" s="282">
        <v>-8.6494688922610016E-2</v>
      </c>
      <c r="H163" s="282">
        <v>0.11680911680911681</v>
      </c>
      <c r="I163" s="269">
        <v>5218</v>
      </c>
      <c r="J163" s="269">
        <v>2840</v>
      </c>
      <c r="K163" s="269">
        <v>63039</v>
      </c>
      <c r="L163" s="269">
        <v>52388</v>
      </c>
      <c r="M163" s="127">
        <v>0.24</v>
      </c>
      <c r="N163" s="127">
        <v>0.5</v>
      </c>
      <c r="O163" s="127">
        <v>0.5</v>
      </c>
      <c r="P163" s="127">
        <v>0.9</v>
      </c>
      <c r="Q163" s="283">
        <v>1</v>
      </c>
      <c r="R163" s="284">
        <v>0</v>
      </c>
      <c r="S163" s="284">
        <v>0</v>
      </c>
      <c r="T163" s="297">
        <v>3</v>
      </c>
      <c r="U163" s="127" t="str">
        <f t="shared" si="12"/>
        <v>Normal</v>
      </c>
      <c r="V163" s="127" t="str">
        <f t="shared" si="13"/>
        <v>Normal</v>
      </c>
      <c r="W163" s="87">
        <f t="shared" si="14"/>
        <v>-8.6494688922610016E-2</v>
      </c>
      <c r="X163" s="87">
        <f t="shared" si="15"/>
        <v>0.11680911680911681</v>
      </c>
      <c r="Y163" s="276"/>
      <c r="Z163" s="276"/>
      <c r="AA163" s="276"/>
      <c r="AB163" s="276"/>
      <c r="AC163" s="276"/>
      <c r="AD163" s="276"/>
      <c r="AE163" s="276"/>
      <c r="AF163" s="276"/>
      <c r="AG163" s="276"/>
      <c r="AH163" s="276"/>
      <c r="AI163" s="276"/>
      <c r="AJ163" s="276"/>
      <c r="AK163" s="276"/>
    </row>
    <row r="164" spans="1:40">
      <c r="A164" s="281">
        <v>44814</v>
      </c>
      <c r="B164" s="314">
        <f>IF(YEAR(Table9[[#This Row],[Date]]) = 2022, WEEKNUM(Table9[[#This Row],[Date]])-13, WEEKNUM(Table9[[#This Row],[Date]])+40)</f>
        <v>24</v>
      </c>
      <c r="C164" s="255" t="s">
        <v>53</v>
      </c>
      <c r="D164" s="65" t="s">
        <v>59</v>
      </c>
      <c r="E164" s="269">
        <v>277</v>
      </c>
      <c r="F164" s="269">
        <v>242</v>
      </c>
      <c r="G164" s="282">
        <v>-0.17065868263473055</v>
      </c>
      <c r="H164" s="282">
        <v>-0.13879003558718861</v>
      </c>
      <c r="I164" s="269">
        <v>5495</v>
      </c>
      <c r="J164" s="269">
        <v>3082</v>
      </c>
      <c r="K164" s="269">
        <v>63316</v>
      </c>
      <c r="L164" s="269">
        <v>52630</v>
      </c>
      <c r="M164" s="127">
        <v>0.64</v>
      </c>
      <c r="N164" s="127">
        <v>0.13</v>
      </c>
      <c r="O164" s="127">
        <v>0.87</v>
      </c>
      <c r="P164" s="127">
        <v>0.42</v>
      </c>
      <c r="Q164" s="283">
        <v>1</v>
      </c>
      <c r="R164" s="284">
        <v>0</v>
      </c>
      <c r="S164" s="284">
        <v>0</v>
      </c>
      <c r="T164" s="297">
        <v>4</v>
      </c>
      <c r="U164" s="127" t="str">
        <f t="shared" si="12"/>
        <v>Normal</v>
      </c>
      <c r="V164" s="127" t="str">
        <f t="shared" si="13"/>
        <v>Normal</v>
      </c>
      <c r="W164" s="87">
        <f t="shared" si="14"/>
        <v>-0.17065868263473055</v>
      </c>
      <c r="X164" s="87">
        <f t="shared" si="15"/>
        <v>-0.13879003558718861</v>
      </c>
      <c r="Y164" s="276"/>
      <c r="Z164" s="276"/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6"/>
      <c r="AN164" t="s">
        <v>71</v>
      </c>
    </row>
    <row r="165" spans="1:40">
      <c r="A165" s="281">
        <v>44815</v>
      </c>
      <c r="B165" s="314">
        <f>IF(YEAR(Table9[[#This Row],[Date]]) = 2022, WEEKNUM(Table9[[#This Row],[Date]])-13, WEEKNUM(Table9[[#This Row],[Date]])+40)</f>
        <v>25</v>
      </c>
      <c r="C165" s="255" t="s">
        <v>47</v>
      </c>
      <c r="D165" s="65" t="s">
        <v>59</v>
      </c>
      <c r="E165" s="269">
        <v>0</v>
      </c>
      <c r="F165" s="269">
        <v>0</v>
      </c>
      <c r="G165" s="282">
        <v>0</v>
      </c>
      <c r="H165" s="282">
        <v>0</v>
      </c>
      <c r="I165" s="269">
        <v>0</v>
      </c>
      <c r="J165" s="269">
        <v>0</v>
      </c>
      <c r="K165" s="269">
        <v>0</v>
      </c>
      <c r="L165" s="269">
        <v>0</v>
      </c>
      <c r="M165" s="127">
        <v>0</v>
      </c>
      <c r="N165" s="127">
        <v>0</v>
      </c>
      <c r="O165" s="127">
        <v>0</v>
      </c>
      <c r="P165" s="127">
        <v>0</v>
      </c>
      <c r="Q165" s="283">
        <v>0</v>
      </c>
      <c r="R165" s="284">
        <v>0</v>
      </c>
      <c r="S165" s="284">
        <v>0</v>
      </c>
      <c r="T165" s="297">
        <v>0</v>
      </c>
      <c r="U165" s="127" t="str">
        <f t="shared" si="12"/>
        <v>Normal</v>
      </c>
      <c r="V165" s="127" t="str">
        <f t="shared" si="13"/>
        <v>Normal</v>
      </c>
      <c r="W165" s="87">
        <f t="shared" si="14"/>
        <v>0</v>
      </c>
      <c r="X165" s="87">
        <f t="shared" si="15"/>
        <v>0</v>
      </c>
      <c r="Y165" s="276"/>
      <c r="Z165" s="276"/>
      <c r="AA165" s="276"/>
      <c r="AB165" s="276"/>
      <c r="AC165" s="276"/>
      <c r="AD165" s="276"/>
      <c r="AE165" s="276"/>
      <c r="AF165" s="276"/>
      <c r="AG165" s="276"/>
      <c r="AH165" s="276"/>
      <c r="AI165" s="276"/>
      <c r="AJ165" s="276"/>
      <c r="AK165" s="276"/>
    </row>
    <row r="166" spans="1:40">
      <c r="A166" s="281">
        <v>44816</v>
      </c>
      <c r="B166" s="314">
        <f>IF(YEAR(Table9[[#This Row],[Date]]) = 2022, WEEKNUM(Table9[[#This Row],[Date]])-13, WEEKNUM(Table9[[#This Row],[Date]])+40)</f>
        <v>25</v>
      </c>
      <c r="C166" s="255" t="s">
        <v>48</v>
      </c>
      <c r="D166" s="65" t="s">
        <v>59</v>
      </c>
      <c r="E166" s="269">
        <v>648</v>
      </c>
      <c r="F166" s="269">
        <v>410</v>
      </c>
      <c r="G166" s="282">
        <v>-0.16279069767441862</v>
      </c>
      <c r="H166" s="282">
        <v>-0.18326693227091634</v>
      </c>
      <c r="I166" s="269">
        <v>6143</v>
      </c>
      <c r="J166" s="269">
        <v>3492</v>
      </c>
      <c r="K166" s="269">
        <v>63964</v>
      </c>
      <c r="L166" s="269">
        <v>53040</v>
      </c>
      <c r="M166" s="127">
        <v>0.25</v>
      </c>
      <c r="N166" s="127">
        <v>0.37</v>
      </c>
      <c r="O166" s="127">
        <v>0.63</v>
      </c>
      <c r="P166" s="127">
        <v>0.71</v>
      </c>
      <c r="Q166" s="283">
        <v>0.97</v>
      </c>
      <c r="R166" s="284">
        <v>0</v>
      </c>
      <c r="S166" s="284">
        <v>0</v>
      </c>
      <c r="T166" s="298">
        <v>4</v>
      </c>
      <c r="U166" s="127" t="str">
        <f t="shared" si="12"/>
        <v>Normal</v>
      </c>
      <c r="V166" s="127" t="str">
        <f t="shared" si="13"/>
        <v>Normal</v>
      </c>
      <c r="W166" s="87">
        <f t="shared" si="14"/>
        <v>-0.16279069767441862</v>
      </c>
      <c r="X166" s="87">
        <f t="shared" si="15"/>
        <v>-0.18326693227091634</v>
      </c>
      <c r="Y166" s="277"/>
      <c r="Z166" s="277"/>
      <c r="AA166" s="277"/>
      <c r="AB166" s="277"/>
      <c r="AC166" s="277"/>
      <c r="AD166" s="277"/>
      <c r="AE166" s="277"/>
      <c r="AF166" s="277"/>
      <c r="AG166" s="277"/>
      <c r="AH166" s="277"/>
      <c r="AI166" s="277"/>
      <c r="AJ166" s="277"/>
      <c r="AK166" s="277"/>
    </row>
    <row r="167" spans="1:40">
      <c r="A167" s="281">
        <v>44817</v>
      </c>
      <c r="B167" s="314">
        <f>IF(YEAR(Table9[[#This Row],[Date]]) = 2022, WEEKNUM(Table9[[#This Row],[Date]])-13, WEEKNUM(Table9[[#This Row],[Date]])+40)</f>
        <v>25</v>
      </c>
      <c r="C167" s="255" t="s">
        <v>49</v>
      </c>
      <c r="D167" s="65" t="s">
        <v>59</v>
      </c>
      <c r="E167" s="269">
        <v>516</v>
      </c>
      <c r="F167" s="269">
        <v>367</v>
      </c>
      <c r="G167" s="282">
        <v>-0.25433526011560692</v>
      </c>
      <c r="H167" s="282">
        <v>7.3099415204678359E-2</v>
      </c>
      <c r="I167" s="269">
        <v>6659</v>
      </c>
      <c r="J167" s="269">
        <v>3859</v>
      </c>
      <c r="K167" s="269">
        <v>64480</v>
      </c>
      <c r="L167" s="269">
        <v>53407</v>
      </c>
      <c r="M167" s="127">
        <v>0.34</v>
      </c>
      <c r="N167" s="127">
        <v>0.28999999999999998</v>
      </c>
      <c r="O167" s="127">
        <v>0.71</v>
      </c>
      <c r="P167" s="127">
        <v>0.63</v>
      </c>
      <c r="Q167" s="283">
        <v>0.99</v>
      </c>
      <c r="R167" s="284">
        <v>0</v>
      </c>
      <c r="S167" s="284">
        <v>0</v>
      </c>
      <c r="T167" s="298">
        <v>4</v>
      </c>
      <c r="U167" s="127" t="str">
        <f t="shared" si="12"/>
        <v>Normal</v>
      </c>
      <c r="V167" s="127" t="str">
        <f t="shared" si="13"/>
        <v>Normal</v>
      </c>
      <c r="W167" s="87">
        <f t="shared" si="14"/>
        <v>-0.25433526011560692</v>
      </c>
      <c r="X167" s="87">
        <f t="shared" si="15"/>
        <v>7.3099415204678359E-2</v>
      </c>
      <c r="Y167" s="277"/>
      <c r="Z167" s="277"/>
      <c r="AA167" s="277"/>
      <c r="AB167" s="277"/>
      <c r="AC167" s="277"/>
      <c r="AD167" s="277"/>
      <c r="AE167" s="277"/>
      <c r="AF167" s="277"/>
      <c r="AG167" s="277"/>
      <c r="AH167" s="277"/>
      <c r="AI167" s="277"/>
      <c r="AJ167" s="277"/>
      <c r="AK167" s="277"/>
    </row>
    <row r="168" spans="1:40">
      <c r="A168" s="281">
        <v>44818</v>
      </c>
      <c r="B168" s="314">
        <f>IF(YEAR(Table9[[#This Row],[Date]]) = 2022, WEEKNUM(Table9[[#This Row],[Date]])-13, WEEKNUM(Table9[[#This Row],[Date]])+40)</f>
        <v>25</v>
      </c>
      <c r="C168" s="255" t="s">
        <v>50</v>
      </c>
      <c r="D168" s="65" t="s">
        <v>59</v>
      </c>
      <c r="E168" s="269">
        <v>548</v>
      </c>
      <c r="F168" s="269">
        <v>401</v>
      </c>
      <c r="G168" s="282">
        <v>-0.35301062573789849</v>
      </c>
      <c r="H168" s="282">
        <v>0.36860068259385664</v>
      </c>
      <c r="I168" s="269">
        <v>7207</v>
      </c>
      <c r="J168" s="269">
        <v>4260</v>
      </c>
      <c r="K168" s="269">
        <v>65028</v>
      </c>
      <c r="L168" s="269">
        <v>53808</v>
      </c>
      <c r="M168" s="127">
        <v>0.38</v>
      </c>
      <c r="N168" s="127">
        <v>0.27</v>
      </c>
      <c r="O168" s="127">
        <v>0.73</v>
      </c>
      <c r="P168" s="127">
        <v>0.69</v>
      </c>
      <c r="Q168" s="283">
        <v>0.98</v>
      </c>
      <c r="R168" s="284">
        <v>0</v>
      </c>
      <c r="S168" s="284">
        <v>0</v>
      </c>
      <c r="T168" s="298">
        <v>4</v>
      </c>
      <c r="U168" s="127" t="str">
        <f t="shared" si="12"/>
        <v>Normal</v>
      </c>
      <c r="V168" s="127" t="str">
        <f t="shared" si="13"/>
        <v>Outlier</v>
      </c>
      <c r="W168" s="87">
        <f t="shared" si="14"/>
        <v>-0.35301062573789849</v>
      </c>
      <c r="X168" s="87">
        <f t="shared" si="15"/>
        <v>0.36860068259385664</v>
      </c>
      <c r="Y168" s="277"/>
      <c r="Z168" s="277"/>
      <c r="AA168" s="277"/>
      <c r="AB168" s="277"/>
      <c r="AC168" s="277"/>
      <c r="AD168" s="277"/>
      <c r="AE168" s="277"/>
      <c r="AF168" s="277"/>
      <c r="AG168" s="277"/>
      <c r="AH168" s="277"/>
      <c r="AI168" s="277"/>
      <c r="AJ168" s="277"/>
      <c r="AK168" s="277"/>
    </row>
    <row r="169" spans="1:40">
      <c r="A169" s="281">
        <v>44819</v>
      </c>
      <c r="B169" s="314">
        <f>IF(YEAR(Table9[[#This Row],[Date]]) = 2022, WEEKNUM(Table9[[#This Row],[Date]])-13, WEEKNUM(Table9[[#This Row],[Date]])+40)</f>
        <v>25</v>
      </c>
      <c r="C169" s="255" t="s">
        <v>51</v>
      </c>
      <c r="D169" s="65" t="s">
        <v>59</v>
      </c>
      <c r="E169" s="269">
        <v>629</v>
      </c>
      <c r="F169" s="269">
        <v>356</v>
      </c>
      <c r="G169" s="282">
        <v>5.7142857142857141E-2</v>
      </c>
      <c r="H169" s="282">
        <v>-8.0103359173126609E-2</v>
      </c>
      <c r="I169" s="269">
        <v>7836</v>
      </c>
      <c r="J169" s="269">
        <v>4616</v>
      </c>
      <c r="K169" s="269">
        <v>65657</v>
      </c>
      <c r="L169" s="269">
        <v>54164</v>
      </c>
      <c r="M169" s="127">
        <v>0.22</v>
      </c>
      <c r="N169" s="127">
        <v>0.43</v>
      </c>
      <c r="O169" s="127">
        <v>0.57000000000000006</v>
      </c>
      <c r="P169" s="127">
        <v>0.61</v>
      </c>
      <c r="Q169" s="283">
        <v>0.98</v>
      </c>
      <c r="R169" s="284">
        <v>0</v>
      </c>
      <c r="S169" s="284">
        <v>0</v>
      </c>
      <c r="T169" s="298">
        <v>4</v>
      </c>
      <c r="U169" s="127" t="str">
        <f t="shared" si="12"/>
        <v>Normal</v>
      </c>
      <c r="V169" s="127" t="str">
        <f t="shared" si="13"/>
        <v>Normal</v>
      </c>
      <c r="W169" s="87">
        <f t="shared" si="14"/>
        <v>5.7142857142857141E-2</v>
      </c>
      <c r="X169" s="87">
        <f t="shared" si="15"/>
        <v>-8.0103359173126609E-2</v>
      </c>
      <c r="Y169" s="277"/>
      <c r="Z169" s="277"/>
      <c r="AA169" s="277"/>
      <c r="AB169" s="277"/>
      <c r="AC169" s="277"/>
      <c r="AD169" s="277"/>
      <c r="AE169" s="277"/>
      <c r="AF169" s="277"/>
      <c r="AG169" s="277"/>
      <c r="AH169" s="277"/>
      <c r="AI169" s="277"/>
      <c r="AJ169" s="277"/>
      <c r="AK169" s="277"/>
    </row>
    <row r="170" spans="1:40">
      <c r="A170" s="281">
        <v>44820</v>
      </c>
      <c r="B170" s="314">
        <f>IF(YEAR(Table9[[#This Row],[Date]]) = 2022, WEEKNUM(Table9[[#This Row],[Date]])-13, WEEKNUM(Table9[[#This Row],[Date]])+40)</f>
        <v>25</v>
      </c>
      <c r="C170" s="255" t="s">
        <v>52</v>
      </c>
      <c r="D170" s="65" t="s">
        <v>59</v>
      </c>
      <c r="E170" s="269">
        <v>560</v>
      </c>
      <c r="F170" s="269">
        <v>342</v>
      </c>
      <c r="G170" s="282">
        <v>-6.9767441860465115E-2</v>
      </c>
      <c r="H170" s="282">
        <v>-0.12755102040816327</v>
      </c>
      <c r="I170" s="269">
        <v>8396</v>
      </c>
      <c r="J170" s="269">
        <v>4958</v>
      </c>
      <c r="K170" s="269">
        <v>66217</v>
      </c>
      <c r="L170" s="269">
        <v>54506</v>
      </c>
      <c r="M170" s="127">
        <v>0.24</v>
      </c>
      <c r="N170" s="127">
        <v>0.39</v>
      </c>
      <c r="O170" s="127">
        <v>0.61</v>
      </c>
      <c r="P170" s="127">
        <v>0.79</v>
      </c>
      <c r="Q170" s="283">
        <v>0.99</v>
      </c>
      <c r="R170" s="284">
        <v>0</v>
      </c>
      <c r="S170" s="284">
        <v>0</v>
      </c>
      <c r="T170" s="298">
        <v>3</v>
      </c>
      <c r="U170" s="127" t="str">
        <f t="shared" si="12"/>
        <v>Normal</v>
      </c>
      <c r="V170" s="127" t="str">
        <f t="shared" si="13"/>
        <v>Normal</v>
      </c>
      <c r="W170" s="87">
        <f t="shared" si="14"/>
        <v>-6.9767441860465115E-2</v>
      </c>
      <c r="X170" s="87">
        <f t="shared" si="15"/>
        <v>-0.12755102040816327</v>
      </c>
      <c r="Y170" s="277"/>
      <c r="Z170" s="277"/>
      <c r="AA170" s="277"/>
      <c r="AB170" s="277"/>
      <c r="AC170" s="277"/>
      <c r="AD170" s="277"/>
      <c r="AE170" s="277"/>
      <c r="AF170" s="277"/>
      <c r="AG170" s="277"/>
      <c r="AH170" s="277"/>
      <c r="AI170" s="277"/>
      <c r="AJ170" s="277"/>
      <c r="AK170" s="277"/>
    </row>
    <row r="171" spans="1:40">
      <c r="A171" s="281">
        <v>44821</v>
      </c>
      <c r="B171" s="314">
        <f>IF(YEAR(Table9[[#This Row],[Date]]) = 2022, WEEKNUM(Table9[[#This Row],[Date]])-13, WEEKNUM(Table9[[#This Row],[Date]])+40)</f>
        <v>25</v>
      </c>
      <c r="C171" s="255" t="s">
        <v>53</v>
      </c>
      <c r="D171" s="65" t="s">
        <v>59</v>
      </c>
      <c r="E171" s="269">
        <v>282</v>
      </c>
      <c r="F171" s="269">
        <v>208</v>
      </c>
      <c r="G171" s="282">
        <v>1.8050541516245487E-2</v>
      </c>
      <c r="H171" s="282">
        <v>-0.14049586776859505</v>
      </c>
      <c r="I171" s="269">
        <v>8678</v>
      </c>
      <c r="J171" s="269">
        <v>5166</v>
      </c>
      <c r="K171" s="269">
        <v>66499</v>
      </c>
      <c r="L171" s="269">
        <v>54714</v>
      </c>
      <c r="M171" s="127">
        <v>0.46</v>
      </c>
      <c r="N171" s="127">
        <v>0.26</v>
      </c>
      <c r="O171" s="127">
        <v>0.74</v>
      </c>
      <c r="P171" s="127">
        <v>0.65</v>
      </c>
      <c r="Q171" s="283">
        <v>0.97</v>
      </c>
      <c r="R171" s="284">
        <v>0</v>
      </c>
      <c r="S171" s="284">
        <v>0</v>
      </c>
      <c r="T171" s="298">
        <v>4</v>
      </c>
      <c r="U171" s="127" t="str">
        <f t="shared" si="12"/>
        <v>Normal</v>
      </c>
      <c r="V171" s="127" t="str">
        <f t="shared" si="13"/>
        <v>Normal</v>
      </c>
      <c r="W171" s="87">
        <f t="shared" si="14"/>
        <v>1.8050541516245487E-2</v>
      </c>
      <c r="X171" s="87">
        <f t="shared" si="15"/>
        <v>-0.14049586776859505</v>
      </c>
      <c r="Y171" s="277"/>
      <c r="Z171" s="277"/>
      <c r="AA171" s="277"/>
      <c r="AB171" s="277"/>
      <c r="AC171" s="277"/>
      <c r="AD171" s="277"/>
      <c r="AE171" s="277"/>
      <c r="AF171" s="277"/>
      <c r="AG171" s="277"/>
      <c r="AH171" s="277"/>
      <c r="AI171" s="277"/>
      <c r="AJ171" s="277"/>
      <c r="AK171" s="277"/>
    </row>
    <row r="172" spans="1:40">
      <c r="A172" s="281">
        <v>44822</v>
      </c>
      <c r="B172" s="314">
        <f>IF(YEAR(Table9[[#This Row],[Date]]) = 2022, WEEKNUM(Table9[[#This Row],[Date]])-13, WEEKNUM(Table9[[#This Row],[Date]])+40)</f>
        <v>26</v>
      </c>
      <c r="C172" s="255" t="s">
        <v>47</v>
      </c>
      <c r="D172" s="65" t="s">
        <v>59</v>
      </c>
      <c r="E172" s="269">
        <v>0</v>
      </c>
      <c r="F172" s="269">
        <v>0</v>
      </c>
      <c r="G172" s="282">
        <v>0</v>
      </c>
      <c r="H172" s="282">
        <v>0</v>
      </c>
      <c r="I172" s="269">
        <v>0</v>
      </c>
      <c r="J172" s="269">
        <v>0</v>
      </c>
      <c r="K172" s="269">
        <v>0</v>
      </c>
      <c r="L172" s="269">
        <v>0</v>
      </c>
      <c r="M172" s="127">
        <v>0</v>
      </c>
      <c r="N172" s="127">
        <v>0</v>
      </c>
      <c r="O172" s="127">
        <v>0</v>
      </c>
      <c r="P172" s="127">
        <v>0</v>
      </c>
      <c r="Q172" s="283">
        <v>0</v>
      </c>
      <c r="R172" s="293">
        <v>0</v>
      </c>
      <c r="S172" s="293">
        <v>0</v>
      </c>
      <c r="T172" s="299">
        <v>0</v>
      </c>
      <c r="U172" s="127" t="str">
        <f t="shared" si="12"/>
        <v>Normal</v>
      </c>
      <c r="V172" s="127" t="str">
        <f t="shared" si="13"/>
        <v>Normal</v>
      </c>
      <c r="W172" s="87">
        <f t="shared" si="14"/>
        <v>0</v>
      </c>
      <c r="X172" s="87">
        <f t="shared" si="15"/>
        <v>0</v>
      </c>
      <c r="Y172" s="277"/>
      <c r="Z172" s="277"/>
      <c r="AA172" s="277"/>
      <c r="AB172" s="277"/>
      <c r="AC172" s="277"/>
      <c r="AD172" s="277"/>
      <c r="AE172" s="277"/>
      <c r="AF172" s="277"/>
      <c r="AG172" s="277"/>
      <c r="AH172" s="277"/>
      <c r="AI172" s="277"/>
      <c r="AJ172" s="277"/>
      <c r="AK172" s="277"/>
    </row>
    <row r="173" spans="1:40">
      <c r="A173" s="281">
        <v>44823</v>
      </c>
      <c r="B173" s="314">
        <f>IF(YEAR(Table9[[#This Row],[Date]]) = 2022, WEEKNUM(Table9[[#This Row],[Date]])-13, WEEKNUM(Table9[[#This Row],[Date]])+40)</f>
        <v>26</v>
      </c>
      <c r="C173" s="255" t="s">
        <v>48</v>
      </c>
      <c r="D173" s="65" t="s">
        <v>59</v>
      </c>
      <c r="E173" s="269">
        <v>474</v>
      </c>
      <c r="F173" s="269">
        <v>387</v>
      </c>
      <c r="G173" s="282">
        <v>-0.26851851851851855</v>
      </c>
      <c r="H173" s="282">
        <v>-5.6097560975609757E-2</v>
      </c>
      <c r="I173" s="269">
        <v>9152</v>
      </c>
      <c r="J173" s="269">
        <v>5553</v>
      </c>
      <c r="K173" s="269">
        <v>66973</v>
      </c>
      <c r="L173" s="269">
        <v>55101</v>
      </c>
      <c r="M173" s="127">
        <v>0.51</v>
      </c>
      <c r="N173" s="127">
        <v>0.18</v>
      </c>
      <c r="O173" s="127">
        <v>0.82000000000000006</v>
      </c>
      <c r="P173" s="127">
        <v>0.67</v>
      </c>
      <c r="Q173" s="283">
        <v>0.96</v>
      </c>
      <c r="R173" s="284">
        <v>0</v>
      </c>
      <c r="S173" s="284">
        <v>0</v>
      </c>
      <c r="T173" s="298">
        <v>4</v>
      </c>
      <c r="U173" s="127" t="str">
        <f t="shared" si="12"/>
        <v>Normal</v>
      </c>
      <c r="V173" s="127" t="str">
        <f t="shared" si="13"/>
        <v>Normal</v>
      </c>
      <c r="W173" s="87">
        <f t="shared" si="14"/>
        <v>-0.26851851851851855</v>
      </c>
      <c r="X173" s="87">
        <f t="shared" si="15"/>
        <v>-5.6097560975609757E-2</v>
      </c>
      <c r="Y173" s="277"/>
      <c r="Z173" s="277"/>
      <c r="AA173" s="277"/>
      <c r="AB173" s="277"/>
      <c r="AC173" s="277"/>
      <c r="AD173" s="277"/>
      <c r="AE173" s="277"/>
      <c r="AF173" s="277"/>
      <c r="AG173" s="277"/>
      <c r="AH173" s="277"/>
      <c r="AI173" s="277"/>
      <c r="AJ173" s="277"/>
      <c r="AK173" s="277"/>
    </row>
    <row r="174" spans="1:40">
      <c r="A174" s="281">
        <v>44824</v>
      </c>
      <c r="B174" s="314">
        <f>IF(YEAR(Table9[[#This Row],[Date]]) = 2022, WEEKNUM(Table9[[#This Row],[Date]])-13, WEEKNUM(Table9[[#This Row],[Date]])+40)</f>
        <v>26</v>
      </c>
      <c r="C174" s="255" t="s">
        <v>49</v>
      </c>
      <c r="D174" s="65" t="s">
        <v>59</v>
      </c>
      <c r="E174" s="269">
        <v>479</v>
      </c>
      <c r="F174" s="269">
        <v>368</v>
      </c>
      <c r="G174" s="282">
        <v>-7.170542635658915E-2</v>
      </c>
      <c r="H174" s="282">
        <v>2.7247956403269754E-3</v>
      </c>
      <c r="I174" s="269">
        <v>9631</v>
      </c>
      <c r="J174" s="269">
        <v>5921</v>
      </c>
      <c r="K174" s="269">
        <v>67452</v>
      </c>
      <c r="L174" s="269">
        <v>55469</v>
      </c>
      <c r="M174" s="127">
        <v>0.44</v>
      </c>
      <c r="N174" s="127">
        <v>0.23</v>
      </c>
      <c r="O174" s="127">
        <v>0.77</v>
      </c>
      <c r="P174" s="127">
        <v>0.63</v>
      </c>
      <c r="Q174" s="283">
        <v>0.97</v>
      </c>
      <c r="R174" s="284">
        <v>0</v>
      </c>
      <c r="S174" s="284">
        <v>0</v>
      </c>
      <c r="T174" s="298">
        <v>4</v>
      </c>
      <c r="U174" s="127" t="str">
        <f t="shared" si="12"/>
        <v>Normal</v>
      </c>
      <c r="V174" s="127" t="str">
        <f t="shared" si="13"/>
        <v>Normal</v>
      </c>
      <c r="W174" s="87">
        <f t="shared" si="14"/>
        <v>-7.170542635658915E-2</v>
      </c>
      <c r="X174" s="87">
        <f t="shared" si="15"/>
        <v>2.7247956403269754E-3</v>
      </c>
      <c r="Y174" s="277"/>
      <c r="Z174" s="277"/>
      <c r="AA174" s="277"/>
      <c r="AB174" s="277"/>
      <c r="AC174" s="277"/>
      <c r="AD174" s="277"/>
      <c r="AE174" s="277"/>
      <c r="AF174" s="277"/>
      <c r="AG174" s="277"/>
      <c r="AH174" s="277"/>
      <c r="AI174" s="277"/>
      <c r="AJ174" s="277"/>
      <c r="AK174" s="277"/>
      <c r="AN174">
        <f>AVERAGEIF(M342:M348,"&lt;&gt;0")</f>
        <v>0.85499999999999998</v>
      </c>
    </row>
    <row r="175" spans="1:40">
      <c r="A175" s="281">
        <v>44825</v>
      </c>
      <c r="B175" s="314">
        <f>IF(YEAR(Table9[[#This Row],[Date]]) = 2022, WEEKNUM(Table9[[#This Row],[Date]])-13, WEEKNUM(Table9[[#This Row],[Date]])+40)</f>
        <v>26</v>
      </c>
      <c r="C175" s="255" t="s">
        <v>50</v>
      </c>
      <c r="D175" s="65" t="s">
        <v>59</v>
      </c>
      <c r="E175" s="269">
        <v>395</v>
      </c>
      <c r="F175" s="269">
        <v>316</v>
      </c>
      <c r="G175" s="282">
        <v>-0.27919708029197082</v>
      </c>
      <c r="H175" s="282">
        <v>-0.21197007481296759</v>
      </c>
      <c r="I175" s="269">
        <v>10026</v>
      </c>
      <c r="J175" s="269">
        <v>6237</v>
      </c>
      <c r="K175" s="269">
        <v>67768</v>
      </c>
      <c r="L175" s="269">
        <v>55785</v>
      </c>
      <c r="M175" s="127">
        <v>0.56000000000000005</v>
      </c>
      <c r="N175" s="127">
        <v>0.2</v>
      </c>
      <c r="O175" s="127">
        <v>0.8</v>
      </c>
      <c r="P175" s="127">
        <v>0.73</v>
      </c>
      <c r="Q175" s="283">
        <v>0.96</v>
      </c>
      <c r="R175" s="284">
        <v>0</v>
      </c>
      <c r="S175" s="284">
        <v>0</v>
      </c>
      <c r="T175" s="298">
        <v>4</v>
      </c>
      <c r="U175" s="127" t="str">
        <f t="shared" si="12"/>
        <v>Normal</v>
      </c>
      <c r="V175" s="127" t="str">
        <f t="shared" si="13"/>
        <v>Normal</v>
      </c>
      <c r="W175" s="87">
        <f t="shared" si="14"/>
        <v>-0.27919708029197082</v>
      </c>
      <c r="X175" s="87">
        <f t="shared" si="15"/>
        <v>-0.21197007481296759</v>
      </c>
      <c r="Y175" s="277"/>
      <c r="Z175" s="277"/>
      <c r="AA175" s="277"/>
      <c r="AB175" s="277"/>
      <c r="AC175" s="277"/>
      <c r="AD175" s="277"/>
      <c r="AE175" s="277"/>
      <c r="AF175" s="277"/>
      <c r="AG175" s="277"/>
      <c r="AH175" s="277"/>
      <c r="AI175" s="277"/>
      <c r="AJ175" s="277"/>
      <c r="AK175" s="277"/>
    </row>
    <row r="176" spans="1:40">
      <c r="A176" s="281">
        <v>44826</v>
      </c>
      <c r="B176" s="314">
        <f>IF(YEAR(Table9[[#This Row],[Date]]) = 2022, WEEKNUM(Table9[[#This Row],[Date]])-13, WEEKNUM(Table9[[#This Row],[Date]])+40)</f>
        <v>26</v>
      </c>
      <c r="C176" s="255" t="s">
        <v>51</v>
      </c>
      <c r="D176" s="65" t="s">
        <v>59</v>
      </c>
      <c r="E176" s="269">
        <v>462</v>
      </c>
      <c r="F176" s="269">
        <v>366</v>
      </c>
      <c r="G176" s="282">
        <v>-0.26550079491255962</v>
      </c>
      <c r="H176" s="282">
        <v>2.8089887640449437E-2</v>
      </c>
      <c r="I176" s="269">
        <v>10488</v>
      </c>
      <c r="J176" s="269">
        <v>6603</v>
      </c>
      <c r="K176" s="269">
        <v>68230</v>
      </c>
      <c r="L176" s="269">
        <v>56151</v>
      </c>
      <c r="M176" s="127">
        <v>0.5</v>
      </c>
      <c r="N176" s="127">
        <v>0.21</v>
      </c>
      <c r="O176" s="127">
        <v>0.79</v>
      </c>
      <c r="P176" s="127">
        <v>0.63</v>
      </c>
      <c r="Q176" s="283">
        <v>0.98</v>
      </c>
      <c r="R176" s="284">
        <v>0</v>
      </c>
      <c r="S176" s="284">
        <v>0</v>
      </c>
      <c r="T176" s="298">
        <v>4</v>
      </c>
      <c r="U176" s="127" t="str">
        <f t="shared" si="12"/>
        <v>Normal</v>
      </c>
      <c r="V176" s="127" t="str">
        <f t="shared" si="13"/>
        <v>Normal</v>
      </c>
      <c r="W176" s="87">
        <f t="shared" si="14"/>
        <v>-0.26550079491255962</v>
      </c>
      <c r="X176" s="87">
        <f t="shared" si="15"/>
        <v>2.8089887640449437E-2</v>
      </c>
      <c r="Y176" s="277"/>
      <c r="Z176" s="277"/>
      <c r="AA176" s="277"/>
      <c r="AB176" s="277"/>
      <c r="AC176" s="277"/>
      <c r="AD176" s="277"/>
      <c r="AE176" s="277"/>
      <c r="AF176" s="277"/>
      <c r="AG176" s="277"/>
      <c r="AH176" s="277"/>
      <c r="AI176" s="277"/>
      <c r="AJ176" s="277"/>
      <c r="AK176" s="277"/>
    </row>
    <row r="177" spans="1:37">
      <c r="A177" s="281">
        <v>44827</v>
      </c>
      <c r="B177" s="314">
        <f>IF(YEAR(Table9[[#This Row],[Date]]) = 2022, WEEKNUM(Table9[[#This Row],[Date]])-13, WEEKNUM(Table9[[#This Row],[Date]])+40)</f>
        <v>26</v>
      </c>
      <c r="C177" s="255" t="s">
        <v>52</v>
      </c>
      <c r="D177" s="65" t="s">
        <v>59</v>
      </c>
      <c r="E177" s="269">
        <v>498</v>
      </c>
      <c r="F177" s="269">
        <v>281</v>
      </c>
      <c r="G177" s="282">
        <v>-0.11071428571428571</v>
      </c>
      <c r="H177" s="282">
        <v>-0.17836257309941519</v>
      </c>
      <c r="I177" s="269">
        <v>10986</v>
      </c>
      <c r="J177" s="269">
        <v>6884</v>
      </c>
      <c r="K177" s="269">
        <v>68728</v>
      </c>
      <c r="L177" s="269">
        <v>56432</v>
      </c>
      <c r="M177" s="127">
        <v>0.46</v>
      </c>
      <c r="N177" s="127">
        <v>0.28999999999999998</v>
      </c>
      <c r="O177" s="127">
        <v>0.71</v>
      </c>
      <c r="P177" s="127">
        <v>0.81</v>
      </c>
      <c r="Q177" s="283">
        <v>0.95</v>
      </c>
      <c r="R177" s="284">
        <v>0</v>
      </c>
      <c r="S177" s="284">
        <v>0</v>
      </c>
      <c r="T177" s="298">
        <v>3</v>
      </c>
      <c r="U177" s="127" t="str">
        <f t="shared" si="12"/>
        <v>Normal</v>
      </c>
      <c r="V177" s="127" t="str">
        <f t="shared" si="13"/>
        <v>Normal</v>
      </c>
      <c r="W177" s="87">
        <f t="shared" si="14"/>
        <v>-0.11071428571428571</v>
      </c>
      <c r="X177" s="87">
        <f t="shared" si="15"/>
        <v>-0.17836257309941519</v>
      </c>
      <c r="Y177" s="277"/>
      <c r="Z177" s="277"/>
      <c r="AA177" s="277"/>
      <c r="AB177" s="277"/>
      <c r="AC177" s="277"/>
      <c r="AD177" s="277"/>
      <c r="AE177" s="277"/>
      <c r="AF177" s="277"/>
      <c r="AG177" s="277"/>
      <c r="AH177" s="277"/>
      <c r="AI177" s="277"/>
      <c r="AJ177" s="277"/>
      <c r="AK177" s="277"/>
    </row>
    <row r="178" spans="1:37">
      <c r="A178" s="281">
        <v>44828</v>
      </c>
      <c r="B178" s="314">
        <f>IF(YEAR(Table9[[#This Row],[Date]]) = 2022, WEEKNUM(Table9[[#This Row],[Date]])-13, WEEKNUM(Table9[[#This Row],[Date]])+40)</f>
        <v>26</v>
      </c>
      <c r="C178" s="255" t="s">
        <v>53</v>
      </c>
      <c r="D178" s="65" t="s">
        <v>59</v>
      </c>
      <c r="E178" s="269">
        <v>353</v>
      </c>
      <c r="F178" s="269">
        <v>210</v>
      </c>
      <c r="G178" s="282">
        <v>0.25177304964539005</v>
      </c>
      <c r="H178" s="282">
        <v>9.6153846153846159E-3</v>
      </c>
      <c r="I178" s="269">
        <v>11339</v>
      </c>
      <c r="J178" s="269">
        <v>7094</v>
      </c>
      <c r="K178" s="269">
        <v>69081</v>
      </c>
      <c r="L178" s="269">
        <v>56642</v>
      </c>
      <c r="M178" s="127">
        <v>0.41</v>
      </c>
      <c r="N178" s="127">
        <v>0.25</v>
      </c>
      <c r="O178" s="127">
        <v>0.75</v>
      </c>
      <c r="P178" s="127">
        <v>0.48</v>
      </c>
      <c r="Q178" s="283">
        <v>0.98</v>
      </c>
      <c r="R178" s="284">
        <v>0</v>
      </c>
      <c r="S178" s="284">
        <v>0</v>
      </c>
      <c r="T178" s="298">
        <v>3</v>
      </c>
      <c r="U178" s="127" t="str">
        <f t="shared" si="12"/>
        <v>Normal</v>
      </c>
      <c r="V178" s="127" t="str">
        <f t="shared" si="13"/>
        <v>Normal</v>
      </c>
      <c r="W178" s="87">
        <f t="shared" si="14"/>
        <v>0.25177304964539005</v>
      </c>
      <c r="X178" s="87">
        <f t="shared" si="15"/>
        <v>9.6153846153846159E-3</v>
      </c>
      <c r="Y178" s="277"/>
      <c r="Z178" s="277"/>
      <c r="AA178" s="277"/>
      <c r="AB178" s="277"/>
      <c r="AC178" s="277"/>
      <c r="AD178" s="277"/>
      <c r="AE178" s="277"/>
      <c r="AF178" s="277"/>
      <c r="AG178" s="277"/>
      <c r="AH178" s="277"/>
      <c r="AI178" s="277"/>
      <c r="AJ178" s="277"/>
      <c r="AK178" s="277"/>
    </row>
    <row r="179" spans="1:37">
      <c r="A179" s="281">
        <v>44829</v>
      </c>
      <c r="B179" s="314">
        <f>IF(YEAR(Table9[[#This Row],[Date]]) = 2022, WEEKNUM(Table9[[#This Row],[Date]])-13, WEEKNUM(Table9[[#This Row],[Date]])+40)</f>
        <v>27</v>
      </c>
      <c r="C179" s="255" t="s">
        <v>47</v>
      </c>
      <c r="D179" s="65" t="s">
        <v>59</v>
      </c>
      <c r="E179" s="269">
        <v>0</v>
      </c>
      <c r="F179" s="269">
        <v>0</v>
      </c>
      <c r="G179" s="282">
        <v>0</v>
      </c>
      <c r="H179" s="282">
        <v>0</v>
      </c>
      <c r="I179" s="269">
        <v>0</v>
      </c>
      <c r="J179" s="269">
        <v>0</v>
      </c>
      <c r="K179" s="269">
        <v>0</v>
      </c>
      <c r="L179" s="269">
        <v>0</v>
      </c>
      <c r="M179" s="127">
        <v>0</v>
      </c>
      <c r="N179" s="127">
        <v>0</v>
      </c>
      <c r="O179" s="127">
        <v>0</v>
      </c>
      <c r="P179" s="127">
        <v>0</v>
      </c>
      <c r="Q179" s="283">
        <v>0</v>
      </c>
      <c r="R179" s="293">
        <v>0</v>
      </c>
      <c r="S179" s="293">
        <v>0</v>
      </c>
      <c r="T179" s="299">
        <v>0</v>
      </c>
      <c r="U179" s="127" t="str">
        <f t="shared" si="12"/>
        <v>Normal</v>
      </c>
      <c r="V179" s="127" t="str">
        <f t="shared" si="13"/>
        <v>Normal</v>
      </c>
      <c r="W179" s="87">
        <f t="shared" si="14"/>
        <v>0</v>
      </c>
      <c r="X179" s="87">
        <f t="shared" si="15"/>
        <v>0</v>
      </c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</row>
    <row r="180" spans="1:37">
      <c r="A180" s="281">
        <v>44830</v>
      </c>
      <c r="B180" s="314">
        <f>IF(YEAR(Table9[[#This Row],[Date]]) = 2022, WEEKNUM(Table9[[#This Row],[Date]])-13, WEEKNUM(Table9[[#This Row],[Date]])+40)</f>
        <v>27</v>
      </c>
      <c r="C180" s="255" t="s">
        <v>48</v>
      </c>
      <c r="D180" s="65" t="s">
        <v>59</v>
      </c>
      <c r="E180" s="269">
        <v>561</v>
      </c>
      <c r="F180" s="269">
        <v>448</v>
      </c>
      <c r="G180" s="282">
        <v>0.18354430379746836</v>
      </c>
      <c r="H180" s="282">
        <v>0.15762273901808785</v>
      </c>
      <c r="I180" s="269">
        <v>11900</v>
      </c>
      <c r="J180" s="269">
        <v>7542</v>
      </c>
      <c r="K180" s="269">
        <v>69642</v>
      </c>
      <c r="L180" s="269">
        <v>57090</v>
      </c>
      <c r="M180" s="127">
        <v>0.47</v>
      </c>
      <c r="N180" s="127">
        <v>0.2</v>
      </c>
      <c r="O180" s="127">
        <v>0.8</v>
      </c>
      <c r="P180" s="127">
        <v>0.77</v>
      </c>
      <c r="Q180" s="283">
        <v>0.98</v>
      </c>
      <c r="R180" s="284">
        <v>0</v>
      </c>
      <c r="S180" s="284">
        <v>0</v>
      </c>
      <c r="T180" s="298">
        <v>5</v>
      </c>
      <c r="U180" s="127" t="str">
        <f t="shared" si="12"/>
        <v>Normal</v>
      </c>
      <c r="V180" s="127" t="str">
        <f t="shared" si="13"/>
        <v>Normal</v>
      </c>
      <c r="W180" s="87">
        <f t="shared" si="14"/>
        <v>0.18354430379746836</v>
      </c>
      <c r="X180" s="87">
        <f t="shared" si="15"/>
        <v>0.15762273901808785</v>
      </c>
      <c r="Y180" s="277"/>
      <c r="Z180" s="277"/>
      <c r="AA180" s="277"/>
      <c r="AB180" s="277"/>
      <c r="AC180" s="277"/>
      <c r="AD180" s="277"/>
      <c r="AE180" s="277"/>
      <c r="AF180" s="277"/>
      <c r="AG180" s="277"/>
      <c r="AH180" s="277"/>
      <c r="AI180" s="277"/>
      <c r="AJ180" s="277"/>
      <c r="AK180" s="277"/>
    </row>
    <row r="181" spans="1:37">
      <c r="A181" s="281">
        <v>44831</v>
      </c>
      <c r="B181" s="314">
        <f>IF(YEAR(Table9[[#This Row],[Date]]) = 2022, WEEKNUM(Table9[[#This Row],[Date]])-13, WEEKNUM(Table9[[#This Row],[Date]])+40)</f>
        <v>27</v>
      </c>
      <c r="C181" s="255" t="s">
        <v>49</v>
      </c>
      <c r="D181" s="65" t="s">
        <v>59</v>
      </c>
      <c r="E181" s="269">
        <v>518</v>
      </c>
      <c r="F181" s="269">
        <v>375</v>
      </c>
      <c r="G181" s="282">
        <v>8.1419624217118999E-2</v>
      </c>
      <c r="H181" s="282">
        <v>1.9021739130434784E-2</v>
      </c>
      <c r="I181" s="269">
        <v>12418</v>
      </c>
      <c r="J181" s="269">
        <v>7917</v>
      </c>
      <c r="K181" s="269">
        <v>70160</v>
      </c>
      <c r="L181" s="269">
        <v>57465</v>
      </c>
      <c r="M181" s="127">
        <v>0.43</v>
      </c>
      <c r="N181" s="127">
        <v>0.28000000000000003</v>
      </c>
      <c r="O181" s="127">
        <v>0.72</v>
      </c>
      <c r="P181" s="127">
        <v>0.65</v>
      </c>
      <c r="Q181" s="283">
        <v>0.96</v>
      </c>
      <c r="R181" s="284">
        <v>0</v>
      </c>
      <c r="S181" s="284">
        <v>0</v>
      </c>
      <c r="T181" s="298">
        <v>4</v>
      </c>
      <c r="U181" s="127" t="str">
        <f t="shared" si="12"/>
        <v>Normal</v>
      </c>
      <c r="V181" s="127" t="str">
        <f t="shared" si="13"/>
        <v>Normal</v>
      </c>
      <c r="W181" s="87">
        <f t="shared" si="14"/>
        <v>8.1419624217118999E-2</v>
      </c>
      <c r="X181" s="87">
        <f t="shared" si="15"/>
        <v>1.9021739130434784E-2</v>
      </c>
      <c r="Y181" s="277"/>
      <c r="Z181" s="277"/>
      <c r="AA181" s="277"/>
      <c r="AB181" s="277"/>
      <c r="AC181" s="277"/>
      <c r="AD181" s="277"/>
      <c r="AE181" s="277"/>
      <c r="AF181" s="277"/>
      <c r="AG181" s="277"/>
      <c r="AH181" s="277"/>
      <c r="AI181" s="277"/>
      <c r="AJ181" s="277"/>
      <c r="AK181" s="277"/>
    </row>
    <row r="182" spans="1:37">
      <c r="A182" s="281">
        <v>44832</v>
      </c>
      <c r="B182" s="314">
        <f>IF(YEAR(Table9[[#This Row],[Date]]) = 2022, WEEKNUM(Table9[[#This Row],[Date]])-13, WEEKNUM(Table9[[#This Row],[Date]])+40)</f>
        <v>27</v>
      </c>
      <c r="C182" s="255" t="s">
        <v>50</v>
      </c>
      <c r="D182" s="65" t="s">
        <v>59</v>
      </c>
      <c r="E182" s="269">
        <v>731</v>
      </c>
      <c r="F182" s="269">
        <v>349</v>
      </c>
      <c r="G182" s="282">
        <v>0.85063291139240504</v>
      </c>
      <c r="H182" s="282">
        <v>0.10443037974683544</v>
      </c>
      <c r="I182" s="269">
        <v>13149</v>
      </c>
      <c r="J182" s="269">
        <v>8266</v>
      </c>
      <c r="K182" s="269">
        <v>70891</v>
      </c>
      <c r="L182" s="269">
        <v>57814</v>
      </c>
      <c r="M182" s="127">
        <v>0.11</v>
      </c>
      <c r="N182" s="127">
        <v>0.52</v>
      </c>
      <c r="O182" s="127">
        <v>0.48</v>
      </c>
      <c r="P182" s="127">
        <v>0.8</v>
      </c>
      <c r="Q182" s="283">
        <v>0.96</v>
      </c>
      <c r="R182" s="284">
        <v>0</v>
      </c>
      <c r="S182" s="284">
        <v>0</v>
      </c>
      <c r="T182" s="298">
        <v>3</v>
      </c>
      <c r="U182" s="127" t="str">
        <f t="shared" si="12"/>
        <v>Outlier</v>
      </c>
      <c r="V182" s="127" t="str">
        <f t="shared" si="13"/>
        <v>Normal</v>
      </c>
      <c r="W182" s="87">
        <f t="shared" si="14"/>
        <v>0.85063291139240504</v>
      </c>
      <c r="X182" s="87">
        <f t="shared" si="15"/>
        <v>0.10443037974683544</v>
      </c>
      <c r="Y182" s="277"/>
      <c r="Z182" s="277"/>
      <c r="AA182" s="277"/>
      <c r="AB182" s="277"/>
      <c r="AC182" s="277"/>
      <c r="AD182" s="277"/>
      <c r="AE182" s="277"/>
      <c r="AF182" s="277"/>
      <c r="AG182" s="277"/>
      <c r="AH182" s="277"/>
      <c r="AI182" s="277"/>
      <c r="AJ182" s="277"/>
      <c r="AK182" s="277"/>
    </row>
    <row r="183" spans="1:37">
      <c r="A183" s="281">
        <v>44833</v>
      </c>
      <c r="B183" s="314">
        <f>IF(YEAR(Table9[[#This Row],[Date]]) = 2022, WEEKNUM(Table9[[#This Row],[Date]])-13, WEEKNUM(Table9[[#This Row],[Date]])+40)</f>
        <v>27</v>
      </c>
      <c r="C183" s="255" t="s">
        <v>51</v>
      </c>
      <c r="D183" s="65" t="s">
        <v>59</v>
      </c>
      <c r="E183" s="269">
        <v>714</v>
      </c>
      <c r="F183" s="269">
        <v>350</v>
      </c>
      <c r="G183" s="282">
        <v>0.54545454545454541</v>
      </c>
      <c r="H183" s="282">
        <v>-4.3715846994535519E-2</v>
      </c>
      <c r="I183" s="269">
        <v>13863</v>
      </c>
      <c r="J183" s="269">
        <v>8616</v>
      </c>
      <c r="K183" s="269">
        <v>71605</v>
      </c>
      <c r="L183" s="269">
        <v>58164</v>
      </c>
      <c r="M183" s="127">
        <v>0.11</v>
      </c>
      <c r="N183" s="127">
        <v>0.51</v>
      </c>
      <c r="O183" s="127">
        <v>0.49</v>
      </c>
      <c r="P183" s="127">
        <v>0.7</v>
      </c>
      <c r="Q183" s="283">
        <v>0.98</v>
      </c>
      <c r="R183" s="284">
        <v>0</v>
      </c>
      <c r="S183" s="284">
        <v>0</v>
      </c>
      <c r="T183" s="298">
        <v>4</v>
      </c>
      <c r="U183" s="127" t="str">
        <f t="shared" si="12"/>
        <v>Outlier</v>
      </c>
      <c r="V183" s="127" t="str">
        <f t="shared" si="13"/>
        <v>Normal</v>
      </c>
      <c r="W183" s="87">
        <f t="shared" si="14"/>
        <v>0.54545454545454541</v>
      </c>
      <c r="X183" s="87">
        <f t="shared" si="15"/>
        <v>-4.3715846994535519E-2</v>
      </c>
      <c r="Y183" s="277"/>
      <c r="Z183" s="277"/>
      <c r="AA183" s="277"/>
      <c r="AB183" s="277"/>
      <c r="AC183" s="277"/>
      <c r="AD183" s="277"/>
      <c r="AE183" s="277"/>
      <c r="AF183" s="277"/>
      <c r="AG183" s="277"/>
      <c r="AH183" s="277"/>
      <c r="AI183" s="277"/>
      <c r="AJ183" s="277"/>
      <c r="AK183" s="277"/>
    </row>
    <row r="184" spans="1:37">
      <c r="A184" s="281">
        <v>44834</v>
      </c>
      <c r="B184" s="314">
        <f>IF(YEAR(Table9[[#This Row],[Date]]) = 2022, WEEKNUM(Table9[[#This Row],[Date]])-13, WEEKNUM(Table9[[#This Row],[Date]])+40)</f>
        <v>27</v>
      </c>
      <c r="C184" s="255" t="s">
        <v>52</v>
      </c>
      <c r="D184" s="65" t="s">
        <v>59</v>
      </c>
      <c r="E184" s="269">
        <v>816</v>
      </c>
      <c r="F184" s="269">
        <v>304</v>
      </c>
      <c r="G184" s="282">
        <v>0.63855421686746983</v>
      </c>
      <c r="H184" s="282">
        <v>8.1850533807829182E-2</v>
      </c>
      <c r="I184" s="269">
        <v>14679</v>
      </c>
      <c r="J184" s="269">
        <v>8920</v>
      </c>
      <c r="K184" s="269">
        <v>72421</v>
      </c>
      <c r="L184" s="269">
        <v>58468</v>
      </c>
      <c r="M184" s="127">
        <v>0.04</v>
      </c>
      <c r="N184" s="127">
        <v>0.63</v>
      </c>
      <c r="O184" s="127">
        <v>0.37</v>
      </c>
      <c r="P184" s="127">
        <v>0.7</v>
      </c>
      <c r="Q184" s="283">
        <v>0.96</v>
      </c>
      <c r="R184" s="284">
        <v>0</v>
      </c>
      <c r="S184" s="284">
        <v>0</v>
      </c>
      <c r="T184" s="298">
        <v>3</v>
      </c>
      <c r="U184" s="127" t="str">
        <f t="shared" si="12"/>
        <v>Outlier</v>
      </c>
      <c r="V184" s="127" t="str">
        <f t="shared" si="13"/>
        <v>Normal</v>
      </c>
      <c r="W184" s="87">
        <f t="shared" si="14"/>
        <v>0.63855421686746983</v>
      </c>
      <c r="X184" s="87">
        <f t="shared" si="15"/>
        <v>8.1850533807829182E-2</v>
      </c>
      <c r="Y184" s="277"/>
      <c r="Z184" s="277"/>
      <c r="AA184" s="277"/>
      <c r="AB184" s="277"/>
      <c r="AC184" s="277"/>
      <c r="AD184" s="277"/>
      <c r="AE184" s="277"/>
      <c r="AF184" s="277"/>
      <c r="AG184" s="277"/>
      <c r="AH184" s="277"/>
      <c r="AI184" s="277"/>
      <c r="AJ184" s="277"/>
      <c r="AK184" s="277"/>
    </row>
    <row r="185" spans="1:37">
      <c r="A185" s="281">
        <v>44835</v>
      </c>
      <c r="B185" s="314">
        <f>IF(YEAR(Table9[[#This Row],[Date]]) = 2022, WEEKNUM(Table9[[#This Row],[Date]])-13, WEEKNUM(Table9[[#This Row],[Date]])+40)</f>
        <v>27</v>
      </c>
      <c r="C185" s="255" t="s">
        <v>53</v>
      </c>
      <c r="D185" s="65" t="s">
        <v>59</v>
      </c>
      <c r="E185" s="269">
        <v>400</v>
      </c>
      <c r="F185" s="269">
        <v>230</v>
      </c>
      <c r="G185" s="282">
        <v>0.13314447592067988</v>
      </c>
      <c r="H185" s="282">
        <v>9.5238095238095233E-2</v>
      </c>
      <c r="I185" s="269">
        <v>400</v>
      </c>
      <c r="J185" s="269">
        <v>230</v>
      </c>
      <c r="K185" s="269">
        <v>72821</v>
      </c>
      <c r="L185" s="269">
        <v>58698</v>
      </c>
      <c r="M185" s="127">
        <v>0.16</v>
      </c>
      <c r="N185" s="127">
        <v>0.43</v>
      </c>
      <c r="O185" s="127">
        <v>0.56999999999999995</v>
      </c>
      <c r="P185" s="127">
        <v>0.53</v>
      </c>
      <c r="Q185" s="283">
        <v>0.98</v>
      </c>
      <c r="R185" s="284">
        <v>0</v>
      </c>
      <c r="S185" s="284">
        <v>0</v>
      </c>
      <c r="T185" s="298">
        <v>3</v>
      </c>
      <c r="U185" s="127" t="str">
        <f t="shared" si="12"/>
        <v>Normal</v>
      </c>
      <c r="V185" s="127" t="str">
        <f t="shared" si="13"/>
        <v>Normal</v>
      </c>
      <c r="W185" s="87">
        <f t="shared" si="14"/>
        <v>0.13314447592067988</v>
      </c>
      <c r="X185" s="87">
        <f t="shared" si="15"/>
        <v>9.5238095238095233E-2</v>
      </c>
      <c r="Y185" s="277"/>
      <c r="Z185" s="277"/>
      <c r="AA185" s="277"/>
      <c r="AB185" s="277"/>
      <c r="AC185" s="277"/>
      <c r="AD185" s="277"/>
      <c r="AE185" s="277"/>
      <c r="AF185" s="277"/>
      <c r="AG185" s="277"/>
      <c r="AH185" s="277"/>
      <c r="AI185" s="277"/>
      <c r="AJ185" s="277"/>
      <c r="AK185" s="277"/>
    </row>
    <row r="186" spans="1:37">
      <c r="A186" s="281">
        <v>44836</v>
      </c>
      <c r="B186" s="314">
        <f>IF(YEAR(Table9[[#This Row],[Date]]) = 2022, WEEKNUM(Table9[[#This Row],[Date]])-13, WEEKNUM(Table9[[#This Row],[Date]])+40)</f>
        <v>28</v>
      </c>
      <c r="C186" s="255" t="s">
        <v>47</v>
      </c>
      <c r="D186" s="65" t="s">
        <v>59</v>
      </c>
      <c r="E186" s="269">
        <v>0</v>
      </c>
      <c r="F186" s="269">
        <v>0</v>
      </c>
      <c r="G186" s="282">
        <v>0</v>
      </c>
      <c r="H186" s="282">
        <v>0</v>
      </c>
      <c r="I186" s="269">
        <v>0</v>
      </c>
      <c r="J186" s="269">
        <v>0</v>
      </c>
      <c r="K186" s="269">
        <v>0</v>
      </c>
      <c r="L186" s="269">
        <v>0</v>
      </c>
      <c r="M186" s="127">
        <v>0</v>
      </c>
      <c r="N186" s="127">
        <v>0</v>
      </c>
      <c r="O186" s="127">
        <v>0</v>
      </c>
      <c r="P186" s="127">
        <v>0</v>
      </c>
      <c r="Q186" s="283">
        <v>0</v>
      </c>
      <c r="R186" s="293">
        <v>0</v>
      </c>
      <c r="S186" s="293">
        <v>0</v>
      </c>
      <c r="T186" s="299">
        <v>0</v>
      </c>
      <c r="U186" s="127" t="str">
        <f t="shared" si="12"/>
        <v>Normal</v>
      </c>
      <c r="V186" s="127" t="str">
        <f t="shared" si="13"/>
        <v>Normal</v>
      </c>
      <c r="W186" s="87">
        <f t="shared" si="14"/>
        <v>0</v>
      </c>
      <c r="X186" s="87">
        <f t="shared" si="15"/>
        <v>0</v>
      </c>
      <c r="Y186" s="277"/>
      <c r="Z186" s="277"/>
      <c r="AA186" s="277"/>
      <c r="AB186" s="277"/>
      <c r="AC186" s="277"/>
      <c r="AD186" s="277"/>
      <c r="AE186" s="277"/>
      <c r="AF186" s="277"/>
      <c r="AG186" s="277"/>
      <c r="AH186" s="277"/>
      <c r="AI186" s="277"/>
      <c r="AJ186" s="277"/>
      <c r="AK186" s="277"/>
    </row>
    <row r="187" spans="1:37">
      <c r="A187" s="281">
        <v>44837</v>
      </c>
      <c r="B187" s="314">
        <f>IF(YEAR(Table9[[#This Row],[Date]]) = 2022, WEEKNUM(Table9[[#This Row],[Date]])-13, WEEKNUM(Table9[[#This Row],[Date]])+40)</f>
        <v>28</v>
      </c>
      <c r="C187" s="255" t="s">
        <v>48</v>
      </c>
      <c r="D187" s="65" t="s">
        <v>59</v>
      </c>
      <c r="E187" s="269">
        <v>605</v>
      </c>
      <c r="F187" s="269">
        <v>316</v>
      </c>
      <c r="G187" s="282">
        <v>7.8431372549019607E-2</v>
      </c>
      <c r="H187" s="282">
        <v>-0.29464285714285715</v>
      </c>
      <c r="I187" s="269">
        <v>1005</v>
      </c>
      <c r="J187" s="269">
        <v>546</v>
      </c>
      <c r="K187" s="269">
        <v>73426</v>
      </c>
      <c r="L187" s="269">
        <v>59014</v>
      </c>
      <c r="M187" s="127">
        <v>0.13</v>
      </c>
      <c r="N187" s="127">
        <v>0.47768595041322315</v>
      </c>
      <c r="O187" s="127">
        <v>0.52231404958677685</v>
      </c>
      <c r="P187" s="127">
        <v>0.54</v>
      </c>
      <c r="Q187" s="283">
        <v>0.97</v>
      </c>
      <c r="R187" s="284">
        <v>0</v>
      </c>
      <c r="S187" s="284">
        <v>0</v>
      </c>
      <c r="T187" s="298">
        <v>4</v>
      </c>
      <c r="U187" s="127" t="str">
        <f t="shared" si="12"/>
        <v>Normal</v>
      </c>
      <c r="V187" s="127" t="str">
        <f t="shared" si="13"/>
        <v>Outlier</v>
      </c>
      <c r="W187" s="87">
        <f t="shared" si="14"/>
        <v>7.8431372549019607E-2</v>
      </c>
      <c r="X187" s="87">
        <f t="shared" si="15"/>
        <v>-0.29464285714285715</v>
      </c>
      <c r="Y187" s="277"/>
      <c r="Z187" s="277"/>
      <c r="AA187" s="277"/>
      <c r="AB187" s="277"/>
      <c r="AC187" s="277"/>
      <c r="AD187" s="277"/>
      <c r="AE187" s="277"/>
      <c r="AF187" s="277"/>
      <c r="AG187" s="277"/>
      <c r="AH187" s="277"/>
      <c r="AI187" s="277"/>
      <c r="AJ187" s="277"/>
      <c r="AK187" s="277"/>
    </row>
    <row r="188" spans="1:37">
      <c r="A188" s="281">
        <v>44838</v>
      </c>
      <c r="B188" s="314">
        <f>IF(YEAR(Table9[[#This Row],[Date]]) = 2022, WEEKNUM(Table9[[#This Row],[Date]])-13, WEEKNUM(Table9[[#This Row],[Date]])+40)</f>
        <v>28</v>
      </c>
      <c r="C188" s="255" t="s">
        <v>49</v>
      </c>
      <c r="D188" s="65" t="s">
        <v>59</v>
      </c>
      <c r="E188" s="269">
        <v>663</v>
      </c>
      <c r="F188" s="269">
        <v>350</v>
      </c>
      <c r="G188" s="282">
        <v>0.27992277992277992</v>
      </c>
      <c r="H188" s="282">
        <v>-6.6666666666666666E-2</v>
      </c>
      <c r="I188" s="269">
        <v>1668</v>
      </c>
      <c r="J188" s="269">
        <v>896</v>
      </c>
      <c r="K188" s="269">
        <v>74089</v>
      </c>
      <c r="L188" s="269">
        <v>59364</v>
      </c>
      <c r="M188" s="127">
        <v>0.21</v>
      </c>
      <c r="N188" s="127">
        <v>0.47209653092006032</v>
      </c>
      <c r="O188" s="127">
        <v>0.52790346907993968</v>
      </c>
      <c r="P188" s="127">
        <v>0.6</v>
      </c>
      <c r="Q188" s="283">
        <v>0.96</v>
      </c>
      <c r="R188" s="284">
        <v>0</v>
      </c>
      <c r="S188" s="284">
        <v>0</v>
      </c>
      <c r="T188" s="298">
        <v>4</v>
      </c>
      <c r="U188" s="127" t="str">
        <f t="shared" si="12"/>
        <v>Normal</v>
      </c>
      <c r="V188" s="127" t="str">
        <f t="shared" si="13"/>
        <v>Normal</v>
      </c>
      <c r="W188" s="87">
        <f t="shared" si="14"/>
        <v>0.27992277992277992</v>
      </c>
      <c r="X188" s="87">
        <f t="shared" si="15"/>
        <v>-6.6666666666666666E-2</v>
      </c>
      <c r="Y188" s="277"/>
      <c r="Z188" s="277"/>
      <c r="AA188" s="277"/>
      <c r="AB188" s="277"/>
      <c r="AC188" s="277"/>
      <c r="AD188" s="277"/>
      <c r="AE188" s="277"/>
      <c r="AF188" s="277"/>
      <c r="AG188" s="277"/>
      <c r="AH188" s="277"/>
      <c r="AI188" s="277"/>
      <c r="AJ188" s="277"/>
      <c r="AK188" s="277"/>
    </row>
    <row r="189" spans="1:37">
      <c r="A189" s="281">
        <v>44839</v>
      </c>
      <c r="B189" s="314">
        <f>IF(YEAR(Table9[[#This Row],[Date]]) = 2022, WEEKNUM(Table9[[#This Row],[Date]])-13, WEEKNUM(Table9[[#This Row],[Date]])+40)</f>
        <v>28</v>
      </c>
      <c r="C189" s="255" t="s">
        <v>50</v>
      </c>
      <c r="D189" s="65" t="s">
        <v>59</v>
      </c>
      <c r="E189" s="269">
        <v>615</v>
      </c>
      <c r="F189" s="269">
        <v>456</v>
      </c>
      <c r="G189" s="282">
        <v>-0.15868673050615595</v>
      </c>
      <c r="H189" s="282">
        <v>0.30659025787965616</v>
      </c>
      <c r="I189" s="269">
        <v>2283</v>
      </c>
      <c r="J189" s="269">
        <v>1352</v>
      </c>
      <c r="K189" s="269">
        <v>74704</v>
      </c>
      <c r="L189" s="269">
        <v>59820</v>
      </c>
      <c r="M189" s="127">
        <v>0.37</v>
      </c>
      <c r="N189" s="127">
        <v>0.25853658536585367</v>
      </c>
      <c r="O189" s="127">
        <v>0.74146341463414633</v>
      </c>
      <c r="P189" s="127">
        <v>0.79</v>
      </c>
      <c r="Q189" s="283">
        <v>0.98</v>
      </c>
      <c r="R189" s="284">
        <v>0</v>
      </c>
      <c r="S189" s="284">
        <v>0</v>
      </c>
      <c r="T189" s="298">
        <v>4</v>
      </c>
      <c r="U189" s="127" t="str">
        <f t="shared" si="12"/>
        <v>Normal</v>
      </c>
      <c r="V189" s="127" t="str">
        <f t="shared" si="13"/>
        <v>Normal</v>
      </c>
      <c r="W189" s="87">
        <f t="shared" si="14"/>
        <v>-0.15868673050615595</v>
      </c>
      <c r="X189" s="87">
        <f t="shared" si="15"/>
        <v>0.30659025787965616</v>
      </c>
      <c r="Y189" s="277"/>
      <c r="Z189" s="277"/>
      <c r="AA189" s="277"/>
      <c r="AB189" s="277"/>
      <c r="AC189" s="277"/>
      <c r="AD189" s="277"/>
      <c r="AE189" s="277"/>
      <c r="AF189" s="277"/>
      <c r="AG189" s="277"/>
      <c r="AH189" s="277"/>
      <c r="AI189" s="277"/>
      <c r="AJ189" s="277"/>
      <c r="AK189" s="277"/>
    </row>
    <row r="190" spans="1:37">
      <c r="A190" s="281">
        <v>44840</v>
      </c>
      <c r="B190" s="314">
        <f>IF(YEAR(Table9[[#This Row],[Date]]) = 2022, WEEKNUM(Table9[[#This Row],[Date]])-13, WEEKNUM(Table9[[#This Row],[Date]])+40)</f>
        <v>28</v>
      </c>
      <c r="C190" s="255" t="s">
        <v>51</v>
      </c>
      <c r="D190" s="65" t="s">
        <v>59</v>
      </c>
      <c r="E190" s="269">
        <v>588</v>
      </c>
      <c r="F190" s="269">
        <v>403</v>
      </c>
      <c r="G190" s="282">
        <v>-0.17647058823529413</v>
      </c>
      <c r="H190" s="282">
        <v>0.15142857142857144</v>
      </c>
      <c r="I190" s="269">
        <v>2871</v>
      </c>
      <c r="J190" s="269">
        <v>1755</v>
      </c>
      <c r="K190" s="269">
        <v>75292</v>
      </c>
      <c r="L190" s="269">
        <v>60223</v>
      </c>
      <c r="M190" s="127">
        <v>0.28999999999999998</v>
      </c>
      <c r="N190" s="127">
        <v>0.31462585034013607</v>
      </c>
      <c r="O190" s="127">
        <v>0.68537414965986398</v>
      </c>
      <c r="P190" s="127">
        <v>0.69</v>
      </c>
      <c r="Q190" s="283">
        <v>0.97</v>
      </c>
      <c r="R190" s="284">
        <v>0</v>
      </c>
      <c r="S190" s="284">
        <v>0</v>
      </c>
      <c r="T190" s="298">
        <v>4</v>
      </c>
      <c r="U190" s="127" t="str">
        <f t="shared" si="12"/>
        <v>Normal</v>
      </c>
      <c r="V190" s="127" t="str">
        <f t="shared" si="13"/>
        <v>Normal</v>
      </c>
      <c r="W190" s="87">
        <f t="shared" si="14"/>
        <v>-0.17647058823529413</v>
      </c>
      <c r="X190" s="87">
        <f t="shared" si="15"/>
        <v>0.15142857142857144</v>
      </c>
      <c r="Y190" s="277"/>
      <c r="Z190" s="277"/>
      <c r="AA190" s="277"/>
      <c r="AB190" s="277"/>
      <c r="AC190" s="277"/>
      <c r="AD190" s="277"/>
      <c r="AE190" s="277"/>
      <c r="AF190" s="277"/>
      <c r="AG190" s="277"/>
      <c r="AH190" s="277"/>
      <c r="AI190" s="277"/>
      <c r="AJ190" s="277"/>
      <c r="AK190" s="277"/>
    </row>
    <row r="191" spans="1:37">
      <c r="A191" s="281">
        <v>44841</v>
      </c>
      <c r="B191" s="314">
        <f>IF(YEAR(Table9[[#This Row],[Date]]) = 2022, WEEKNUM(Table9[[#This Row],[Date]])-13, WEEKNUM(Table9[[#This Row],[Date]])+40)</f>
        <v>28</v>
      </c>
      <c r="C191" s="255" t="s">
        <v>52</v>
      </c>
      <c r="D191" s="65" t="s">
        <v>59</v>
      </c>
      <c r="E191" s="269">
        <v>601</v>
      </c>
      <c r="F191" s="269">
        <v>361</v>
      </c>
      <c r="G191" s="282">
        <v>-0.26348039215686275</v>
      </c>
      <c r="H191" s="282">
        <v>0.1875</v>
      </c>
      <c r="I191" s="269">
        <v>3472</v>
      </c>
      <c r="J191" s="269">
        <v>2116</v>
      </c>
      <c r="K191" s="269">
        <v>75893</v>
      </c>
      <c r="L191" s="269">
        <v>60584</v>
      </c>
      <c r="M191" s="127">
        <v>0.2</v>
      </c>
      <c r="N191" s="127">
        <v>0.39933444259567386</v>
      </c>
      <c r="O191" s="127">
        <v>0.60066555740432614</v>
      </c>
      <c r="P191" s="127">
        <v>0.62</v>
      </c>
      <c r="Q191" s="283">
        <v>0.95</v>
      </c>
      <c r="R191" s="284">
        <v>0</v>
      </c>
      <c r="S191" s="284">
        <v>0</v>
      </c>
      <c r="T191" s="298">
        <v>4</v>
      </c>
      <c r="U191" s="127" t="str">
        <f t="shared" si="12"/>
        <v>Normal</v>
      </c>
      <c r="V191" s="127" t="str">
        <f t="shared" si="13"/>
        <v>Normal</v>
      </c>
      <c r="W191" s="87">
        <f t="shared" si="14"/>
        <v>-0.26348039215686275</v>
      </c>
      <c r="X191" s="87">
        <f t="shared" si="15"/>
        <v>0.1875</v>
      </c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</row>
    <row r="192" spans="1:37">
      <c r="A192" s="281">
        <v>44842</v>
      </c>
      <c r="B192" s="314">
        <f>IF(YEAR(Table9[[#This Row],[Date]]) = 2022, WEEKNUM(Table9[[#This Row],[Date]])-13, WEEKNUM(Table9[[#This Row],[Date]])+40)</f>
        <v>28</v>
      </c>
      <c r="C192" s="255" t="s">
        <v>53</v>
      </c>
      <c r="D192" s="65" t="s">
        <v>59</v>
      </c>
      <c r="E192" s="269">
        <v>569</v>
      </c>
      <c r="F192" s="269">
        <v>156</v>
      </c>
      <c r="G192" s="282">
        <v>0.42249999999999999</v>
      </c>
      <c r="H192" s="282">
        <v>-0.32173913043478258</v>
      </c>
      <c r="I192" s="269">
        <v>4041</v>
      </c>
      <c r="J192" s="269">
        <v>2272</v>
      </c>
      <c r="K192" s="269">
        <v>76462</v>
      </c>
      <c r="L192" s="269">
        <v>60740</v>
      </c>
      <c r="M192" s="127">
        <v>0.02</v>
      </c>
      <c r="N192" s="127">
        <v>0.72583479789103689</v>
      </c>
      <c r="O192" s="127">
        <v>0.27416520210896311</v>
      </c>
      <c r="P192" s="127">
        <v>0.71</v>
      </c>
      <c r="Q192" s="283">
        <v>0.98</v>
      </c>
      <c r="R192" s="284">
        <v>0</v>
      </c>
      <c r="S192" s="284">
        <v>0</v>
      </c>
      <c r="T192" s="298">
        <v>2</v>
      </c>
      <c r="U192" s="127" t="str">
        <f t="shared" si="12"/>
        <v>Normal</v>
      </c>
      <c r="V192" s="127" t="str">
        <f t="shared" si="13"/>
        <v>Outlier</v>
      </c>
      <c r="W192" s="87">
        <f t="shared" si="14"/>
        <v>0.42249999999999999</v>
      </c>
      <c r="X192" s="87">
        <f t="shared" si="15"/>
        <v>-0.32173913043478258</v>
      </c>
      <c r="Y192" s="277"/>
      <c r="Z192" s="277"/>
      <c r="AA192" s="277"/>
      <c r="AB192" s="277"/>
      <c r="AC192" s="277"/>
      <c r="AD192" s="277"/>
      <c r="AE192" s="277"/>
      <c r="AF192" s="277"/>
      <c r="AG192" s="277"/>
      <c r="AH192" s="277"/>
      <c r="AI192" s="277"/>
      <c r="AJ192" s="277"/>
      <c r="AK192" s="277"/>
    </row>
    <row r="193" spans="1:37">
      <c r="A193" s="281">
        <v>44843</v>
      </c>
      <c r="B193" s="314">
        <f>IF(YEAR(Table9[[#This Row],[Date]]) = 2022, WEEKNUM(Table9[[#This Row],[Date]])-13, WEEKNUM(Table9[[#This Row],[Date]])+40)</f>
        <v>29</v>
      </c>
      <c r="C193" s="255" t="s">
        <v>47</v>
      </c>
      <c r="D193" s="65" t="s">
        <v>59</v>
      </c>
      <c r="E193" s="269">
        <v>0</v>
      </c>
      <c r="F193" s="269">
        <v>0</v>
      </c>
      <c r="G193" s="282">
        <v>0</v>
      </c>
      <c r="H193" s="282">
        <v>0</v>
      </c>
      <c r="I193" s="269">
        <v>0</v>
      </c>
      <c r="J193" s="269">
        <v>0</v>
      </c>
      <c r="K193" s="269">
        <v>0</v>
      </c>
      <c r="L193" s="269">
        <v>0</v>
      </c>
      <c r="M193" s="127">
        <v>0</v>
      </c>
      <c r="N193" s="127">
        <v>0</v>
      </c>
      <c r="O193" s="127">
        <v>0</v>
      </c>
      <c r="P193" s="127">
        <v>0</v>
      </c>
      <c r="Q193" s="283">
        <v>0</v>
      </c>
      <c r="R193" s="293">
        <v>0</v>
      </c>
      <c r="S193" s="293">
        <v>0</v>
      </c>
      <c r="T193" s="299">
        <v>0</v>
      </c>
      <c r="U193" s="127" t="str">
        <f t="shared" si="12"/>
        <v>Normal</v>
      </c>
      <c r="V193" s="127" t="str">
        <f t="shared" si="13"/>
        <v>Normal</v>
      </c>
      <c r="W193" s="87">
        <f t="shared" si="14"/>
        <v>0</v>
      </c>
      <c r="X193" s="87">
        <f t="shared" si="15"/>
        <v>0</v>
      </c>
      <c r="Y193" s="277"/>
      <c r="Z193" s="277"/>
      <c r="AA193" s="277"/>
      <c r="AB193" s="277"/>
      <c r="AC193" s="277"/>
      <c r="AD193" s="277"/>
      <c r="AE193" s="277"/>
      <c r="AF193" s="277"/>
      <c r="AG193" s="277"/>
      <c r="AH193" s="277"/>
      <c r="AI193" s="277"/>
      <c r="AJ193" s="277"/>
      <c r="AK193" s="277"/>
    </row>
    <row r="194" spans="1:37">
      <c r="A194" s="281">
        <v>44844</v>
      </c>
      <c r="B194" s="314">
        <f>IF(YEAR(Table9[[#This Row],[Date]]) = 2022, WEEKNUM(Table9[[#This Row],[Date]])-13, WEEKNUM(Table9[[#This Row],[Date]])+40)</f>
        <v>29</v>
      </c>
      <c r="C194" s="255" t="s">
        <v>48</v>
      </c>
      <c r="D194" s="65" t="s">
        <v>59</v>
      </c>
      <c r="E194" s="269">
        <v>856</v>
      </c>
      <c r="F194" s="269">
        <v>424</v>
      </c>
      <c r="G194" s="282">
        <v>0.41487603305785126</v>
      </c>
      <c r="H194" s="282">
        <v>0.34177215189873417</v>
      </c>
      <c r="I194" s="269">
        <v>4897</v>
      </c>
      <c r="J194" s="269">
        <v>2696</v>
      </c>
      <c r="K194" s="269">
        <v>77318</v>
      </c>
      <c r="L194" s="269">
        <v>61164</v>
      </c>
      <c r="M194" s="127">
        <v>0.1</v>
      </c>
      <c r="N194" s="127">
        <v>0.5</v>
      </c>
      <c r="O194" s="127">
        <v>0.5</v>
      </c>
      <c r="P194" s="127">
        <v>0.49</v>
      </c>
      <c r="Q194" s="283">
        <v>0.93</v>
      </c>
      <c r="R194" s="284">
        <v>0</v>
      </c>
      <c r="S194" s="284">
        <v>0</v>
      </c>
      <c r="T194" s="298">
        <v>6</v>
      </c>
      <c r="U194" s="127" t="str">
        <f t="shared" si="12"/>
        <v>Normal</v>
      </c>
      <c r="V194" s="127" t="str">
        <f t="shared" si="13"/>
        <v>Outlier</v>
      </c>
      <c r="W194" s="87">
        <f t="shared" si="14"/>
        <v>0.41487603305785126</v>
      </c>
      <c r="X194" s="87">
        <f t="shared" si="15"/>
        <v>0.34177215189873417</v>
      </c>
      <c r="Y194" s="277"/>
      <c r="Z194" s="277"/>
      <c r="AA194" s="277"/>
      <c r="AB194" s="277"/>
      <c r="AC194" s="277"/>
      <c r="AD194" s="277"/>
      <c r="AE194" s="277"/>
      <c r="AF194" s="277"/>
      <c r="AG194" s="277"/>
      <c r="AH194" s="277"/>
      <c r="AI194" s="277"/>
      <c r="AJ194" s="277"/>
      <c r="AK194" s="277"/>
    </row>
    <row r="195" spans="1:37">
      <c r="A195" s="281">
        <v>44845</v>
      </c>
      <c r="B195" s="314">
        <f>IF(YEAR(Table9[[#This Row],[Date]]) = 2022, WEEKNUM(Table9[[#This Row],[Date]])-13, WEEKNUM(Table9[[#This Row],[Date]])+40)</f>
        <v>29</v>
      </c>
      <c r="C195" s="255" t="s">
        <v>49</v>
      </c>
      <c r="D195" s="65" t="s">
        <v>59</v>
      </c>
      <c r="E195" s="269">
        <v>586</v>
      </c>
      <c r="F195" s="269">
        <v>473</v>
      </c>
      <c r="G195" s="282">
        <v>-0.11613876319758673</v>
      </c>
      <c r="H195" s="282">
        <v>0.35142857142857142</v>
      </c>
      <c r="I195" s="269">
        <v>5483</v>
      </c>
      <c r="J195" s="269">
        <v>3169</v>
      </c>
      <c r="K195" s="269">
        <v>77904</v>
      </c>
      <c r="L195" s="269">
        <v>61637</v>
      </c>
      <c r="M195" s="127">
        <v>0.48</v>
      </c>
      <c r="N195" s="127">
        <v>0.19</v>
      </c>
      <c r="O195" s="127">
        <v>0.81</v>
      </c>
      <c r="P195" s="127">
        <v>0.65</v>
      </c>
      <c r="Q195" s="283">
        <v>0.96</v>
      </c>
      <c r="R195" s="284">
        <v>0</v>
      </c>
      <c r="S195" s="284">
        <v>0</v>
      </c>
      <c r="T195" s="298">
        <v>5</v>
      </c>
      <c r="U195" s="127" t="str">
        <f t="shared" ref="U195:U258" si="16">IF(OR(G195&lt;$AA$5,G195&gt;$AB$5), "Outlier", "Normal")</f>
        <v>Normal</v>
      </c>
      <c r="V195" s="127" t="str">
        <f t="shared" ref="V195:V258" si="17">IF(OR(H195&lt;$AA$6,H195&gt;$AB$6), "Outlier", "Normal")</f>
        <v>Outlier</v>
      </c>
      <c r="W195" s="87">
        <f t="shared" ref="W195:W258" si="18">IF(U195="Normal",$G195,IF($G195&lt;150%, $G195, $AA$9))</f>
        <v>-0.11613876319758673</v>
      </c>
      <c r="X195" s="87">
        <f t="shared" ref="X195:X258" si="19">IF(V195="Normal",$H195,IF($H195&lt;150%, $H195, $AE$9))</f>
        <v>0.35142857142857142</v>
      </c>
      <c r="Y195" s="277"/>
      <c r="Z195" s="277"/>
      <c r="AA195" s="277"/>
      <c r="AB195" s="277"/>
      <c r="AC195" s="277"/>
      <c r="AD195" s="277"/>
      <c r="AE195" s="277"/>
      <c r="AF195" s="277"/>
      <c r="AG195" s="277"/>
      <c r="AH195" s="277"/>
      <c r="AI195" s="277"/>
      <c r="AJ195" s="277"/>
      <c r="AK195" s="277"/>
    </row>
    <row r="196" spans="1:37">
      <c r="A196" s="281">
        <v>44846</v>
      </c>
      <c r="B196" s="314">
        <f>IF(YEAR(Table9[[#This Row],[Date]]) = 2022, WEEKNUM(Table9[[#This Row],[Date]])-13, WEEKNUM(Table9[[#This Row],[Date]])+40)</f>
        <v>29</v>
      </c>
      <c r="C196" s="255" t="s">
        <v>50</v>
      </c>
      <c r="D196" s="65" t="s">
        <v>59</v>
      </c>
      <c r="E196" s="269">
        <v>671</v>
      </c>
      <c r="F196" s="269">
        <v>461</v>
      </c>
      <c r="G196" s="282">
        <v>9.1056910569105698E-2</v>
      </c>
      <c r="H196" s="282">
        <v>1.0964912280701754E-2</v>
      </c>
      <c r="I196" s="269">
        <v>6154</v>
      </c>
      <c r="J196" s="269">
        <v>3630</v>
      </c>
      <c r="K196" s="269">
        <v>78575</v>
      </c>
      <c r="L196" s="269">
        <v>62098</v>
      </c>
      <c r="M196" s="127">
        <v>0.3</v>
      </c>
      <c r="N196" s="127">
        <v>0.31</v>
      </c>
      <c r="O196" s="127">
        <v>0.69</v>
      </c>
      <c r="P196" s="127">
        <v>0.79</v>
      </c>
      <c r="Q196" s="283">
        <v>0.97</v>
      </c>
      <c r="R196" s="284">
        <v>0</v>
      </c>
      <c r="S196" s="284">
        <v>0</v>
      </c>
      <c r="T196" s="298">
        <v>4</v>
      </c>
      <c r="U196" s="127" t="str">
        <f t="shared" si="16"/>
        <v>Normal</v>
      </c>
      <c r="V196" s="127" t="str">
        <f t="shared" si="17"/>
        <v>Normal</v>
      </c>
      <c r="W196" s="87">
        <f t="shared" si="18"/>
        <v>9.1056910569105698E-2</v>
      </c>
      <c r="X196" s="87">
        <f t="shared" si="19"/>
        <v>1.0964912280701754E-2</v>
      </c>
      <c r="Y196" s="277"/>
      <c r="Z196" s="277"/>
      <c r="AA196" s="277"/>
      <c r="AB196" s="277"/>
      <c r="AC196" s="277"/>
      <c r="AD196" s="277"/>
      <c r="AE196" s="277"/>
      <c r="AF196" s="277"/>
      <c r="AG196" s="277"/>
      <c r="AH196" s="277"/>
      <c r="AI196" s="277"/>
      <c r="AJ196" s="277"/>
      <c r="AK196" s="277"/>
    </row>
    <row r="197" spans="1:37">
      <c r="A197" s="281">
        <v>44847</v>
      </c>
      <c r="B197" s="314">
        <f>IF(YEAR(Table9[[#This Row],[Date]]) = 2022, WEEKNUM(Table9[[#This Row],[Date]])-13, WEEKNUM(Table9[[#This Row],[Date]])+40)</f>
        <v>29</v>
      </c>
      <c r="C197" s="255" t="s">
        <v>51</v>
      </c>
      <c r="D197" s="65" t="s">
        <v>59</v>
      </c>
      <c r="E197" s="269">
        <v>625</v>
      </c>
      <c r="F197" s="269">
        <v>495</v>
      </c>
      <c r="G197" s="282">
        <v>6.2925170068027211E-2</v>
      </c>
      <c r="H197" s="282">
        <v>0.22828784119106699</v>
      </c>
      <c r="I197" s="269">
        <v>6779</v>
      </c>
      <c r="J197" s="269">
        <v>4125</v>
      </c>
      <c r="K197" s="269">
        <v>79200</v>
      </c>
      <c r="L197" s="269">
        <v>62593</v>
      </c>
      <c r="M197" s="127">
        <v>0.43</v>
      </c>
      <c r="N197" s="127">
        <v>0.21</v>
      </c>
      <c r="O197" s="127">
        <v>0.79</v>
      </c>
      <c r="P197" s="127">
        <v>0.9</v>
      </c>
      <c r="Q197" s="283">
        <v>0.92</v>
      </c>
      <c r="R197" s="284">
        <v>0</v>
      </c>
      <c r="S197" s="284">
        <v>0</v>
      </c>
      <c r="T197" s="298">
        <v>5</v>
      </c>
      <c r="U197" s="127" t="str">
        <f t="shared" si="16"/>
        <v>Normal</v>
      </c>
      <c r="V197" s="127" t="str">
        <f t="shared" si="17"/>
        <v>Normal</v>
      </c>
      <c r="W197" s="87">
        <f t="shared" si="18"/>
        <v>6.2925170068027211E-2</v>
      </c>
      <c r="X197" s="87">
        <f t="shared" si="19"/>
        <v>0.22828784119106699</v>
      </c>
      <c r="Y197" s="277"/>
      <c r="Z197" s="277"/>
      <c r="AA197" s="277"/>
      <c r="AB197" s="277"/>
      <c r="AC197" s="277"/>
      <c r="AD197" s="277"/>
      <c r="AE197" s="277"/>
      <c r="AF197" s="277"/>
      <c r="AG197" s="277"/>
      <c r="AH197" s="277"/>
      <c r="AI197" s="277"/>
      <c r="AJ197" s="277"/>
      <c r="AK197" s="277"/>
    </row>
    <row r="198" spans="1:37">
      <c r="A198" s="281">
        <v>44848</v>
      </c>
      <c r="B198" s="314">
        <f>IF(YEAR(Table9[[#This Row],[Date]]) = 2022, WEEKNUM(Table9[[#This Row],[Date]])-13, WEEKNUM(Table9[[#This Row],[Date]])+40)</f>
        <v>29</v>
      </c>
      <c r="C198" s="255" t="s">
        <v>52</v>
      </c>
      <c r="D198" s="65" t="s">
        <v>59</v>
      </c>
      <c r="E198" s="269">
        <v>623</v>
      </c>
      <c r="F198" s="269">
        <v>487</v>
      </c>
      <c r="G198" s="282">
        <v>3.6605657237936774E-2</v>
      </c>
      <c r="H198" s="282">
        <v>0.34903047091412742</v>
      </c>
      <c r="I198" s="269">
        <v>7402</v>
      </c>
      <c r="J198" s="269">
        <v>4612</v>
      </c>
      <c r="K198" s="269">
        <v>79823</v>
      </c>
      <c r="L198" s="269">
        <v>63080</v>
      </c>
      <c r="M198" s="127">
        <v>0.5</v>
      </c>
      <c r="N198" s="127">
        <v>0.22</v>
      </c>
      <c r="O198" s="127">
        <v>0.78</v>
      </c>
      <c r="P198" s="127">
        <v>0.67</v>
      </c>
      <c r="Q198" s="283">
        <v>0.94</v>
      </c>
      <c r="R198" s="284">
        <v>0</v>
      </c>
      <c r="S198" s="284">
        <v>0</v>
      </c>
      <c r="T198" s="298">
        <v>5</v>
      </c>
      <c r="U198" s="127" t="str">
        <f t="shared" si="16"/>
        <v>Normal</v>
      </c>
      <c r="V198" s="127" t="str">
        <f t="shared" si="17"/>
        <v>Outlier</v>
      </c>
      <c r="W198" s="87">
        <f t="shared" si="18"/>
        <v>3.6605657237936774E-2</v>
      </c>
      <c r="X198" s="87">
        <f t="shared" si="19"/>
        <v>0.34903047091412742</v>
      </c>
      <c r="Y198" s="277"/>
      <c r="Z198" s="277"/>
      <c r="AA198" s="277"/>
      <c r="AB198" s="277"/>
      <c r="AC198" s="277"/>
      <c r="AD198" s="277"/>
      <c r="AE198" s="277"/>
      <c r="AF198" s="277"/>
      <c r="AG198" s="277"/>
      <c r="AH198" s="277"/>
      <c r="AI198" s="277"/>
      <c r="AJ198" s="277"/>
      <c r="AK198" s="277"/>
    </row>
    <row r="199" spans="1:37">
      <c r="A199" s="281">
        <v>44849</v>
      </c>
      <c r="B199" s="314">
        <f>IF(YEAR(Table9[[#This Row],[Date]]) = 2022, WEEKNUM(Table9[[#This Row],[Date]])-13, WEEKNUM(Table9[[#This Row],[Date]])+40)</f>
        <v>29</v>
      </c>
      <c r="C199" s="255" t="s">
        <v>53</v>
      </c>
      <c r="D199" s="65" t="s">
        <v>59</v>
      </c>
      <c r="E199" s="269">
        <v>464</v>
      </c>
      <c r="F199" s="269">
        <v>242</v>
      </c>
      <c r="G199" s="282">
        <v>-0.18453427065026362</v>
      </c>
      <c r="H199" s="282">
        <v>0.55128205128205132</v>
      </c>
      <c r="I199" s="269">
        <v>7866</v>
      </c>
      <c r="J199" s="269">
        <v>4854</v>
      </c>
      <c r="K199" s="269">
        <v>80287</v>
      </c>
      <c r="L199" s="269">
        <v>63322</v>
      </c>
      <c r="M199" s="127">
        <v>0.16</v>
      </c>
      <c r="N199" s="127">
        <v>0.48</v>
      </c>
      <c r="O199" s="127">
        <v>0.52</v>
      </c>
      <c r="P199" s="127">
        <v>0.42</v>
      </c>
      <c r="Q199" s="283">
        <v>0.96</v>
      </c>
      <c r="R199" s="284">
        <v>0</v>
      </c>
      <c r="S199" s="284">
        <v>0</v>
      </c>
      <c r="T199" s="298">
        <v>4</v>
      </c>
      <c r="U199" s="127" t="str">
        <f t="shared" si="16"/>
        <v>Normal</v>
      </c>
      <c r="V199" s="127" t="str">
        <f t="shared" si="17"/>
        <v>Outlier</v>
      </c>
      <c r="W199" s="87">
        <f t="shared" si="18"/>
        <v>-0.18453427065026362</v>
      </c>
      <c r="X199" s="87">
        <f t="shared" si="19"/>
        <v>0.55128205128205132</v>
      </c>
      <c r="Y199" s="277"/>
      <c r="Z199" s="277"/>
      <c r="AA199" s="277"/>
      <c r="AB199" s="277"/>
      <c r="AC199" s="277"/>
      <c r="AD199" s="277"/>
      <c r="AE199" s="277"/>
      <c r="AF199" s="277"/>
      <c r="AG199" s="277"/>
      <c r="AH199" s="277"/>
      <c r="AI199" s="277"/>
      <c r="AJ199" s="277"/>
      <c r="AK199" s="277"/>
    </row>
    <row r="200" spans="1:37">
      <c r="A200" s="281">
        <v>44850</v>
      </c>
      <c r="B200" s="314">
        <f>IF(YEAR(Table9[[#This Row],[Date]]) = 2022, WEEKNUM(Table9[[#This Row],[Date]])-13, WEEKNUM(Table9[[#This Row],[Date]])+40)</f>
        <v>30</v>
      </c>
      <c r="C200" s="255" t="s">
        <v>47</v>
      </c>
      <c r="D200" s="65" t="s">
        <v>59</v>
      </c>
      <c r="E200" s="269">
        <v>0</v>
      </c>
      <c r="F200" s="269">
        <v>0</v>
      </c>
      <c r="G200" s="282">
        <v>0</v>
      </c>
      <c r="H200" s="282">
        <v>0</v>
      </c>
      <c r="I200" s="269">
        <v>0</v>
      </c>
      <c r="J200" s="269">
        <v>0</v>
      </c>
      <c r="K200" s="269">
        <v>0</v>
      </c>
      <c r="L200" s="269">
        <v>0</v>
      </c>
      <c r="M200" s="127">
        <v>0</v>
      </c>
      <c r="N200" s="127">
        <v>0</v>
      </c>
      <c r="O200" s="127">
        <v>0</v>
      </c>
      <c r="P200" s="127">
        <v>0</v>
      </c>
      <c r="Q200" s="283">
        <v>0</v>
      </c>
      <c r="R200" s="293">
        <v>0</v>
      </c>
      <c r="S200" s="293">
        <v>0</v>
      </c>
      <c r="T200" s="299">
        <v>0</v>
      </c>
      <c r="U200" s="127" t="str">
        <f t="shared" si="16"/>
        <v>Normal</v>
      </c>
      <c r="V200" s="127" t="str">
        <f t="shared" si="17"/>
        <v>Normal</v>
      </c>
      <c r="W200" s="87">
        <f t="shared" si="18"/>
        <v>0</v>
      </c>
      <c r="X200" s="87">
        <f t="shared" si="19"/>
        <v>0</v>
      </c>
      <c r="Y200" s="277"/>
      <c r="Z200" s="277"/>
      <c r="AA200" s="277"/>
      <c r="AB200" s="277"/>
      <c r="AC200" s="277"/>
      <c r="AD200" s="277"/>
      <c r="AE200" s="277"/>
      <c r="AF200" s="277"/>
      <c r="AG200" s="277"/>
      <c r="AH200" s="277"/>
      <c r="AI200" s="277"/>
      <c r="AJ200" s="277"/>
      <c r="AK200" s="277"/>
    </row>
    <row r="201" spans="1:37">
      <c r="A201" s="281">
        <v>44851</v>
      </c>
      <c r="B201" s="314">
        <f>IF(YEAR(Table9[[#This Row],[Date]]) = 2022, WEEKNUM(Table9[[#This Row],[Date]])-13, WEEKNUM(Table9[[#This Row],[Date]])+40)</f>
        <v>30</v>
      </c>
      <c r="C201" s="255" t="s">
        <v>48</v>
      </c>
      <c r="D201" s="65" t="s">
        <v>59</v>
      </c>
      <c r="E201" s="269">
        <v>662</v>
      </c>
      <c r="F201" s="269">
        <v>495</v>
      </c>
      <c r="G201" s="282">
        <v>-0.22663551401869159</v>
      </c>
      <c r="H201" s="282">
        <v>0.16745283018867924</v>
      </c>
      <c r="I201" s="269">
        <v>8528</v>
      </c>
      <c r="J201" s="269">
        <v>5349</v>
      </c>
      <c r="K201" s="269">
        <v>80949</v>
      </c>
      <c r="L201" s="269">
        <v>63817</v>
      </c>
      <c r="M201" s="127">
        <v>0.41</v>
      </c>
      <c r="N201" s="127">
        <v>0.35</v>
      </c>
      <c r="O201" s="127">
        <v>0.65</v>
      </c>
      <c r="P201" s="127">
        <v>0.56999999999999995</v>
      </c>
      <c r="Q201" s="283">
        <v>0.95</v>
      </c>
      <c r="R201" s="284">
        <v>0</v>
      </c>
      <c r="S201" s="284">
        <v>0</v>
      </c>
      <c r="T201" s="298">
        <v>6</v>
      </c>
      <c r="U201" s="127" t="str">
        <f t="shared" si="16"/>
        <v>Normal</v>
      </c>
      <c r="V201" s="127" t="str">
        <f t="shared" si="17"/>
        <v>Normal</v>
      </c>
      <c r="W201" s="87">
        <f t="shared" si="18"/>
        <v>-0.22663551401869159</v>
      </c>
      <c r="X201" s="87">
        <f t="shared" si="19"/>
        <v>0.16745283018867924</v>
      </c>
      <c r="Y201" s="277"/>
      <c r="Z201" s="277"/>
      <c r="AA201" s="277"/>
      <c r="AB201" s="277"/>
      <c r="AC201" s="277"/>
      <c r="AD201" s="277"/>
      <c r="AE201" s="277"/>
      <c r="AF201" s="277"/>
      <c r="AG201" s="277"/>
      <c r="AH201" s="277"/>
      <c r="AI201" s="277"/>
      <c r="AJ201" s="277"/>
      <c r="AK201" s="277"/>
    </row>
    <row r="202" spans="1:37">
      <c r="A202" s="281">
        <v>44852</v>
      </c>
      <c r="B202" s="314">
        <f>IF(YEAR(Table9[[#This Row],[Date]]) = 2022, WEEKNUM(Table9[[#This Row],[Date]])-13, WEEKNUM(Table9[[#This Row],[Date]])+40)</f>
        <v>30</v>
      </c>
      <c r="C202" s="255" t="s">
        <v>49</v>
      </c>
      <c r="D202" s="65" t="s">
        <v>59</v>
      </c>
      <c r="E202" s="269">
        <v>497</v>
      </c>
      <c r="F202" s="269">
        <v>447</v>
      </c>
      <c r="G202" s="282">
        <v>-0.15187713310580206</v>
      </c>
      <c r="H202" s="282">
        <v>-5.4968287526427059E-2</v>
      </c>
      <c r="I202" s="269">
        <v>9025</v>
      </c>
      <c r="J202" s="269">
        <v>5796</v>
      </c>
      <c r="K202" s="269">
        <v>81446</v>
      </c>
      <c r="L202" s="269">
        <v>64264</v>
      </c>
      <c r="M202" s="127">
        <v>0.72</v>
      </c>
      <c r="N202" s="127">
        <v>0.1</v>
      </c>
      <c r="O202" s="127">
        <v>0.9</v>
      </c>
      <c r="P202" s="127">
        <v>0.68</v>
      </c>
      <c r="Q202" s="283">
        <v>0.95</v>
      </c>
      <c r="R202" s="284">
        <v>0</v>
      </c>
      <c r="S202" s="284">
        <v>0</v>
      </c>
      <c r="T202" s="298">
        <v>6</v>
      </c>
      <c r="U202" s="127" t="str">
        <f t="shared" si="16"/>
        <v>Normal</v>
      </c>
      <c r="V202" s="127" t="str">
        <f t="shared" si="17"/>
        <v>Normal</v>
      </c>
      <c r="W202" s="87">
        <f t="shared" si="18"/>
        <v>-0.15187713310580206</v>
      </c>
      <c r="X202" s="87">
        <f t="shared" si="19"/>
        <v>-5.4968287526427059E-2</v>
      </c>
      <c r="Y202" s="277"/>
      <c r="Z202" s="277"/>
      <c r="AA202" s="277"/>
      <c r="AB202" s="277"/>
      <c r="AC202" s="277"/>
      <c r="AD202" s="277"/>
      <c r="AE202" s="277"/>
      <c r="AF202" s="277"/>
      <c r="AG202" s="277"/>
      <c r="AH202" s="277"/>
      <c r="AI202" s="277"/>
      <c r="AJ202" s="277"/>
      <c r="AK202" s="277"/>
    </row>
    <row r="203" spans="1:37">
      <c r="A203" s="281">
        <v>44853</v>
      </c>
      <c r="B203" s="314">
        <f>IF(YEAR(Table9[[#This Row],[Date]]) = 2022, WEEKNUM(Table9[[#This Row],[Date]])-13, WEEKNUM(Table9[[#This Row],[Date]])+40)</f>
        <v>30</v>
      </c>
      <c r="C203" s="255" t="s">
        <v>50</v>
      </c>
      <c r="D203" s="65" t="s">
        <v>59</v>
      </c>
      <c r="E203" s="269">
        <v>589</v>
      </c>
      <c r="F203" s="269">
        <v>359</v>
      </c>
      <c r="G203" s="282">
        <v>-0.12220566318926974</v>
      </c>
      <c r="H203" s="282">
        <v>-0.22125813449023862</v>
      </c>
      <c r="I203" s="269">
        <v>9614</v>
      </c>
      <c r="J203" s="269">
        <v>6155</v>
      </c>
      <c r="K203" s="269">
        <v>82035</v>
      </c>
      <c r="L203" s="269">
        <v>64623</v>
      </c>
      <c r="M203" s="127">
        <v>0.21</v>
      </c>
      <c r="N203" s="127">
        <v>0.39</v>
      </c>
      <c r="O203" s="127">
        <v>0.61</v>
      </c>
      <c r="P203" s="127">
        <v>0.5</v>
      </c>
      <c r="Q203" s="283">
        <v>0.97</v>
      </c>
      <c r="R203" s="284">
        <v>0</v>
      </c>
      <c r="S203" s="284">
        <v>0</v>
      </c>
      <c r="T203" s="298">
        <v>5</v>
      </c>
      <c r="U203" s="127" t="str">
        <f t="shared" si="16"/>
        <v>Normal</v>
      </c>
      <c r="V203" s="127" t="str">
        <f t="shared" si="17"/>
        <v>Normal</v>
      </c>
      <c r="W203" s="87">
        <f t="shared" si="18"/>
        <v>-0.12220566318926974</v>
      </c>
      <c r="X203" s="87">
        <f t="shared" si="19"/>
        <v>-0.22125813449023862</v>
      </c>
      <c r="Y203" s="277"/>
      <c r="Z203" s="277"/>
      <c r="AA203" s="277"/>
      <c r="AB203" s="277"/>
      <c r="AC203" s="277"/>
      <c r="AD203" s="277"/>
      <c r="AE203" s="277"/>
      <c r="AF203" s="277"/>
      <c r="AG203" s="277"/>
      <c r="AH203" s="277"/>
      <c r="AI203" s="277"/>
      <c r="AJ203" s="277"/>
      <c r="AK203" s="277"/>
    </row>
    <row r="204" spans="1:37">
      <c r="A204" s="281">
        <v>44854</v>
      </c>
      <c r="B204" s="314">
        <f>IF(YEAR(Table9[[#This Row],[Date]]) = 2022, WEEKNUM(Table9[[#This Row],[Date]])-13, WEEKNUM(Table9[[#This Row],[Date]])+40)</f>
        <v>30</v>
      </c>
      <c r="C204" s="255" t="s">
        <v>51</v>
      </c>
      <c r="D204" s="65" t="s">
        <v>59</v>
      </c>
      <c r="E204" s="269">
        <v>602</v>
      </c>
      <c r="F204" s="269">
        <v>488</v>
      </c>
      <c r="G204" s="282">
        <v>-3.6799999999999999E-2</v>
      </c>
      <c r="H204" s="282">
        <v>-1.4141414141414142E-2</v>
      </c>
      <c r="I204" s="269">
        <v>10216</v>
      </c>
      <c r="J204" s="269">
        <v>6643</v>
      </c>
      <c r="K204" s="269">
        <v>82637</v>
      </c>
      <c r="L204" s="269">
        <v>65111</v>
      </c>
      <c r="M204" s="127">
        <v>0.51</v>
      </c>
      <c r="N204" s="127">
        <v>0.19</v>
      </c>
      <c r="O204" s="127">
        <v>0.81</v>
      </c>
      <c r="P204" s="127">
        <v>0.67</v>
      </c>
      <c r="Q204" s="283">
        <v>0.98</v>
      </c>
      <c r="R204" s="284">
        <v>0</v>
      </c>
      <c r="S204" s="284">
        <v>0</v>
      </c>
      <c r="T204" s="298">
        <v>5</v>
      </c>
      <c r="U204" s="127" t="str">
        <f t="shared" si="16"/>
        <v>Normal</v>
      </c>
      <c r="V204" s="127" t="str">
        <f t="shared" si="17"/>
        <v>Normal</v>
      </c>
      <c r="W204" s="87">
        <f t="shared" si="18"/>
        <v>-3.6799999999999999E-2</v>
      </c>
      <c r="X204" s="87">
        <f t="shared" si="19"/>
        <v>-1.4141414141414142E-2</v>
      </c>
      <c r="Y204" s="277"/>
      <c r="Z204" s="277"/>
      <c r="AA204" s="277"/>
      <c r="AB204" s="277"/>
      <c r="AC204" s="277"/>
      <c r="AD204" s="277"/>
      <c r="AE204" s="277"/>
      <c r="AF204" s="277"/>
      <c r="AG204" s="277"/>
      <c r="AH204" s="277"/>
      <c r="AI204" s="277"/>
      <c r="AJ204" s="277"/>
      <c r="AK204" s="277"/>
    </row>
    <row r="205" spans="1:37">
      <c r="A205" s="281">
        <v>44855</v>
      </c>
      <c r="B205" s="314">
        <f>IF(YEAR(Table9[[#This Row],[Date]]) = 2022, WEEKNUM(Table9[[#This Row],[Date]])-13, WEEKNUM(Table9[[#This Row],[Date]])+40)</f>
        <v>30</v>
      </c>
      <c r="C205" s="255" t="s">
        <v>52</v>
      </c>
      <c r="D205" s="65" t="s">
        <v>59</v>
      </c>
      <c r="E205" s="269">
        <v>529</v>
      </c>
      <c r="F205" s="269">
        <v>487</v>
      </c>
      <c r="G205" s="282">
        <v>-0.1508828250401284</v>
      </c>
      <c r="H205" s="282">
        <v>0</v>
      </c>
      <c r="I205" s="269">
        <v>10745</v>
      </c>
      <c r="J205" s="269">
        <v>7130</v>
      </c>
      <c r="K205" s="269">
        <v>83166</v>
      </c>
      <c r="L205" s="269">
        <v>65598</v>
      </c>
      <c r="M205" s="127">
        <v>0.75</v>
      </c>
      <c r="N205" s="127">
        <v>0.08</v>
      </c>
      <c r="O205" s="127">
        <v>0.92</v>
      </c>
      <c r="P205" s="127">
        <v>0.56000000000000005</v>
      </c>
      <c r="Q205" s="283">
        <v>0.96</v>
      </c>
      <c r="R205" s="284">
        <v>0</v>
      </c>
      <c r="S205" s="284">
        <v>0</v>
      </c>
      <c r="T205" s="298">
        <v>6</v>
      </c>
      <c r="U205" s="127" t="str">
        <f t="shared" si="16"/>
        <v>Normal</v>
      </c>
      <c r="V205" s="127" t="str">
        <f t="shared" si="17"/>
        <v>Normal</v>
      </c>
      <c r="W205" s="87">
        <f t="shared" si="18"/>
        <v>-0.1508828250401284</v>
      </c>
      <c r="X205" s="87">
        <f t="shared" si="19"/>
        <v>0</v>
      </c>
      <c r="Y205" s="277"/>
      <c r="Z205" s="277"/>
      <c r="AA205" s="277"/>
      <c r="AB205" s="277"/>
      <c r="AC205" s="277"/>
      <c r="AD205" s="277"/>
      <c r="AE205" s="277"/>
      <c r="AF205" s="277"/>
      <c r="AG205" s="277"/>
      <c r="AH205" s="277"/>
      <c r="AI205" s="277"/>
      <c r="AJ205" s="277"/>
      <c r="AK205" s="277"/>
    </row>
    <row r="206" spans="1:37">
      <c r="A206" s="281">
        <v>44856</v>
      </c>
      <c r="B206" s="314">
        <f>IF(YEAR(Table9[[#This Row],[Date]]) = 2022, WEEKNUM(Table9[[#This Row],[Date]])-13, WEEKNUM(Table9[[#This Row],[Date]])+40)</f>
        <v>30</v>
      </c>
      <c r="C206" s="255" t="s">
        <v>53</v>
      </c>
      <c r="D206" s="65" t="s">
        <v>59</v>
      </c>
      <c r="E206" s="269">
        <v>314</v>
      </c>
      <c r="F206" s="269">
        <v>245</v>
      </c>
      <c r="G206" s="282">
        <v>-0.32327586206896552</v>
      </c>
      <c r="H206" s="282">
        <v>1.2396694214876033E-2</v>
      </c>
      <c r="I206" s="269">
        <v>11059</v>
      </c>
      <c r="J206" s="269">
        <v>7375</v>
      </c>
      <c r="K206" s="269">
        <v>83480</v>
      </c>
      <c r="L206" s="269">
        <v>65843</v>
      </c>
      <c r="M206" s="127">
        <v>0.48</v>
      </c>
      <c r="N206" s="127">
        <v>0.22</v>
      </c>
      <c r="O206" s="127">
        <v>0.78</v>
      </c>
      <c r="P206" s="127">
        <v>0.34</v>
      </c>
      <c r="Q206" s="283">
        <v>0.97</v>
      </c>
      <c r="R206" s="284">
        <v>0</v>
      </c>
      <c r="S206" s="284">
        <v>0</v>
      </c>
      <c r="T206" s="298">
        <v>5</v>
      </c>
      <c r="U206" s="127" t="str">
        <f t="shared" si="16"/>
        <v>Normal</v>
      </c>
      <c r="V206" s="127" t="str">
        <f t="shared" si="17"/>
        <v>Normal</v>
      </c>
      <c r="W206" s="87">
        <f t="shared" si="18"/>
        <v>-0.32327586206896552</v>
      </c>
      <c r="X206" s="87">
        <f t="shared" si="19"/>
        <v>1.2396694214876033E-2</v>
      </c>
      <c r="Y206" s="277"/>
      <c r="Z206" s="277"/>
      <c r="AA206" s="277"/>
      <c r="AB206" s="277"/>
      <c r="AC206" s="277"/>
      <c r="AD206" s="277"/>
      <c r="AE206" s="277"/>
      <c r="AF206" s="277"/>
      <c r="AG206" s="277"/>
      <c r="AH206" s="277"/>
      <c r="AI206" s="277"/>
      <c r="AJ206" s="277"/>
      <c r="AK206" s="277"/>
    </row>
    <row r="207" spans="1:37">
      <c r="A207" s="281">
        <v>44857</v>
      </c>
      <c r="B207" s="314">
        <f>IF(YEAR(Table9[[#This Row],[Date]]) = 2022, WEEKNUM(Table9[[#This Row],[Date]])-13, WEEKNUM(Table9[[#This Row],[Date]])+40)</f>
        <v>31</v>
      </c>
      <c r="C207" s="255" t="s">
        <v>73</v>
      </c>
      <c r="D207" s="65" t="s">
        <v>59</v>
      </c>
      <c r="E207" s="269">
        <v>0</v>
      </c>
      <c r="F207" s="269">
        <v>0</v>
      </c>
      <c r="G207" s="282">
        <v>0</v>
      </c>
      <c r="H207" s="282">
        <v>0</v>
      </c>
      <c r="I207" s="269">
        <v>0</v>
      </c>
      <c r="J207" s="269">
        <v>0</v>
      </c>
      <c r="K207" s="269">
        <v>0</v>
      </c>
      <c r="L207" s="269">
        <v>0</v>
      </c>
      <c r="M207" s="127">
        <v>0</v>
      </c>
      <c r="N207" s="127">
        <v>0</v>
      </c>
      <c r="O207" s="127">
        <v>0</v>
      </c>
      <c r="P207" s="127">
        <v>0</v>
      </c>
      <c r="Q207" s="283">
        <v>0</v>
      </c>
      <c r="R207" s="284">
        <v>0</v>
      </c>
      <c r="S207" s="284">
        <v>0</v>
      </c>
      <c r="T207" s="298">
        <v>0</v>
      </c>
      <c r="U207" s="127" t="str">
        <f t="shared" si="16"/>
        <v>Normal</v>
      </c>
      <c r="V207" s="127" t="str">
        <f t="shared" si="17"/>
        <v>Normal</v>
      </c>
      <c r="W207" s="87">
        <f t="shared" si="18"/>
        <v>0</v>
      </c>
      <c r="X207" s="87">
        <f t="shared" si="19"/>
        <v>0</v>
      </c>
      <c r="Y207" s="277"/>
      <c r="Z207" s="277"/>
      <c r="AA207" s="277"/>
      <c r="AB207" s="277"/>
      <c r="AC207" s="277"/>
      <c r="AD207" s="277"/>
      <c r="AE207" s="277"/>
      <c r="AF207" s="277"/>
      <c r="AG207" s="277"/>
      <c r="AH207" s="277"/>
      <c r="AI207" s="277"/>
      <c r="AJ207" s="277"/>
      <c r="AK207" s="277"/>
    </row>
    <row r="208" spans="1:37">
      <c r="A208" s="281">
        <v>44858</v>
      </c>
      <c r="B208" s="314">
        <f>IF(YEAR(Table9[[#This Row],[Date]]) = 2022, WEEKNUM(Table9[[#This Row],[Date]])-13, WEEKNUM(Table9[[#This Row],[Date]])+40)</f>
        <v>31</v>
      </c>
      <c r="C208" s="255" t="s">
        <v>48</v>
      </c>
      <c r="D208" s="65" t="s">
        <v>59</v>
      </c>
      <c r="E208" s="269">
        <v>696</v>
      </c>
      <c r="F208" s="269">
        <v>598</v>
      </c>
      <c r="G208" s="282">
        <v>5.1359516616314202E-2</v>
      </c>
      <c r="H208" s="282">
        <v>0.20808080808080809</v>
      </c>
      <c r="I208" s="269">
        <v>11755</v>
      </c>
      <c r="J208" s="269">
        <v>7973</v>
      </c>
      <c r="K208" s="269">
        <v>84176</v>
      </c>
      <c r="L208" s="269">
        <v>66441</v>
      </c>
      <c r="M208" s="127">
        <v>0.56000000000000005</v>
      </c>
      <c r="N208" s="127">
        <v>0.14000000000000001</v>
      </c>
      <c r="O208" s="127">
        <v>0.86</v>
      </c>
      <c r="P208" s="127">
        <v>0.59</v>
      </c>
      <c r="Q208" s="283">
        <v>0.95</v>
      </c>
      <c r="R208" s="284">
        <v>0</v>
      </c>
      <c r="S208" s="284">
        <v>0</v>
      </c>
      <c r="T208" s="298">
        <v>7</v>
      </c>
      <c r="U208" s="127" t="str">
        <f t="shared" si="16"/>
        <v>Normal</v>
      </c>
      <c r="V208" s="127" t="str">
        <f t="shared" si="17"/>
        <v>Normal</v>
      </c>
      <c r="W208" s="87">
        <f t="shared" si="18"/>
        <v>5.1359516616314202E-2</v>
      </c>
      <c r="X208" s="87">
        <f t="shared" si="19"/>
        <v>0.20808080808080809</v>
      </c>
      <c r="Y208" s="277"/>
      <c r="Z208" s="277"/>
      <c r="AA208" s="277"/>
      <c r="AB208" s="277"/>
      <c r="AC208" s="277"/>
      <c r="AD208" s="277"/>
      <c r="AE208" s="277"/>
      <c r="AF208" s="277"/>
      <c r="AG208" s="277"/>
      <c r="AH208" s="277"/>
      <c r="AI208" s="277"/>
      <c r="AJ208" s="277"/>
      <c r="AK208" s="277"/>
    </row>
    <row r="209" spans="1:41">
      <c r="A209" s="281">
        <v>44859</v>
      </c>
      <c r="B209" s="314">
        <f>IF(YEAR(Table9[[#This Row],[Date]]) = 2022, WEEKNUM(Table9[[#This Row],[Date]])-13, WEEKNUM(Table9[[#This Row],[Date]])+40)</f>
        <v>31</v>
      </c>
      <c r="C209" s="255" t="s">
        <v>49</v>
      </c>
      <c r="D209" s="65" t="s">
        <v>59</v>
      </c>
      <c r="E209" s="269">
        <v>605</v>
      </c>
      <c r="F209" s="269">
        <v>570</v>
      </c>
      <c r="G209" s="282">
        <v>0.21730382293762576</v>
      </c>
      <c r="H209" s="282">
        <v>0.27516778523489932</v>
      </c>
      <c r="I209" s="269">
        <v>12360</v>
      </c>
      <c r="J209" s="269">
        <v>8543</v>
      </c>
      <c r="K209" s="269">
        <v>84781</v>
      </c>
      <c r="L209" s="269">
        <v>67011</v>
      </c>
      <c r="M209" s="127">
        <v>0.78</v>
      </c>
      <c r="N209" s="127">
        <v>0.05</v>
      </c>
      <c r="O209" s="127">
        <v>0.95</v>
      </c>
      <c r="P209" s="127">
        <v>0.56000000000000005</v>
      </c>
      <c r="Q209" s="283">
        <v>0.97</v>
      </c>
      <c r="R209" s="284">
        <v>0</v>
      </c>
      <c r="S209" s="284">
        <v>0</v>
      </c>
      <c r="T209" s="298">
        <v>7</v>
      </c>
      <c r="U209" s="127" t="str">
        <f t="shared" si="16"/>
        <v>Normal</v>
      </c>
      <c r="V209" s="127" t="str">
        <f t="shared" si="17"/>
        <v>Normal</v>
      </c>
      <c r="W209" s="87">
        <f t="shared" si="18"/>
        <v>0.21730382293762576</v>
      </c>
      <c r="X209" s="87">
        <f t="shared" si="19"/>
        <v>0.27516778523489932</v>
      </c>
      <c r="Y209" s="277"/>
      <c r="Z209" s="277"/>
      <c r="AA209" s="277"/>
      <c r="AB209" s="277"/>
      <c r="AC209" s="277"/>
      <c r="AD209" s="277"/>
      <c r="AE209" s="277"/>
      <c r="AF209" s="277"/>
      <c r="AG209" s="277"/>
      <c r="AH209" s="277"/>
      <c r="AI209" s="277"/>
      <c r="AJ209" s="277"/>
      <c r="AK209" s="277"/>
    </row>
    <row r="210" spans="1:41">
      <c r="A210" s="281">
        <v>44860</v>
      </c>
      <c r="B210" s="314">
        <f>IF(YEAR(Table9[[#This Row],[Date]]) = 2022, WEEKNUM(Table9[[#This Row],[Date]])-13, WEEKNUM(Table9[[#This Row],[Date]])+40)</f>
        <v>31</v>
      </c>
      <c r="C210" s="255" t="s">
        <v>50</v>
      </c>
      <c r="D210" s="65" t="s">
        <v>59</v>
      </c>
      <c r="E210" s="269">
        <v>768</v>
      </c>
      <c r="F210" s="269">
        <v>586</v>
      </c>
      <c r="G210" s="282">
        <v>0.30390492359932086</v>
      </c>
      <c r="H210" s="282">
        <v>0.63231197771587744</v>
      </c>
      <c r="I210" s="269">
        <v>13128</v>
      </c>
      <c r="J210" s="269">
        <v>9129</v>
      </c>
      <c r="K210" s="269">
        <v>85549</v>
      </c>
      <c r="L210" s="269">
        <v>67597</v>
      </c>
      <c r="M210" s="127">
        <v>0.38</v>
      </c>
      <c r="N210" s="127">
        <v>0.23</v>
      </c>
      <c r="O210" s="127">
        <v>0.77</v>
      </c>
      <c r="P210" s="127">
        <v>0.67</v>
      </c>
      <c r="Q210" s="283">
        <v>0.96</v>
      </c>
      <c r="R210" s="284">
        <v>0</v>
      </c>
      <c r="S210" s="284">
        <v>0</v>
      </c>
      <c r="T210" s="298">
        <v>6</v>
      </c>
      <c r="U210" s="127" t="str">
        <f t="shared" si="16"/>
        <v>Normal</v>
      </c>
      <c r="V210" s="127" t="str">
        <f t="shared" si="17"/>
        <v>Outlier</v>
      </c>
      <c r="W210" s="87">
        <f t="shared" si="18"/>
        <v>0.30390492359932086</v>
      </c>
      <c r="X210" s="87">
        <f t="shared" si="19"/>
        <v>0.63231197771587744</v>
      </c>
      <c r="Y210" s="277"/>
      <c r="Z210" s="277"/>
      <c r="AA210" s="277"/>
      <c r="AB210" s="277"/>
      <c r="AC210" s="277"/>
      <c r="AD210" s="277"/>
      <c r="AE210" s="277"/>
      <c r="AF210" s="277"/>
      <c r="AG210" s="277"/>
      <c r="AH210" s="277"/>
      <c r="AI210" s="277"/>
      <c r="AJ210" s="277"/>
      <c r="AK210" s="277"/>
    </row>
    <row r="211" spans="1:41">
      <c r="A211" s="281">
        <v>44861</v>
      </c>
      <c r="B211" s="314">
        <f>IF(YEAR(Table9[[#This Row],[Date]]) = 2022, WEEKNUM(Table9[[#This Row],[Date]])-13, WEEKNUM(Table9[[#This Row],[Date]])+40)</f>
        <v>31</v>
      </c>
      <c r="C211" s="255" t="s">
        <v>51</v>
      </c>
      <c r="D211" s="65" t="s">
        <v>59</v>
      </c>
      <c r="E211" s="269">
        <v>638</v>
      </c>
      <c r="F211" s="269">
        <v>562</v>
      </c>
      <c r="G211" s="282">
        <v>5.9800664451827246E-2</v>
      </c>
      <c r="H211" s="282">
        <v>0.15163934426229508</v>
      </c>
      <c r="I211" s="269">
        <v>13766</v>
      </c>
      <c r="J211" s="269">
        <v>9691</v>
      </c>
      <c r="K211" s="269">
        <v>86187</v>
      </c>
      <c r="L211" s="269">
        <v>68159</v>
      </c>
      <c r="M211" s="127">
        <v>0.69</v>
      </c>
      <c r="N211" s="127">
        <v>0.12</v>
      </c>
      <c r="O211" s="127">
        <v>0.88</v>
      </c>
      <c r="P211" s="127">
        <v>0.65</v>
      </c>
      <c r="Q211" s="283">
        <v>0.94</v>
      </c>
      <c r="R211" s="284">
        <v>0</v>
      </c>
      <c r="S211" s="284">
        <v>0</v>
      </c>
      <c r="T211" s="298">
        <v>6</v>
      </c>
      <c r="U211" s="127" t="str">
        <f t="shared" si="16"/>
        <v>Normal</v>
      </c>
      <c r="V211" s="127" t="str">
        <f t="shared" si="17"/>
        <v>Normal</v>
      </c>
      <c r="W211" s="87">
        <f t="shared" si="18"/>
        <v>5.9800664451827246E-2</v>
      </c>
      <c r="X211" s="87">
        <f t="shared" si="19"/>
        <v>0.15163934426229508</v>
      </c>
      <c r="Y211" s="277"/>
      <c r="Z211" s="277"/>
      <c r="AA211" s="277"/>
      <c r="AB211" s="277"/>
      <c r="AC211" s="277"/>
      <c r="AD211" s="277"/>
      <c r="AE211" s="277"/>
      <c r="AF211" s="277"/>
      <c r="AG211" s="277"/>
      <c r="AH211" s="277"/>
      <c r="AI211" s="277"/>
      <c r="AJ211" s="277"/>
      <c r="AK211" s="277"/>
    </row>
    <row r="212" spans="1:41">
      <c r="A212" s="281">
        <v>44862</v>
      </c>
      <c r="B212" s="314">
        <f>IF(YEAR(Table9[[#This Row],[Date]]) = 2022, WEEKNUM(Table9[[#This Row],[Date]])-13, WEEKNUM(Table9[[#This Row],[Date]])+40)</f>
        <v>31</v>
      </c>
      <c r="C212" s="255" t="s">
        <v>52</v>
      </c>
      <c r="D212" s="65" t="s">
        <v>59</v>
      </c>
      <c r="E212" s="269">
        <v>538</v>
      </c>
      <c r="F212" s="269">
        <v>516</v>
      </c>
      <c r="G212" s="282">
        <v>1.7013232514177693E-2</v>
      </c>
      <c r="H212" s="282">
        <v>5.9548254620123205E-2</v>
      </c>
      <c r="I212" s="269">
        <v>14304</v>
      </c>
      <c r="J212" s="269">
        <v>10207</v>
      </c>
      <c r="K212" s="269">
        <v>86725</v>
      </c>
      <c r="L212" s="269">
        <v>68675</v>
      </c>
      <c r="M212" s="127">
        <v>0.88</v>
      </c>
      <c r="N212" s="127">
        <v>0.04</v>
      </c>
      <c r="O212" s="127">
        <v>0.96</v>
      </c>
      <c r="P212" s="127">
        <v>0.51</v>
      </c>
      <c r="Q212" s="283">
        <v>0.96</v>
      </c>
      <c r="R212" s="284">
        <v>0</v>
      </c>
      <c r="S212" s="284">
        <v>0</v>
      </c>
      <c r="T212" s="298">
        <v>7</v>
      </c>
      <c r="U212" s="127" t="str">
        <f t="shared" si="16"/>
        <v>Normal</v>
      </c>
      <c r="V212" s="127" t="str">
        <f t="shared" si="17"/>
        <v>Normal</v>
      </c>
      <c r="W212" s="87">
        <f t="shared" si="18"/>
        <v>1.7013232514177693E-2</v>
      </c>
      <c r="X212" s="87">
        <f t="shared" si="19"/>
        <v>5.9548254620123205E-2</v>
      </c>
      <c r="Y212" s="277"/>
      <c r="Z212" s="277"/>
      <c r="AA212" s="277"/>
      <c r="AB212" s="277"/>
      <c r="AC212" s="277"/>
      <c r="AD212" s="277"/>
      <c r="AE212" s="277"/>
      <c r="AF212" s="277"/>
      <c r="AG212" s="277"/>
      <c r="AH212" s="277"/>
      <c r="AI212" s="277"/>
      <c r="AJ212" s="277"/>
      <c r="AK212" s="277"/>
    </row>
    <row r="213" spans="1:41">
      <c r="A213" s="281">
        <v>44863</v>
      </c>
      <c r="B213" s="314">
        <f>IF(YEAR(Table9[[#This Row],[Date]]) = 2022, WEEKNUM(Table9[[#This Row],[Date]])-13, WEEKNUM(Table9[[#This Row],[Date]])+40)</f>
        <v>31</v>
      </c>
      <c r="C213" s="255" t="s">
        <v>53</v>
      </c>
      <c r="D213" s="65" t="s">
        <v>59</v>
      </c>
      <c r="E213" s="269">
        <v>348</v>
      </c>
      <c r="F213" s="269">
        <v>287</v>
      </c>
      <c r="G213" s="282">
        <v>0.10828025477707007</v>
      </c>
      <c r="H213" s="282">
        <v>0.17142857142857143</v>
      </c>
      <c r="I213" s="269">
        <v>14652</v>
      </c>
      <c r="J213" s="269">
        <v>10494</v>
      </c>
      <c r="K213" s="269">
        <v>87073</v>
      </c>
      <c r="L213" s="269">
        <v>68962</v>
      </c>
      <c r="M213" s="127">
        <v>0.55000000000000004</v>
      </c>
      <c r="N213" s="127">
        <v>0.18</v>
      </c>
      <c r="O213" s="127">
        <v>0.82</v>
      </c>
      <c r="P213" s="127">
        <v>0.4</v>
      </c>
      <c r="Q213" s="283">
        <v>0.94</v>
      </c>
      <c r="R213" s="284">
        <v>0</v>
      </c>
      <c r="S213" s="284">
        <v>0</v>
      </c>
      <c r="T213" s="298">
        <v>5</v>
      </c>
      <c r="U213" s="127" t="str">
        <f t="shared" si="16"/>
        <v>Normal</v>
      </c>
      <c r="V213" s="127" t="str">
        <f t="shared" si="17"/>
        <v>Normal</v>
      </c>
      <c r="W213" s="87">
        <f t="shared" si="18"/>
        <v>0.10828025477707007</v>
      </c>
      <c r="X213" s="87">
        <f t="shared" si="19"/>
        <v>0.17142857142857143</v>
      </c>
      <c r="Y213" s="277"/>
      <c r="Z213" s="277"/>
      <c r="AA213" s="277"/>
      <c r="AB213" s="277"/>
      <c r="AC213" s="277"/>
      <c r="AD213" s="277"/>
      <c r="AE213" s="277"/>
      <c r="AF213" s="277"/>
      <c r="AG213" s="277"/>
      <c r="AH213" s="277"/>
      <c r="AI213" s="277"/>
      <c r="AJ213" s="277"/>
      <c r="AK213" s="277"/>
    </row>
    <row r="214" spans="1:41">
      <c r="A214" s="281">
        <v>44864</v>
      </c>
      <c r="B214" s="314">
        <f>IF(YEAR(Table9[[#This Row],[Date]]) = 2022, WEEKNUM(Table9[[#This Row],[Date]])-13, WEEKNUM(Table9[[#This Row],[Date]])+40)</f>
        <v>32</v>
      </c>
      <c r="C214" s="255" t="s">
        <v>47</v>
      </c>
      <c r="D214" s="65" t="s">
        <v>59</v>
      </c>
      <c r="E214" s="269">
        <v>0</v>
      </c>
      <c r="F214" s="269">
        <v>0</v>
      </c>
      <c r="G214" s="282">
        <v>0</v>
      </c>
      <c r="H214" s="282">
        <v>0</v>
      </c>
      <c r="I214" s="269">
        <v>0</v>
      </c>
      <c r="J214" s="269">
        <v>0</v>
      </c>
      <c r="K214" s="269">
        <v>0</v>
      </c>
      <c r="L214" s="269">
        <v>0</v>
      </c>
      <c r="M214" s="127">
        <v>0</v>
      </c>
      <c r="N214" s="127">
        <v>0</v>
      </c>
      <c r="O214" s="127">
        <v>0</v>
      </c>
      <c r="P214" s="127">
        <v>0</v>
      </c>
      <c r="Q214" s="283">
        <v>0</v>
      </c>
      <c r="R214" s="284">
        <v>0</v>
      </c>
      <c r="S214" s="284">
        <v>0</v>
      </c>
      <c r="T214" s="298">
        <v>0</v>
      </c>
      <c r="U214" s="127" t="str">
        <f t="shared" si="16"/>
        <v>Normal</v>
      </c>
      <c r="V214" s="127" t="str">
        <f t="shared" si="17"/>
        <v>Normal</v>
      </c>
      <c r="W214" s="87">
        <f t="shared" si="18"/>
        <v>0</v>
      </c>
      <c r="X214" s="87">
        <f t="shared" si="19"/>
        <v>0</v>
      </c>
      <c r="Y214" s="277"/>
      <c r="Z214" s="277"/>
      <c r="AA214" s="277"/>
      <c r="AB214" s="277"/>
      <c r="AC214" s="277"/>
      <c r="AD214" s="277"/>
      <c r="AE214" s="277"/>
      <c r="AF214" s="277"/>
      <c r="AG214" s="277"/>
      <c r="AH214" s="277"/>
      <c r="AI214" s="277"/>
      <c r="AJ214" s="277"/>
      <c r="AK214" s="277"/>
    </row>
    <row r="215" spans="1:41" s="50" customFormat="1">
      <c r="A215" s="281">
        <v>44865</v>
      </c>
      <c r="B215" s="314">
        <f>IF(YEAR(Table9[[#This Row],[Date]]) = 2022, WEEKNUM(Table9[[#This Row],[Date]])-13, WEEKNUM(Table9[[#This Row],[Date]])+40)</f>
        <v>32</v>
      </c>
      <c r="C215" s="255" t="s">
        <v>48</v>
      </c>
      <c r="D215" s="65" t="s">
        <v>59</v>
      </c>
      <c r="E215" s="269">
        <v>725</v>
      </c>
      <c r="F215" s="269">
        <v>644</v>
      </c>
      <c r="G215" s="282">
        <v>4.1666666666666664E-2</v>
      </c>
      <c r="H215" s="282">
        <v>7.6923076923076927E-2</v>
      </c>
      <c r="I215" s="269">
        <v>15377</v>
      </c>
      <c r="J215" s="269">
        <v>11138</v>
      </c>
      <c r="K215" s="269">
        <v>87798</v>
      </c>
      <c r="L215" s="269">
        <v>69606</v>
      </c>
      <c r="M215" s="127">
        <v>0.7</v>
      </c>
      <c r="N215" s="127">
        <v>0.11</v>
      </c>
      <c r="O215" s="127">
        <v>0.89</v>
      </c>
      <c r="P215" s="127">
        <v>0.56000000000000005</v>
      </c>
      <c r="Q215" s="283">
        <v>0.96</v>
      </c>
      <c r="R215" s="284">
        <v>0</v>
      </c>
      <c r="S215" s="284">
        <v>0</v>
      </c>
      <c r="T215" s="298">
        <v>8</v>
      </c>
      <c r="U215" s="127" t="str">
        <f t="shared" si="16"/>
        <v>Normal</v>
      </c>
      <c r="V215" s="127" t="str">
        <f t="shared" si="17"/>
        <v>Normal</v>
      </c>
      <c r="W215" s="87">
        <f t="shared" si="18"/>
        <v>4.1666666666666664E-2</v>
      </c>
      <c r="X215" s="87">
        <f t="shared" si="19"/>
        <v>7.6923076923076927E-2</v>
      </c>
      <c r="Y215" s="278"/>
      <c r="Z215" s="278"/>
      <c r="AA215" s="278"/>
      <c r="AB215" s="278"/>
      <c r="AC215" s="278"/>
      <c r="AD215" s="278"/>
      <c r="AE215" s="278"/>
      <c r="AF215" s="278"/>
      <c r="AG215" s="278"/>
      <c r="AH215" s="278"/>
      <c r="AI215" s="278"/>
      <c r="AJ215" s="278"/>
      <c r="AK215" s="278"/>
      <c r="AM215"/>
      <c r="AN215"/>
      <c r="AO215"/>
    </row>
    <row r="216" spans="1:41">
      <c r="A216" s="287">
        <v>44866</v>
      </c>
      <c r="B216" s="315">
        <f>IF(YEAR(Table9[[#This Row],[Date]]) = 2022, WEEKNUM(Table9[[#This Row],[Date]])-13, WEEKNUM(Table9[[#This Row],[Date]])+40)</f>
        <v>32</v>
      </c>
      <c r="C216" s="288" t="s">
        <v>49</v>
      </c>
      <c r="D216" s="65" t="s">
        <v>59</v>
      </c>
      <c r="E216" s="289">
        <v>712</v>
      </c>
      <c r="F216" s="289">
        <v>599</v>
      </c>
      <c r="G216" s="282">
        <v>0.17685950413223139</v>
      </c>
      <c r="H216" s="282">
        <v>5.0877192982456139E-2</v>
      </c>
      <c r="I216" s="269">
        <v>712</v>
      </c>
      <c r="J216" s="269">
        <v>599</v>
      </c>
      <c r="K216" s="269">
        <v>88510</v>
      </c>
      <c r="L216" s="269">
        <v>70205</v>
      </c>
      <c r="M216" s="291">
        <v>0.6</v>
      </c>
      <c r="N216" s="291">
        <v>0.15</v>
      </c>
      <c r="O216" s="291">
        <v>0.85</v>
      </c>
      <c r="P216" s="291">
        <v>0.69</v>
      </c>
      <c r="Q216" s="292">
        <v>0.96</v>
      </c>
      <c r="R216" s="293">
        <v>0</v>
      </c>
      <c r="S216" s="293">
        <v>0</v>
      </c>
      <c r="T216" s="298">
        <v>6</v>
      </c>
      <c r="U216" s="127" t="str">
        <f t="shared" si="16"/>
        <v>Normal</v>
      </c>
      <c r="V216" s="127" t="str">
        <f t="shared" si="17"/>
        <v>Normal</v>
      </c>
      <c r="W216" s="87">
        <f t="shared" si="18"/>
        <v>0.17685950413223139</v>
      </c>
      <c r="X216" s="87">
        <f t="shared" si="19"/>
        <v>5.0877192982456139E-2</v>
      </c>
      <c r="Y216" s="277"/>
      <c r="Z216" s="277"/>
      <c r="AA216" s="277"/>
      <c r="AB216" s="277"/>
      <c r="AC216" s="277"/>
      <c r="AD216" s="277"/>
      <c r="AE216" s="277"/>
      <c r="AF216" s="277"/>
      <c r="AG216" s="277"/>
      <c r="AH216" s="277"/>
      <c r="AI216" s="277"/>
      <c r="AJ216" s="277"/>
      <c r="AK216" s="277"/>
    </row>
    <row r="217" spans="1:41">
      <c r="A217" s="287">
        <v>44867</v>
      </c>
      <c r="B217" s="315">
        <f>IF(YEAR(Table9[[#This Row],[Date]]) = 2022, WEEKNUM(Table9[[#This Row],[Date]])-13, WEEKNUM(Table9[[#This Row],[Date]])+40)</f>
        <v>32</v>
      </c>
      <c r="C217" s="255" t="s">
        <v>50</v>
      </c>
      <c r="D217" s="65" t="s">
        <v>59</v>
      </c>
      <c r="E217" s="269">
        <v>597</v>
      </c>
      <c r="F217" s="269">
        <v>550</v>
      </c>
      <c r="G217" s="282">
        <v>-0.22265625</v>
      </c>
      <c r="H217" s="282">
        <v>-6.1433447098976107E-2</v>
      </c>
      <c r="I217" s="269">
        <v>1309</v>
      </c>
      <c r="J217" s="269">
        <v>1149</v>
      </c>
      <c r="K217" s="269">
        <v>89107</v>
      </c>
      <c r="L217" s="269">
        <v>70755</v>
      </c>
      <c r="M217" s="127">
        <v>0.78</v>
      </c>
      <c r="N217" s="127">
        <v>0.08</v>
      </c>
      <c r="O217" s="127">
        <v>0.92</v>
      </c>
      <c r="P217" s="127">
        <v>0.63</v>
      </c>
      <c r="Q217" s="283">
        <v>0.93</v>
      </c>
      <c r="R217" s="284">
        <v>0</v>
      </c>
      <c r="S217" s="284">
        <v>0</v>
      </c>
      <c r="T217" s="298">
        <v>6</v>
      </c>
      <c r="U217" s="127" t="str">
        <f t="shared" si="16"/>
        <v>Normal</v>
      </c>
      <c r="V217" s="127" t="str">
        <f t="shared" si="17"/>
        <v>Normal</v>
      </c>
      <c r="W217" s="87">
        <f t="shared" si="18"/>
        <v>-0.22265625</v>
      </c>
      <c r="X217" s="87">
        <f t="shared" si="19"/>
        <v>-6.1433447098976107E-2</v>
      </c>
      <c r="Y217" s="277"/>
      <c r="Z217" s="277"/>
      <c r="AA217" s="277"/>
      <c r="AB217" s="277"/>
      <c r="AC217" s="277"/>
      <c r="AD217" s="277"/>
      <c r="AE217" s="277"/>
      <c r="AF217" s="277"/>
      <c r="AG217" s="277"/>
      <c r="AH217" s="277"/>
      <c r="AI217" s="277"/>
      <c r="AJ217" s="277"/>
      <c r="AK217" s="277"/>
    </row>
    <row r="218" spans="1:41">
      <c r="A218" s="287">
        <v>44868</v>
      </c>
      <c r="B218" s="315">
        <f>IF(YEAR(Table9[[#This Row],[Date]]) = 2022, WEEKNUM(Table9[[#This Row],[Date]])-13, WEEKNUM(Table9[[#This Row],[Date]])+40)</f>
        <v>32</v>
      </c>
      <c r="C218" s="255" t="s">
        <v>51</v>
      </c>
      <c r="D218" s="65" t="s">
        <v>59</v>
      </c>
      <c r="E218" s="269">
        <v>555</v>
      </c>
      <c r="F218" s="269">
        <v>482</v>
      </c>
      <c r="G218" s="282">
        <v>-0.13009404388714735</v>
      </c>
      <c r="H218" s="282">
        <v>-0.14234875444839859</v>
      </c>
      <c r="I218" s="269">
        <v>1864</v>
      </c>
      <c r="J218" s="269">
        <v>1631</v>
      </c>
      <c r="K218" s="269">
        <v>89662</v>
      </c>
      <c r="L218" s="269">
        <v>71237</v>
      </c>
      <c r="M218" s="127">
        <v>0.66</v>
      </c>
      <c r="N218" s="127">
        <v>0.13</v>
      </c>
      <c r="O218" s="127">
        <v>0.87</v>
      </c>
      <c r="P218" s="127">
        <v>0.66</v>
      </c>
      <c r="Q218" s="283">
        <v>0.94</v>
      </c>
      <c r="R218" s="284">
        <v>0</v>
      </c>
      <c r="S218" s="284">
        <v>0</v>
      </c>
      <c r="T218" s="298">
        <v>5</v>
      </c>
      <c r="U218" s="127" t="str">
        <f t="shared" si="16"/>
        <v>Normal</v>
      </c>
      <c r="V218" s="127" t="str">
        <f t="shared" si="17"/>
        <v>Normal</v>
      </c>
      <c r="W218" s="87">
        <f t="shared" si="18"/>
        <v>-0.13009404388714735</v>
      </c>
      <c r="X218" s="87">
        <f t="shared" si="19"/>
        <v>-0.14234875444839859</v>
      </c>
      <c r="Y218" s="277"/>
      <c r="Z218" s="277"/>
      <c r="AA218" s="277"/>
      <c r="AB218" s="277"/>
      <c r="AC218" s="277"/>
      <c r="AD218" s="277"/>
      <c r="AE218" s="277"/>
      <c r="AF218" s="277"/>
      <c r="AG218" s="277"/>
      <c r="AH218" s="277"/>
      <c r="AI218" s="277"/>
      <c r="AJ218" s="277"/>
      <c r="AK218" s="277"/>
    </row>
    <row r="219" spans="1:41">
      <c r="A219" s="287">
        <v>44869</v>
      </c>
      <c r="B219" s="315">
        <f>IF(YEAR(Table9[[#This Row],[Date]]) = 2022, WEEKNUM(Table9[[#This Row],[Date]])-13, WEEKNUM(Table9[[#This Row],[Date]])+40)</f>
        <v>32</v>
      </c>
      <c r="C219" s="255" t="s">
        <v>52</v>
      </c>
      <c r="D219" s="65" t="s">
        <v>59</v>
      </c>
      <c r="E219" s="269">
        <v>685</v>
      </c>
      <c r="F219" s="269">
        <v>539</v>
      </c>
      <c r="G219" s="282">
        <v>0.27323420074349442</v>
      </c>
      <c r="H219" s="282">
        <v>4.4573643410852716E-2</v>
      </c>
      <c r="I219" s="269">
        <v>2549</v>
      </c>
      <c r="J219" s="269">
        <v>2170</v>
      </c>
      <c r="K219" s="269">
        <v>90347</v>
      </c>
      <c r="L219" s="269">
        <v>71776</v>
      </c>
      <c r="M219" s="127">
        <v>0.45</v>
      </c>
      <c r="N219" s="127">
        <v>0.21</v>
      </c>
      <c r="O219" s="127">
        <v>0.79</v>
      </c>
      <c r="P219" s="127">
        <v>0.62</v>
      </c>
      <c r="Q219" s="283">
        <v>0.99</v>
      </c>
      <c r="R219" s="284">
        <v>0</v>
      </c>
      <c r="S219" s="284">
        <v>0</v>
      </c>
      <c r="T219" s="298">
        <v>6</v>
      </c>
      <c r="U219" s="127" t="str">
        <f t="shared" si="16"/>
        <v>Normal</v>
      </c>
      <c r="V219" s="127" t="str">
        <f t="shared" si="17"/>
        <v>Normal</v>
      </c>
      <c r="W219" s="87">
        <f t="shared" si="18"/>
        <v>0.27323420074349442</v>
      </c>
      <c r="X219" s="87">
        <f t="shared" si="19"/>
        <v>4.4573643410852716E-2</v>
      </c>
      <c r="Y219" s="277"/>
      <c r="Z219" s="277"/>
      <c r="AA219" s="277"/>
      <c r="AB219" s="277"/>
      <c r="AC219" s="277"/>
      <c r="AD219" s="277"/>
      <c r="AE219" s="277"/>
      <c r="AF219" s="277"/>
      <c r="AG219" s="277"/>
      <c r="AH219" s="277"/>
      <c r="AI219" s="277"/>
      <c r="AJ219" s="277"/>
      <c r="AK219" s="277"/>
    </row>
    <row r="220" spans="1:41">
      <c r="A220" s="287">
        <v>44870</v>
      </c>
      <c r="B220" s="315">
        <f>IF(YEAR(Table9[[#This Row],[Date]]) = 2022, WEEKNUM(Table9[[#This Row],[Date]])-13, WEEKNUM(Table9[[#This Row],[Date]])+40)</f>
        <v>32</v>
      </c>
      <c r="C220" s="255" t="s">
        <v>53</v>
      </c>
      <c r="D220" s="65" t="s">
        <v>59</v>
      </c>
      <c r="E220" s="269">
        <v>386</v>
      </c>
      <c r="F220" s="269">
        <v>279</v>
      </c>
      <c r="G220" s="282">
        <v>0.10919540229885058</v>
      </c>
      <c r="H220" s="282">
        <v>-2.7874564459930314E-2</v>
      </c>
      <c r="I220" s="269">
        <v>2935</v>
      </c>
      <c r="J220" s="269">
        <v>2449</v>
      </c>
      <c r="K220" s="269">
        <v>90733</v>
      </c>
      <c r="L220" s="269">
        <v>72055</v>
      </c>
      <c r="M220" s="127">
        <v>0.39</v>
      </c>
      <c r="N220" s="283">
        <v>0.27</v>
      </c>
      <c r="O220" s="127">
        <v>0.73</v>
      </c>
      <c r="P220" s="127">
        <v>0.38</v>
      </c>
      <c r="Q220" s="283">
        <v>0.98</v>
      </c>
      <c r="R220" s="284">
        <v>0</v>
      </c>
      <c r="S220" s="284">
        <v>0</v>
      </c>
      <c r="T220" s="298">
        <v>5</v>
      </c>
      <c r="U220" s="127" t="str">
        <f t="shared" si="16"/>
        <v>Normal</v>
      </c>
      <c r="V220" s="127" t="str">
        <f t="shared" si="17"/>
        <v>Normal</v>
      </c>
      <c r="W220" s="87">
        <f t="shared" si="18"/>
        <v>0.10919540229885058</v>
      </c>
      <c r="X220" s="87">
        <f t="shared" si="19"/>
        <v>-2.7874564459930314E-2</v>
      </c>
      <c r="Y220" s="277"/>
      <c r="Z220" s="277"/>
      <c r="AA220" s="277"/>
      <c r="AB220" s="277"/>
      <c r="AC220" s="277"/>
      <c r="AD220" s="277"/>
      <c r="AE220" s="277"/>
      <c r="AF220" s="277"/>
      <c r="AG220" s="277"/>
      <c r="AH220" s="277"/>
      <c r="AI220" s="277"/>
      <c r="AJ220" s="277"/>
      <c r="AK220" s="277"/>
    </row>
    <row r="221" spans="1:41">
      <c r="A221" s="287">
        <v>44871</v>
      </c>
      <c r="B221" s="315">
        <f>IF(YEAR(Table9[[#This Row],[Date]]) = 2022, WEEKNUM(Table9[[#This Row],[Date]])-13, WEEKNUM(Table9[[#This Row],[Date]])+40)</f>
        <v>33</v>
      </c>
      <c r="C221" s="255" t="s">
        <v>47</v>
      </c>
      <c r="D221" s="65" t="s">
        <v>59</v>
      </c>
      <c r="E221" s="269">
        <v>0</v>
      </c>
      <c r="F221" s="269">
        <v>0</v>
      </c>
      <c r="G221" s="282">
        <v>0</v>
      </c>
      <c r="H221" s="282">
        <v>0</v>
      </c>
      <c r="I221" s="269">
        <v>0</v>
      </c>
      <c r="J221" s="269">
        <v>0</v>
      </c>
      <c r="K221" s="269">
        <v>0</v>
      </c>
      <c r="L221" s="269">
        <v>0</v>
      </c>
      <c r="M221" s="127">
        <v>0</v>
      </c>
      <c r="N221" s="127">
        <v>0</v>
      </c>
      <c r="O221" s="127">
        <v>0</v>
      </c>
      <c r="P221" s="127">
        <v>0</v>
      </c>
      <c r="Q221" s="283">
        <v>0</v>
      </c>
      <c r="R221" s="284">
        <v>0</v>
      </c>
      <c r="S221" s="284">
        <v>0</v>
      </c>
      <c r="T221" s="298">
        <v>0</v>
      </c>
      <c r="U221" s="127" t="str">
        <f t="shared" si="16"/>
        <v>Normal</v>
      </c>
      <c r="V221" s="127" t="str">
        <f t="shared" si="17"/>
        <v>Normal</v>
      </c>
      <c r="W221" s="87">
        <f t="shared" si="18"/>
        <v>0</v>
      </c>
      <c r="X221" s="87">
        <f t="shared" si="19"/>
        <v>0</v>
      </c>
      <c r="Y221" s="277"/>
      <c r="Z221" s="277"/>
      <c r="AA221" s="277"/>
      <c r="AB221" s="277"/>
      <c r="AC221" s="277"/>
      <c r="AD221" s="277"/>
      <c r="AE221" s="277"/>
      <c r="AF221" s="277"/>
      <c r="AG221" s="277"/>
      <c r="AH221" s="277"/>
      <c r="AI221" s="277"/>
      <c r="AJ221" s="277"/>
      <c r="AK221" s="277"/>
    </row>
    <row r="222" spans="1:41">
      <c r="A222" s="287">
        <v>44872</v>
      </c>
      <c r="B222" s="315">
        <f>IF(YEAR(Table9[[#This Row],[Date]]) = 2022, WEEKNUM(Table9[[#This Row],[Date]])-13, WEEKNUM(Table9[[#This Row],[Date]])+40)</f>
        <v>33</v>
      </c>
      <c r="C222" s="255" t="s">
        <v>48</v>
      </c>
      <c r="D222" s="65" t="s">
        <v>59</v>
      </c>
      <c r="E222" s="269">
        <v>763</v>
      </c>
      <c r="F222" s="269">
        <v>573</v>
      </c>
      <c r="G222" s="282">
        <v>5.2413793103448278E-2</v>
      </c>
      <c r="H222" s="282">
        <v>-0.11024844720496894</v>
      </c>
      <c r="I222" s="269">
        <v>3698</v>
      </c>
      <c r="J222" s="269">
        <v>3022</v>
      </c>
      <c r="K222" s="269">
        <v>91496</v>
      </c>
      <c r="L222" s="269">
        <v>72628</v>
      </c>
      <c r="M222" s="127">
        <v>0.31</v>
      </c>
      <c r="N222" s="127">
        <v>0.25</v>
      </c>
      <c r="O222" s="127">
        <v>0.75</v>
      </c>
      <c r="P222" s="127">
        <v>0.56000000000000005</v>
      </c>
      <c r="Q222" s="283">
        <v>0.97</v>
      </c>
      <c r="R222" s="284">
        <v>0</v>
      </c>
      <c r="S222" s="284">
        <v>0</v>
      </c>
      <c r="T222" s="298">
        <v>7</v>
      </c>
      <c r="U222" s="127" t="str">
        <f t="shared" si="16"/>
        <v>Normal</v>
      </c>
      <c r="V222" s="127" t="str">
        <f t="shared" si="17"/>
        <v>Normal</v>
      </c>
      <c r="W222" s="87">
        <f t="shared" si="18"/>
        <v>5.2413793103448278E-2</v>
      </c>
      <c r="X222" s="87">
        <f t="shared" si="19"/>
        <v>-0.11024844720496894</v>
      </c>
      <c r="Y222" s="277"/>
      <c r="Z222" s="277"/>
      <c r="AA222" s="277"/>
      <c r="AB222" s="277"/>
      <c r="AC222" s="277"/>
      <c r="AD222" s="277"/>
      <c r="AE222" s="277"/>
      <c r="AF222" s="277"/>
      <c r="AG222" s="277"/>
      <c r="AH222" s="277"/>
      <c r="AI222" s="277"/>
      <c r="AJ222" s="277"/>
      <c r="AK222" s="277"/>
    </row>
    <row r="223" spans="1:41">
      <c r="A223" s="287">
        <v>44873</v>
      </c>
      <c r="B223" s="315">
        <f>IF(YEAR(Table9[[#This Row],[Date]]) = 2022, WEEKNUM(Table9[[#This Row],[Date]])-13, WEEKNUM(Table9[[#This Row],[Date]])+40)</f>
        <v>33</v>
      </c>
      <c r="C223" s="255" t="s">
        <v>49</v>
      </c>
      <c r="D223" s="65" t="s">
        <v>59</v>
      </c>
      <c r="E223" s="269">
        <v>668</v>
      </c>
      <c r="F223" s="269">
        <v>448</v>
      </c>
      <c r="G223" s="282">
        <v>-6.1797752808988762E-2</v>
      </c>
      <c r="H223" s="282">
        <v>-0.25208681135225375</v>
      </c>
      <c r="I223" s="269">
        <v>4366</v>
      </c>
      <c r="J223" s="269">
        <v>3470</v>
      </c>
      <c r="K223" s="269">
        <v>92164</v>
      </c>
      <c r="L223" s="269">
        <v>73076</v>
      </c>
      <c r="M223" s="127">
        <v>0.27</v>
      </c>
      <c r="N223" s="127">
        <v>0.33</v>
      </c>
      <c r="O223" s="127">
        <v>0.67</v>
      </c>
      <c r="P223" s="127">
        <v>0.51</v>
      </c>
      <c r="Q223" s="283">
        <v>0.97</v>
      </c>
      <c r="R223" s="284">
        <v>0</v>
      </c>
      <c r="S223" s="284">
        <v>0</v>
      </c>
      <c r="T223" s="298">
        <v>6</v>
      </c>
      <c r="U223" s="127" t="str">
        <f t="shared" si="16"/>
        <v>Normal</v>
      </c>
      <c r="V223" s="127" t="str">
        <f t="shared" si="17"/>
        <v>Normal</v>
      </c>
      <c r="W223" s="87">
        <f t="shared" si="18"/>
        <v>-6.1797752808988762E-2</v>
      </c>
      <c r="X223" s="87">
        <f t="shared" si="19"/>
        <v>-0.25208681135225375</v>
      </c>
      <c r="Y223" s="277"/>
      <c r="Z223" s="277"/>
      <c r="AA223" s="277"/>
      <c r="AB223" s="277"/>
      <c r="AC223" s="277"/>
      <c r="AD223" s="277"/>
      <c r="AE223" s="277"/>
      <c r="AF223" s="277"/>
      <c r="AG223" s="277"/>
      <c r="AH223" s="277"/>
      <c r="AI223" s="277"/>
      <c r="AJ223" s="277"/>
      <c r="AK223" s="277"/>
    </row>
    <row r="224" spans="1:41">
      <c r="A224" s="287">
        <v>44874</v>
      </c>
      <c r="B224" s="315">
        <f>IF(YEAR(Table9[[#This Row],[Date]]) = 2022, WEEKNUM(Table9[[#This Row],[Date]])-13, WEEKNUM(Table9[[#This Row],[Date]])+40)</f>
        <v>33</v>
      </c>
      <c r="C224" s="255" t="s">
        <v>50</v>
      </c>
      <c r="D224" s="65" t="s">
        <v>59</v>
      </c>
      <c r="E224" s="269">
        <v>635</v>
      </c>
      <c r="F224" s="269">
        <v>500</v>
      </c>
      <c r="G224" s="282">
        <v>6.3651591289782247E-2</v>
      </c>
      <c r="H224" s="282">
        <v>-9.0909090909090912E-2</v>
      </c>
      <c r="I224" s="269">
        <v>5001</v>
      </c>
      <c r="J224" s="269">
        <v>3970</v>
      </c>
      <c r="K224" s="269">
        <v>92799</v>
      </c>
      <c r="L224" s="269">
        <v>73576</v>
      </c>
      <c r="M224" s="127">
        <v>0.49</v>
      </c>
      <c r="N224" s="127">
        <v>0.21</v>
      </c>
      <c r="O224" s="127">
        <v>0.79</v>
      </c>
      <c r="P224" s="127">
        <v>0.56999999999999995</v>
      </c>
      <c r="Q224" s="283">
        <v>0.96</v>
      </c>
      <c r="R224" s="284">
        <v>0</v>
      </c>
      <c r="S224" s="284">
        <v>0</v>
      </c>
      <c r="T224" s="298">
        <v>6</v>
      </c>
      <c r="U224" s="127" t="str">
        <f t="shared" si="16"/>
        <v>Normal</v>
      </c>
      <c r="V224" s="127" t="str">
        <f t="shared" si="17"/>
        <v>Normal</v>
      </c>
      <c r="W224" s="87">
        <f t="shared" si="18"/>
        <v>6.3651591289782247E-2</v>
      </c>
      <c r="X224" s="87">
        <f t="shared" si="19"/>
        <v>-9.0909090909090912E-2</v>
      </c>
      <c r="Y224" s="277"/>
      <c r="Z224" s="277"/>
      <c r="AA224" s="277"/>
      <c r="AB224" s="277"/>
      <c r="AC224" s="277"/>
      <c r="AD224" s="277"/>
      <c r="AE224" s="277"/>
      <c r="AF224" s="277"/>
      <c r="AG224" s="277"/>
      <c r="AH224" s="277"/>
      <c r="AI224" s="277"/>
      <c r="AJ224" s="277"/>
      <c r="AK224" s="277"/>
    </row>
    <row r="225" spans="1:41">
      <c r="A225" s="287">
        <v>44875</v>
      </c>
      <c r="B225" s="315">
        <f>IF(YEAR(Table9[[#This Row],[Date]]) = 2022, WEEKNUM(Table9[[#This Row],[Date]])-13, WEEKNUM(Table9[[#This Row],[Date]])+40)</f>
        <v>33</v>
      </c>
      <c r="C225" s="255" t="s">
        <v>51</v>
      </c>
      <c r="D225" s="65" t="s">
        <v>59</v>
      </c>
      <c r="E225" s="269">
        <v>485</v>
      </c>
      <c r="F225" s="269">
        <v>471</v>
      </c>
      <c r="G225" s="282">
        <v>-0.12612612612612611</v>
      </c>
      <c r="H225" s="282">
        <v>-2.2821576763485476E-2</v>
      </c>
      <c r="I225" s="269">
        <v>5486</v>
      </c>
      <c r="J225" s="269">
        <v>4441</v>
      </c>
      <c r="K225" s="269">
        <v>93284</v>
      </c>
      <c r="L225" s="269">
        <v>74047</v>
      </c>
      <c r="M225" s="127">
        <v>0.87</v>
      </c>
      <c r="N225" s="127">
        <v>0.03</v>
      </c>
      <c r="O225" s="127">
        <v>0.97</v>
      </c>
      <c r="P225" s="127">
        <v>0.46</v>
      </c>
      <c r="Q225" s="283">
        <v>0.96</v>
      </c>
      <c r="R225" s="284">
        <v>0</v>
      </c>
      <c r="S225" s="284">
        <v>0</v>
      </c>
      <c r="T225" s="298">
        <v>7</v>
      </c>
      <c r="U225" s="127" t="str">
        <f t="shared" si="16"/>
        <v>Normal</v>
      </c>
      <c r="V225" s="127" t="str">
        <f t="shared" si="17"/>
        <v>Normal</v>
      </c>
      <c r="W225" s="87">
        <f t="shared" si="18"/>
        <v>-0.12612612612612611</v>
      </c>
      <c r="X225" s="87">
        <f t="shared" si="19"/>
        <v>-2.2821576763485476E-2</v>
      </c>
      <c r="Y225" s="277"/>
      <c r="Z225" s="277"/>
      <c r="AA225" s="277"/>
      <c r="AB225" s="277"/>
      <c r="AC225" s="277"/>
      <c r="AD225" s="277"/>
      <c r="AE225" s="277"/>
      <c r="AF225" s="277"/>
      <c r="AG225" s="277"/>
      <c r="AH225" s="277"/>
      <c r="AI225" s="277"/>
      <c r="AJ225" s="277"/>
      <c r="AK225" s="277"/>
    </row>
    <row r="226" spans="1:41">
      <c r="A226" s="287">
        <v>44876</v>
      </c>
      <c r="B226" s="315">
        <f>IF(YEAR(Table9[[#This Row],[Date]]) = 2022, WEEKNUM(Table9[[#This Row],[Date]])-13, WEEKNUM(Table9[[#This Row],[Date]])+40)</f>
        <v>33</v>
      </c>
      <c r="C226" s="255" t="s">
        <v>52</v>
      </c>
      <c r="D226" s="65" t="s">
        <v>59</v>
      </c>
      <c r="E226" s="269">
        <v>790</v>
      </c>
      <c r="F226" s="269">
        <v>588</v>
      </c>
      <c r="G226" s="282">
        <v>0.15328467153284672</v>
      </c>
      <c r="H226" s="282">
        <v>9.0909090909090912E-2</v>
      </c>
      <c r="I226" s="269">
        <v>6276</v>
      </c>
      <c r="J226" s="269">
        <v>5029</v>
      </c>
      <c r="K226" s="269">
        <v>94074</v>
      </c>
      <c r="L226" s="269">
        <v>74635</v>
      </c>
      <c r="M226" s="127">
        <v>0.37</v>
      </c>
      <c r="N226" s="127">
        <v>0.28999999999999998</v>
      </c>
      <c r="O226" s="127">
        <v>0.71</v>
      </c>
      <c r="P226" s="127">
        <v>0.55000000000000004</v>
      </c>
      <c r="Q226" s="283">
        <v>0.95</v>
      </c>
      <c r="R226" s="284">
        <v>0</v>
      </c>
      <c r="S226" s="284">
        <v>0</v>
      </c>
      <c r="T226" s="298">
        <v>7</v>
      </c>
      <c r="U226" s="127" t="str">
        <f t="shared" si="16"/>
        <v>Normal</v>
      </c>
      <c r="V226" s="127" t="str">
        <f t="shared" si="17"/>
        <v>Normal</v>
      </c>
      <c r="W226" s="87">
        <f t="shared" si="18"/>
        <v>0.15328467153284672</v>
      </c>
      <c r="X226" s="87">
        <f t="shared" si="19"/>
        <v>9.0909090909090912E-2</v>
      </c>
      <c r="Y226" s="277"/>
      <c r="Z226" s="277"/>
      <c r="AA226" s="277"/>
      <c r="AB226" s="277"/>
      <c r="AC226" s="277"/>
      <c r="AD226" s="277"/>
      <c r="AE226" s="277"/>
      <c r="AF226" s="277"/>
      <c r="AG226" s="277"/>
      <c r="AH226" s="277"/>
      <c r="AI226" s="277"/>
      <c r="AJ226" s="277"/>
      <c r="AK226" s="277"/>
    </row>
    <row r="227" spans="1:41">
      <c r="A227" s="287">
        <v>44877</v>
      </c>
      <c r="B227" s="315">
        <f>IF(YEAR(Table9[[#This Row],[Date]]) = 2022, WEEKNUM(Table9[[#This Row],[Date]])-13, WEEKNUM(Table9[[#This Row],[Date]])+40)</f>
        <v>33</v>
      </c>
      <c r="C227" s="255" t="s">
        <v>53</v>
      </c>
      <c r="D227" s="65" t="s">
        <v>59</v>
      </c>
      <c r="E227" s="269">
        <v>463</v>
      </c>
      <c r="F227" s="269">
        <v>276</v>
      </c>
      <c r="G227" s="282">
        <v>0.19948186528497408</v>
      </c>
      <c r="H227" s="282">
        <v>-1.0752688172043012E-2</v>
      </c>
      <c r="I227" s="269">
        <v>6739</v>
      </c>
      <c r="J227" s="269">
        <v>5305</v>
      </c>
      <c r="K227" s="269">
        <v>94537</v>
      </c>
      <c r="L227" s="269">
        <v>74911</v>
      </c>
      <c r="M227" s="127">
        <v>0.21</v>
      </c>
      <c r="N227" s="127">
        <v>0.4</v>
      </c>
      <c r="O227" s="127">
        <v>0.6</v>
      </c>
      <c r="P227" s="127">
        <v>0.38</v>
      </c>
      <c r="Q227" s="283">
        <v>0.95</v>
      </c>
      <c r="R227" s="284">
        <v>0</v>
      </c>
      <c r="S227" s="284">
        <v>0</v>
      </c>
      <c r="T227" s="298">
        <v>5</v>
      </c>
      <c r="U227" s="127" t="str">
        <f t="shared" si="16"/>
        <v>Normal</v>
      </c>
      <c r="V227" s="127" t="str">
        <f t="shared" si="17"/>
        <v>Normal</v>
      </c>
      <c r="W227" s="87">
        <f t="shared" si="18"/>
        <v>0.19948186528497408</v>
      </c>
      <c r="X227" s="87">
        <f t="shared" si="19"/>
        <v>-1.0752688172043012E-2</v>
      </c>
      <c r="Y227" s="277"/>
      <c r="Z227" s="277"/>
      <c r="AA227" s="277"/>
      <c r="AB227" s="277"/>
      <c r="AC227" s="277"/>
      <c r="AD227" s="277"/>
      <c r="AE227" s="277"/>
      <c r="AF227" s="277"/>
      <c r="AG227" s="277"/>
      <c r="AH227" s="277"/>
      <c r="AI227" s="277"/>
      <c r="AJ227" s="277"/>
      <c r="AK227" s="277"/>
    </row>
    <row r="228" spans="1:41">
      <c r="A228" s="287">
        <v>44878</v>
      </c>
      <c r="B228" s="315">
        <f>IF(YEAR(Table9[[#This Row],[Date]]) = 2022, WEEKNUM(Table9[[#This Row],[Date]])-13, WEEKNUM(Table9[[#This Row],[Date]])+40)</f>
        <v>34</v>
      </c>
      <c r="C228" s="255" t="s">
        <v>47</v>
      </c>
      <c r="D228" s="65" t="s">
        <v>59</v>
      </c>
      <c r="E228" s="269">
        <v>0</v>
      </c>
      <c r="F228" s="269">
        <v>0</v>
      </c>
      <c r="G228" s="282">
        <v>0</v>
      </c>
      <c r="H228" s="282">
        <v>0</v>
      </c>
      <c r="I228" s="269">
        <v>0</v>
      </c>
      <c r="J228" s="269">
        <v>0</v>
      </c>
      <c r="K228" s="269">
        <v>0</v>
      </c>
      <c r="L228" s="269">
        <v>0</v>
      </c>
      <c r="M228" s="127">
        <v>0</v>
      </c>
      <c r="N228" s="127">
        <v>0</v>
      </c>
      <c r="O228" s="127">
        <v>0</v>
      </c>
      <c r="P228" s="127">
        <v>0</v>
      </c>
      <c r="Q228" s="283">
        <v>0</v>
      </c>
      <c r="R228" s="284">
        <v>0</v>
      </c>
      <c r="S228" s="284">
        <v>0</v>
      </c>
      <c r="T228" s="298">
        <v>0</v>
      </c>
      <c r="U228" s="127" t="str">
        <f t="shared" si="16"/>
        <v>Normal</v>
      </c>
      <c r="V228" s="127" t="str">
        <f t="shared" si="17"/>
        <v>Normal</v>
      </c>
      <c r="W228" s="87">
        <f t="shared" si="18"/>
        <v>0</v>
      </c>
      <c r="X228" s="87">
        <f t="shared" si="19"/>
        <v>0</v>
      </c>
      <c r="Y228" s="277"/>
      <c r="Z228" s="277"/>
      <c r="AA228" s="277"/>
      <c r="AB228" s="277"/>
      <c r="AC228" s="277"/>
      <c r="AD228" s="277"/>
      <c r="AE228" s="277"/>
      <c r="AF228" s="277"/>
      <c r="AG228" s="277"/>
      <c r="AH228" s="277"/>
      <c r="AI228" s="277"/>
      <c r="AJ228" s="277"/>
      <c r="AK228" s="277"/>
    </row>
    <row r="229" spans="1:41">
      <c r="A229" s="287">
        <v>44879</v>
      </c>
      <c r="B229" s="315">
        <f>IF(YEAR(Table9[[#This Row],[Date]]) = 2022, WEEKNUM(Table9[[#This Row],[Date]])-13, WEEKNUM(Table9[[#This Row],[Date]])+40)</f>
        <v>34</v>
      </c>
      <c r="C229" s="255" t="s">
        <v>48</v>
      </c>
      <c r="D229" s="65" t="s">
        <v>59</v>
      </c>
      <c r="E229" s="269">
        <v>671</v>
      </c>
      <c r="F229" s="269">
        <v>613</v>
      </c>
      <c r="G229" s="282">
        <v>-0.12057667103538663</v>
      </c>
      <c r="H229" s="282">
        <v>6.9808027923211169E-2</v>
      </c>
      <c r="I229" s="269">
        <v>7410</v>
      </c>
      <c r="J229" s="269">
        <v>5918</v>
      </c>
      <c r="K229" s="269">
        <v>95208</v>
      </c>
      <c r="L229" s="269">
        <v>75524</v>
      </c>
      <c r="M229" s="127">
        <v>0.76</v>
      </c>
      <c r="N229" s="127">
        <v>0.09</v>
      </c>
      <c r="O229" s="127">
        <v>0.91</v>
      </c>
      <c r="P229" s="127">
        <v>0.53</v>
      </c>
      <c r="Q229" s="283">
        <v>0.96</v>
      </c>
      <c r="R229" s="284">
        <v>0</v>
      </c>
      <c r="S229" s="284">
        <v>0</v>
      </c>
      <c r="T229" s="298">
        <v>8</v>
      </c>
      <c r="U229" s="127" t="str">
        <f t="shared" si="16"/>
        <v>Normal</v>
      </c>
      <c r="V229" s="127" t="str">
        <f t="shared" si="17"/>
        <v>Normal</v>
      </c>
      <c r="W229" s="87">
        <f t="shared" si="18"/>
        <v>-0.12057667103538663</v>
      </c>
      <c r="X229" s="87">
        <f t="shared" si="19"/>
        <v>6.9808027923211169E-2</v>
      </c>
      <c r="Y229" s="277"/>
      <c r="Z229" s="277"/>
      <c r="AA229" s="277"/>
      <c r="AB229" s="277"/>
      <c r="AC229" s="277"/>
      <c r="AD229" s="277"/>
      <c r="AE229" s="277"/>
      <c r="AF229" s="277"/>
      <c r="AG229" s="277"/>
      <c r="AH229" s="277"/>
      <c r="AI229" s="277"/>
      <c r="AJ229" s="277"/>
      <c r="AK229" s="277"/>
    </row>
    <row r="230" spans="1:41">
      <c r="A230" s="287">
        <v>44880</v>
      </c>
      <c r="B230" s="315">
        <f>IF(YEAR(Table9[[#This Row],[Date]]) = 2022, WEEKNUM(Table9[[#This Row],[Date]])-13, WEEKNUM(Table9[[#This Row],[Date]])+40)</f>
        <v>34</v>
      </c>
      <c r="C230" s="255" t="s">
        <v>49</v>
      </c>
      <c r="D230" s="65" t="s">
        <v>59</v>
      </c>
      <c r="E230" s="269">
        <v>580</v>
      </c>
      <c r="F230" s="269">
        <v>532</v>
      </c>
      <c r="G230" s="282">
        <v>-0.1317365269461078</v>
      </c>
      <c r="H230" s="282">
        <v>0.1875</v>
      </c>
      <c r="I230" s="269">
        <v>7990</v>
      </c>
      <c r="J230" s="269">
        <v>6450</v>
      </c>
      <c r="K230" s="269">
        <v>95788</v>
      </c>
      <c r="L230" s="269">
        <v>76056</v>
      </c>
      <c r="M230" s="127">
        <v>0.73</v>
      </c>
      <c r="N230" s="127">
        <v>0.08</v>
      </c>
      <c r="O230" s="127">
        <v>0.92</v>
      </c>
      <c r="P230" s="127">
        <v>0.81</v>
      </c>
      <c r="Q230" s="283">
        <v>0.9</v>
      </c>
      <c r="R230" s="284">
        <v>0</v>
      </c>
      <c r="S230" s="284">
        <v>0</v>
      </c>
      <c r="T230" s="298">
        <v>6</v>
      </c>
      <c r="U230" s="127" t="str">
        <f t="shared" si="16"/>
        <v>Normal</v>
      </c>
      <c r="V230" s="127" t="str">
        <f t="shared" si="17"/>
        <v>Normal</v>
      </c>
      <c r="W230" s="87">
        <f t="shared" si="18"/>
        <v>-0.1317365269461078</v>
      </c>
      <c r="X230" s="87">
        <f t="shared" si="19"/>
        <v>0.1875</v>
      </c>
      <c r="Y230" s="277"/>
      <c r="Z230" s="277"/>
      <c r="AA230" s="277"/>
      <c r="AB230" s="277"/>
      <c r="AC230" s="277"/>
      <c r="AD230" s="277"/>
      <c r="AE230" s="277"/>
      <c r="AF230" s="277"/>
      <c r="AG230" s="277"/>
      <c r="AH230" s="277"/>
      <c r="AI230" s="277"/>
      <c r="AJ230" s="277"/>
      <c r="AK230" s="277"/>
    </row>
    <row r="231" spans="1:41">
      <c r="A231" s="287">
        <v>44881</v>
      </c>
      <c r="B231" s="315">
        <f>IF(YEAR(Table9[[#This Row],[Date]]) = 2022, WEEKNUM(Table9[[#This Row],[Date]])-13, WEEKNUM(Table9[[#This Row],[Date]])+40)</f>
        <v>34</v>
      </c>
      <c r="C231" s="255" t="s">
        <v>50</v>
      </c>
      <c r="D231" s="65" t="s">
        <v>59</v>
      </c>
      <c r="E231" s="269">
        <v>630</v>
      </c>
      <c r="F231" s="269">
        <v>600</v>
      </c>
      <c r="G231" s="282">
        <v>-7.874015748031496E-3</v>
      </c>
      <c r="H231" s="282">
        <v>0.2</v>
      </c>
      <c r="I231" s="269">
        <v>8620</v>
      </c>
      <c r="J231" s="269">
        <v>7050</v>
      </c>
      <c r="K231" s="269">
        <v>96418</v>
      </c>
      <c r="L231" s="269">
        <v>76656</v>
      </c>
      <c r="M231" s="127">
        <v>0.86</v>
      </c>
      <c r="N231" s="127">
        <v>0.04</v>
      </c>
      <c r="O231" s="127">
        <v>0.96</v>
      </c>
      <c r="P231" s="127">
        <v>0.73</v>
      </c>
      <c r="Q231" s="283">
        <v>0.95</v>
      </c>
      <c r="R231" s="284">
        <v>0</v>
      </c>
      <c r="S231" s="284">
        <v>0</v>
      </c>
      <c r="T231" s="298">
        <v>7</v>
      </c>
      <c r="U231" s="127" t="str">
        <f t="shared" si="16"/>
        <v>Normal</v>
      </c>
      <c r="V231" s="127" t="str">
        <f t="shared" si="17"/>
        <v>Normal</v>
      </c>
      <c r="W231" s="87">
        <f t="shared" si="18"/>
        <v>-7.874015748031496E-3</v>
      </c>
      <c r="X231" s="87">
        <f t="shared" si="19"/>
        <v>0.2</v>
      </c>
      <c r="Y231" s="277"/>
      <c r="Z231" s="277"/>
      <c r="AA231" s="277"/>
      <c r="AB231" s="277"/>
      <c r="AC231" s="277"/>
      <c r="AD231" s="277"/>
      <c r="AE231" s="277"/>
      <c r="AF231" s="277"/>
      <c r="AG231" s="277"/>
      <c r="AH231" s="277"/>
      <c r="AI231" s="277"/>
      <c r="AJ231" s="277"/>
      <c r="AK231" s="277"/>
    </row>
    <row r="232" spans="1:41">
      <c r="A232" s="287">
        <v>44882</v>
      </c>
      <c r="B232" s="315">
        <f>IF(YEAR(Table9[[#This Row],[Date]]) = 2022, WEEKNUM(Table9[[#This Row],[Date]])-13, WEEKNUM(Table9[[#This Row],[Date]])+40)</f>
        <v>34</v>
      </c>
      <c r="C232" s="255" t="s">
        <v>51</v>
      </c>
      <c r="D232" s="65" t="s">
        <v>59</v>
      </c>
      <c r="E232" s="269">
        <v>582</v>
      </c>
      <c r="F232" s="269">
        <v>554</v>
      </c>
      <c r="G232" s="282">
        <v>0.2</v>
      </c>
      <c r="H232" s="282">
        <v>0.17622080679405519</v>
      </c>
      <c r="I232" s="269">
        <v>9202</v>
      </c>
      <c r="J232" s="269">
        <v>7604</v>
      </c>
      <c r="K232" s="269">
        <v>97000</v>
      </c>
      <c r="L232" s="269">
        <v>77210</v>
      </c>
      <c r="M232" s="127">
        <v>0.86</v>
      </c>
      <c r="N232" s="127">
        <v>0.04</v>
      </c>
      <c r="O232" s="127">
        <v>0.96</v>
      </c>
      <c r="P232" s="127">
        <v>0.55000000000000004</v>
      </c>
      <c r="Q232" s="283">
        <v>0.96</v>
      </c>
      <c r="R232" s="284">
        <v>0</v>
      </c>
      <c r="S232" s="284">
        <v>0</v>
      </c>
      <c r="T232" s="298">
        <v>7</v>
      </c>
      <c r="U232" s="127" t="str">
        <f t="shared" si="16"/>
        <v>Normal</v>
      </c>
      <c r="V232" s="127" t="str">
        <f t="shared" si="17"/>
        <v>Normal</v>
      </c>
      <c r="W232" s="87">
        <f t="shared" si="18"/>
        <v>0.2</v>
      </c>
      <c r="X232" s="87">
        <f t="shared" si="19"/>
        <v>0.17622080679405519</v>
      </c>
      <c r="Y232" s="277"/>
      <c r="Z232" s="277"/>
      <c r="AA232" s="277"/>
      <c r="AB232" s="277"/>
      <c r="AC232" s="277"/>
      <c r="AD232" s="277"/>
      <c r="AE232" s="277"/>
      <c r="AF232" s="277"/>
      <c r="AG232" s="277"/>
      <c r="AH232" s="277"/>
      <c r="AI232" s="277"/>
      <c r="AJ232" s="277"/>
      <c r="AK232" s="277"/>
    </row>
    <row r="233" spans="1:41">
      <c r="A233" s="287">
        <v>44883</v>
      </c>
      <c r="B233" s="315">
        <f>IF(YEAR(Table9[[#This Row],[Date]]) = 2022, WEEKNUM(Table9[[#This Row],[Date]])-13, WEEKNUM(Table9[[#This Row],[Date]])+40)</f>
        <v>34</v>
      </c>
      <c r="C233" s="255" t="s">
        <v>52</v>
      </c>
      <c r="D233" s="65" t="s">
        <v>59</v>
      </c>
      <c r="E233" s="269">
        <v>621</v>
      </c>
      <c r="F233" s="269">
        <v>601</v>
      </c>
      <c r="G233" s="282">
        <v>-0.21392405063291139</v>
      </c>
      <c r="H233" s="282">
        <v>2.2108843537414966E-2</v>
      </c>
      <c r="I233" s="269">
        <v>9823</v>
      </c>
      <c r="J233" s="269">
        <v>8205</v>
      </c>
      <c r="K233" s="269">
        <v>97621</v>
      </c>
      <c r="L233" s="269">
        <v>77811</v>
      </c>
      <c r="M233" s="127">
        <v>0.93</v>
      </c>
      <c r="N233" s="127">
        <v>0.03</v>
      </c>
      <c r="O233" s="127">
        <v>0.97</v>
      </c>
      <c r="P233" s="127">
        <v>0.68</v>
      </c>
      <c r="Q233" s="283">
        <v>0.96</v>
      </c>
      <c r="R233" s="284">
        <v>0</v>
      </c>
      <c r="S233" s="284">
        <v>0</v>
      </c>
      <c r="T233" s="298">
        <v>8</v>
      </c>
      <c r="U233" s="127" t="str">
        <f t="shared" si="16"/>
        <v>Normal</v>
      </c>
      <c r="V233" s="127" t="str">
        <f t="shared" si="17"/>
        <v>Normal</v>
      </c>
      <c r="W233" s="87">
        <f t="shared" si="18"/>
        <v>-0.21392405063291139</v>
      </c>
      <c r="X233" s="87">
        <f t="shared" si="19"/>
        <v>2.2108843537414966E-2</v>
      </c>
      <c r="Y233" s="277"/>
      <c r="Z233" s="277"/>
      <c r="AA233" s="277"/>
      <c r="AB233" s="277"/>
      <c r="AC233" s="277"/>
      <c r="AD233" s="277"/>
      <c r="AE233" s="277"/>
      <c r="AF233" s="277"/>
      <c r="AG233" s="277"/>
      <c r="AH233" s="277"/>
      <c r="AI233" s="277"/>
      <c r="AJ233" s="277"/>
      <c r="AK233" s="277"/>
    </row>
    <row r="234" spans="1:41">
      <c r="A234" s="287">
        <v>44884</v>
      </c>
      <c r="B234" s="315">
        <f>IF(YEAR(Table9[[#This Row],[Date]]) = 2022, WEEKNUM(Table9[[#This Row],[Date]])-13, WEEKNUM(Table9[[#This Row],[Date]])+40)</f>
        <v>34</v>
      </c>
      <c r="C234" s="255" t="s">
        <v>53</v>
      </c>
      <c r="D234" s="65" t="s">
        <v>59</v>
      </c>
      <c r="E234" s="269">
        <v>311</v>
      </c>
      <c r="F234" s="269">
        <v>293</v>
      </c>
      <c r="G234" s="282">
        <v>-0.3282937365010799</v>
      </c>
      <c r="H234" s="282">
        <v>6.1594202898550728E-2</v>
      </c>
      <c r="I234" s="269">
        <v>10134</v>
      </c>
      <c r="J234" s="269">
        <v>8498</v>
      </c>
      <c r="K234" s="269">
        <v>97932</v>
      </c>
      <c r="L234" s="269">
        <v>78104</v>
      </c>
      <c r="M234" s="127">
        <v>0.82</v>
      </c>
      <c r="N234" s="127">
        <v>0.05</v>
      </c>
      <c r="O234" s="127">
        <v>0.95</v>
      </c>
      <c r="P234" s="127">
        <v>0.53</v>
      </c>
      <c r="Q234" s="283">
        <v>0.97</v>
      </c>
      <c r="R234" s="284">
        <v>0</v>
      </c>
      <c r="S234" s="284">
        <v>0</v>
      </c>
      <c r="T234" s="298">
        <v>5</v>
      </c>
      <c r="U234" s="127" t="str">
        <f t="shared" si="16"/>
        <v>Normal</v>
      </c>
      <c r="V234" s="127" t="str">
        <f t="shared" si="17"/>
        <v>Normal</v>
      </c>
      <c r="W234" s="87">
        <f t="shared" si="18"/>
        <v>-0.3282937365010799</v>
      </c>
      <c r="X234" s="87">
        <f t="shared" si="19"/>
        <v>6.1594202898550728E-2</v>
      </c>
      <c r="Y234" s="277"/>
      <c r="Z234" s="277"/>
      <c r="AA234" s="277"/>
      <c r="AB234" s="277"/>
      <c r="AC234" s="277"/>
      <c r="AD234" s="277"/>
      <c r="AE234" s="277"/>
      <c r="AF234" s="277"/>
      <c r="AG234" s="277"/>
      <c r="AH234" s="277"/>
      <c r="AI234" s="277"/>
      <c r="AJ234" s="277"/>
      <c r="AK234" s="277"/>
    </row>
    <row r="235" spans="1:41">
      <c r="A235" s="287">
        <v>44885</v>
      </c>
      <c r="B235" s="315">
        <f>IF(YEAR(Table9[[#This Row],[Date]]) = 2022, WEEKNUM(Table9[[#This Row],[Date]])-13, WEEKNUM(Table9[[#This Row],[Date]])+40)</f>
        <v>35</v>
      </c>
      <c r="C235" s="255" t="s">
        <v>47</v>
      </c>
      <c r="D235" s="65" t="s">
        <v>59</v>
      </c>
      <c r="E235" s="269">
        <v>0</v>
      </c>
      <c r="F235" s="269">
        <v>0</v>
      </c>
      <c r="G235" s="282">
        <v>0</v>
      </c>
      <c r="H235" s="282">
        <v>0</v>
      </c>
      <c r="I235" s="269">
        <v>0</v>
      </c>
      <c r="J235" s="269">
        <v>0</v>
      </c>
      <c r="K235" s="269">
        <v>0</v>
      </c>
      <c r="L235" s="269">
        <v>0</v>
      </c>
      <c r="M235" s="127">
        <v>0</v>
      </c>
      <c r="N235" s="127">
        <v>0</v>
      </c>
      <c r="O235" s="127">
        <v>0</v>
      </c>
      <c r="P235" s="127">
        <v>0</v>
      </c>
      <c r="Q235" s="283">
        <v>0</v>
      </c>
      <c r="R235" s="284">
        <v>0</v>
      </c>
      <c r="S235" s="284">
        <v>0</v>
      </c>
      <c r="T235" s="298">
        <v>0</v>
      </c>
      <c r="U235" s="127" t="str">
        <f t="shared" si="16"/>
        <v>Normal</v>
      </c>
      <c r="V235" s="127" t="str">
        <f t="shared" si="17"/>
        <v>Normal</v>
      </c>
      <c r="W235" s="87">
        <f t="shared" si="18"/>
        <v>0</v>
      </c>
      <c r="X235" s="87">
        <f t="shared" si="19"/>
        <v>0</v>
      </c>
      <c r="Y235" s="277"/>
      <c r="Z235" s="277"/>
      <c r="AA235" s="277"/>
      <c r="AB235" s="277"/>
      <c r="AC235" s="277"/>
      <c r="AD235" s="277"/>
      <c r="AE235" s="277"/>
      <c r="AF235" s="277"/>
      <c r="AG235" s="277"/>
      <c r="AH235" s="277"/>
      <c r="AI235" s="277"/>
      <c r="AJ235" s="277"/>
      <c r="AK235" s="277"/>
    </row>
    <row r="236" spans="1:41">
      <c r="A236" s="287">
        <v>44886</v>
      </c>
      <c r="B236" s="315">
        <f>IF(YEAR(Table9[[#This Row],[Date]]) = 2022, WEEKNUM(Table9[[#This Row],[Date]])-13, WEEKNUM(Table9[[#This Row],[Date]])+40)</f>
        <v>35</v>
      </c>
      <c r="C236" s="255" t="s">
        <v>48</v>
      </c>
      <c r="D236" s="65" t="s">
        <v>59</v>
      </c>
      <c r="E236" s="269">
        <v>719</v>
      </c>
      <c r="F236" s="269">
        <v>676</v>
      </c>
      <c r="G236" s="282">
        <v>7.1535022354694486E-2</v>
      </c>
      <c r="H236" s="282">
        <v>0.10277324632952692</v>
      </c>
      <c r="I236" s="269">
        <v>10853</v>
      </c>
      <c r="J236" s="269">
        <v>9174</v>
      </c>
      <c r="K236" s="269">
        <v>98651</v>
      </c>
      <c r="L236" s="269">
        <v>78780</v>
      </c>
      <c r="M236" s="127">
        <v>0.8</v>
      </c>
      <c r="N236" s="127">
        <v>0.06</v>
      </c>
      <c r="O236" s="127">
        <v>0.94</v>
      </c>
      <c r="P236" s="127">
        <v>0.77</v>
      </c>
      <c r="Q236" s="283">
        <v>0.96</v>
      </c>
      <c r="R236" s="284">
        <v>0</v>
      </c>
      <c r="S236" s="284">
        <v>0</v>
      </c>
      <c r="T236" s="298">
        <v>8</v>
      </c>
      <c r="U236" s="127" t="str">
        <f t="shared" si="16"/>
        <v>Normal</v>
      </c>
      <c r="V236" s="127" t="str">
        <f t="shared" si="17"/>
        <v>Normal</v>
      </c>
      <c r="W236" s="87">
        <f t="shared" si="18"/>
        <v>7.1535022354694486E-2</v>
      </c>
      <c r="X236" s="87">
        <f t="shared" si="19"/>
        <v>0.10277324632952692</v>
      </c>
      <c r="Y236" s="277"/>
      <c r="Z236" s="277"/>
      <c r="AA236" s="277"/>
      <c r="AB236" s="277"/>
      <c r="AC236" s="277"/>
      <c r="AD236" s="277"/>
      <c r="AE236" s="277"/>
      <c r="AF236" s="277"/>
      <c r="AG236" s="277"/>
      <c r="AH236" s="277"/>
      <c r="AI236" s="277"/>
      <c r="AJ236" s="277"/>
      <c r="AK236" s="277"/>
    </row>
    <row r="237" spans="1:41">
      <c r="A237" s="287">
        <v>44887</v>
      </c>
      <c r="B237" s="315">
        <f>IF(YEAR(Table9[[#This Row],[Date]]) = 2022, WEEKNUM(Table9[[#This Row],[Date]])-13, WEEKNUM(Table9[[#This Row],[Date]])+40)</f>
        <v>35</v>
      </c>
      <c r="C237" s="255" t="s">
        <v>49</v>
      </c>
      <c r="D237" s="65" t="s">
        <v>59</v>
      </c>
      <c r="E237" s="269">
        <v>717</v>
      </c>
      <c r="F237" s="269">
        <v>685</v>
      </c>
      <c r="G237" s="282">
        <v>0.23620689655172414</v>
      </c>
      <c r="H237" s="282">
        <v>0.28759398496240601</v>
      </c>
      <c r="I237" s="269">
        <v>11570</v>
      </c>
      <c r="J237" s="269">
        <v>9859</v>
      </c>
      <c r="K237" s="269">
        <v>99368</v>
      </c>
      <c r="L237" s="269">
        <v>79465</v>
      </c>
      <c r="M237" s="127">
        <v>0.84</v>
      </c>
      <c r="N237" s="127">
        <v>0.04</v>
      </c>
      <c r="O237" s="127">
        <v>0.96</v>
      </c>
      <c r="P237" s="127">
        <v>0.67</v>
      </c>
      <c r="Q237" s="283">
        <v>0.96</v>
      </c>
      <c r="R237" s="284">
        <v>0</v>
      </c>
      <c r="S237" s="284">
        <v>0</v>
      </c>
      <c r="T237" s="298">
        <v>7</v>
      </c>
      <c r="U237" s="127" t="str">
        <f t="shared" si="16"/>
        <v>Normal</v>
      </c>
      <c r="V237" s="127" t="str">
        <f t="shared" si="17"/>
        <v>Normal</v>
      </c>
      <c r="W237" s="87">
        <f t="shared" si="18"/>
        <v>0.23620689655172414</v>
      </c>
      <c r="X237" s="87">
        <f t="shared" si="19"/>
        <v>0.28759398496240601</v>
      </c>
      <c r="Y237" s="277"/>
      <c r="Z237" s="277"/>
      <c r="AA237" s="277"/>
      <c r="AB237" s="277"/>
      <c r="AC237" s="277"/>
      <c r="AD237" s="277"/>
      <c r="AE237" s="277"/>
      <c r="AF237" s="277"/>
      <c r="AG237" s="277"/>
      <c r="AH237" s="277"/>
      <c r="AI237" s="277"/>
      <c r="AJ237" s="277"/>
      <c r="AK237" s="277"/>
      <c r="AM237" s="50"/>
      <c r="AN237" s="50"/>
      <c r="AO237" s="50"/>
    </row>
    <row r="238" spans="1:41">
      <c r="A238" s="287">
        <v>44888</v>
      </c>
      <c r="B238" s="315">
        <f>IF(YEAR(Table9[[#This Row],[Date]]) = 2022, WEEKNUM(Table9[[#This Row],[Date]])-13, WEEKNUM(Table9[[#This Row],[Date]])+40)</f>
        <v>35</v>
      </c>
      <c r="C238" s="255" t="s">
        <v>50</v>
      </c>
      <c r="D238" s="65" t="s">
        <v>59</v>
      </c>
      <c r="E238" s="269">
        <v>643</v>
      </c>
      <c r="F238" s="269">
        <v>574</v>
      </c>
      <c r="G238" s="282">
        <v>2.0634920634920634E-2</v>
      </c>
      <c r="H238" s="282">
        <v>-4.3333333333333335E-2</v>
      </c>
      <c r="I238" s="269">
        <v>12213</v>
      </c>
      <c r="J238" s="269">
        <v>10433</v>
      </c>
      <c r="K238" s="269">
        <v>100011</v>
      </c>
      <c r="L238" s="269">
        <v>80039</v>
      </c>
      <c r="M238" s="127">
        <v>0.71</v>
      </c>
      <c r="N238" s="127">
        <v>0.11</v>
      </c>
      <c r="O238" s="127">
        <v>0.89</v>
      </c>
      <c r="P238" s="127">
        <v>0.56999999999999995</v>
      </c>
      <c r="Q238" s="283">
        <v>0.95</v>
      </c>
      <c r="R238" s="284">
        <v>0</v>
      </c>
      <c r="S238" s="284">
        <v>0</v>
      </c>
      <c r="T238" s="298">
        <v>7</v>
      </c>
      <c r="U238" s="127" t="str">
        <f t="shared" si="16"/>
        <v>Normal</v>
      </c>
      <c r="V238" s="127" t="str">
        <f t="shared" si="17"/>
        <v>Normal</v>
      </c>
      <c r="W238" s="87">
        <f t="shared" si="18"/>
        <v>2.0634920634920634E-2</v>
      </c>
      <c r="X238" s="87">
        <f t="shared" si="19"/>
        <v>-4.3333333333333335E-2</v>
      </c>
      <c r="Y238" s="277"/>
      <c r="Z238" s="277"/>
      <c r="AA238" s="277"/>
      <c r="AB238" s="277"/>
      <c r="AC238" s="277"/>
      <c r="AD238" s="277"/>
      <c r="AE238" s="277"/>
      <c r="AF238" s="277"/>
      <c r="AG238" s="277"/>
      <c r="AH238" s="277"/>
      <c r="AI238" s="277"/>
      <c r="AJ238" s="277"/>
      <c r="AK238" s="277"/>
    </row>
    <row r="239" spans="1:41">
      <c r="A239" s="287">
        <v>44889</v>
      </c>
      <c r="B239" s="315">
        <f>IF(YEAR(Table9[[#This Row],[Date]]) = 2022, WEEKNUM(Table9[[#This Row],[Date]])-13, WEEKNUM(Table9[[#This Row],[Date]])+40)</f>
        <v>35</v>
      </c>
      <c r="C239" s="255" t="s">
        <v>51</v>
      </c>
      <c r="D239" s="65" t="s">
        <v>59</v>
      </c>
      <c r="E239" s="269">
        <v>662</v>
      </c>
      <c r="F239" s="269">
        <v>593</v>
      </c>
      <c r="G239" s="282">
        <v>0.13745704467353953</v>
      </c>
      <c r="H239" s="282">
        <v>7.0397111913357402E-2</v>
      </c>
      <c r="I239" s="269">
        <v>12875</v>
      </c>
      <c r="J239" s="269">
        <v>11026</v>
      </c>
      <c r="K239" s="269">
        <v>100673</v>
      </c>
      <c r="L239" s="269">
        <v>80632</v>
      </c>
      <c r="M239" s="127">
        <v>0.7</v>
      </c>
      <c r="N239" s="127">
        <v>0.1</v>
      </c>
      <c r="O239" s="127">
        <v>0.9</v>
      </c>
      <c r="P239" s="127">
        <v>0.57999999999999996</v>
      </c>
      <c r="Q239" s="283">
        <v>0.96</v>
      </c>
      <c r="R239" s="284">
        <v>0</v>
      </c>
      <c r="S239" s="284">
        <v>0</v>
      </c>
      <c r="T239" s="298">
        <v>7</v>
      </c>
      <c r="U239" s="127" t="str">
        <f t="shared" si="16"/>
        <v>Normal</v>
      </c>
      <c r="V239" s="127" t="str">
        <f t="shared" si="17"/>
        <v>Normal</v>
      </c>
      <c r="W239" s="87">
        <f t="shared" si="18"/>
        <v>0.13745704467353953</v>
      </c>
      <c r="X239" s="87">
        <f t="shared" si="19"/>
        <v>7.0397111913357402E-2</v>
      </c>
      <c r="Y239" s="277"/>
      <c r="Z239" s="277"/>
      <c r="AA239" s="277"/>
      <c r="AB239" s="277"/>
      <c r="AC239" s="277"/>
      <c r="AD239" s="277"/>
      <c r="AE239" s="277"/>
      <c r="AF239" s="277"/>
      <c r="AG239" s="277"/>
      <c r="AH239" s="277"/>
      <c r="AI239" s="277"/>
      <c r="AJ239" s="277"/>
      <c r="AK239" s="277"/>
    </row>
    <row r="240" spans="1:41">
      <c r="A240" s="287">
        <v>44890</v>
      </c>
      <c r="B240" s="315">
        <f>IF(YEAR(Table9[[#This Row],[Date]]) = 2022, WEEKNUM(Table9[[#This Row],[Date]])-13, WEEKNUM(Table9[[#This Row],[Date]])+40)</f>
        <v>35</v>
      </c>
      <c r="C240" s="255" t="s">
        <v>52</v>
      </c>
      <c r="D240" s="65" t="s">
        <v>59</v>
      </c>
      <c r="E240" s="269">
        <v>1098</v>
      </c>
      <c r="F240" s="269">
        <v>1026</v>
      </c>
      <c r="G240" s="282">
        <v>0.76811594202898548</v>
      </c>
      <c r="H240" s="282">
        <v>0.70715474209650586</v>
      </c>
      <c r="I240" s="269">
        <v>13973</v>
      </c>
      <c r="J240" s="269">
        <v>12052</v>
      </c>
      <c r="K240" s="269">
        <v>101771</v>
      </c>
      <c r="L240" s="269">
        <v>81658</v>
      </c>
      <c r="M240" s="127">
        <v>0.78</v>
      </c>
      <c r="N240" s="127">
        <v>7.0000000000000007E-2</v>
      </c>
      <c r="O240" s="127">
        <v>0.93</v>
      </c>
      <c r="P240" s="127">
        <v>0.71</v>
      </c>
      <c r="Q240" s="283">
        <v>0.97</v>
      </c>
      <c r="R240" s="284">
        <v>0</v>
      </c>
      <c r="S240" s="284">
        <v>0</v>
      </c>
      <c r="T240" s="298">
        <v>10</v>
      </c>
      <c r="U240" s="127" t="str">
        <f t="shared" si="16"/>
        <v>Outlier</v>
      </c>
      <c r="V240" s="127" t="str">
        <f t="shared" si="17"/>
        <v>Outlier</v>
      </c>
      <c r="W240" s="87">
        <f t="shared" si="18"/>
        <v>0.76811594202898548</v>
      </c>
      <c r="X240" s="87">
        <f t="shared" si="19"/>
        <v>0.70715474209650586</v>
      </c>
      <c r="Y240" s="277"/>
      <c r="Z240" s="277"/>
      <c r="AA240" s="277"/>
      <c r="AB240" s="277"/>
      <c r="AC240" s="277"/>
      <c r="AD240" s="277"/>
      <c r="AE240" s="277"/>
      <c r="AF240" s="277"/>
      <c r="AG240" s="277"/>
      <c r="AH240" s="277"/>
      <c r="AI240" s="277"/>
      <c r="AJ240" s="277"/>
      <c r="AK240" s="277"/>
    </row>
    <row r="241" spans="1:39">
      <c r="A241" s="287">
        <v>44891</v>
      </c>
      <c r="B241" s="315">
        <f>IF(YEAR(Table9[[#This Row],[Date]]) = 2022, WEEKNUM(Table9[[#This Row],[Date]])-13, WEEKNUM(Table9[[#This Row],[Date]])+40)</f>
        <v>35</v>
      </c>
      <c r="C241" s="255" t="s">
        <v>53</v>
      </c>
      <c r="D241" s="65" t="s">
        <v>59</v>
      </c>
      <c r="E241" s="269">
        <v>692</v>
      </c>
      <c r="F241" s="269">
        <v>394</v>
      </c>
      <c r="G241" s="282">
        <v>1.22508038585209</v>
      </c>
      <c r="H241" s="282">
        <v>0.34470989761092152</v>
      </c>
      <c r="I241" s="269">
        <v>14665</v>
      </c>
      <c r="J241" s="269">
        <v>12446</v>
      </c>
      <c r="K241" s="269">
        <v>102463</v>
      </c>
      <c r="L241" s="269">
        <v>82052</v>
      </c>
      <c r="M241" s="127">
        <v>0.14000000000000001</v>
      </c>
      <c r="N241" s="127">
        <v>0.43</v>
      </c>
      <c r="O241" s="127">
        <v>0.56999999999999995</v>
      </c>
      <c r="P241" s="127">
        <v>0.54</v>
      </c>
      <c r="Q241" s="283">
        <v>0.97</v>
      </c>
      <c r="R241" s="284">
        <v>0</v>
      </c>
      <c r="S241" s="284">
        <v>0</v>
      </c>
      <c r="T241" s="298">
        <v>5</v>
      </c>
      <c r="U241" s="127" t="str">
        <f t="shared" si="16"/>
        <v>Outlier</v>
      </c>
      <c r="V241" s="127" t="str">
        <f t="shared" si="17"/>
        <v>Outlier</v>
      </c>
      <c r="W241" s="87">
        <f t="shared" si="18"/>
        <v>1.22508038585209</v>
      </c>
      <c r="X241" s="87">
        <f t="shared" si="19"/>
        <v>0.34470989761092152</v>
      </c>
      <c r="Y241" s="277"/>
      <c r="Z241" s="277"/>
      <c r="AA241" s="277"/>
      <c r="AB241" s="277"/>
      <c r="AC241" s="277"/>
      <c r="AD241" s="277"/>
      <c r="AE241" s="277"/>
      <c r="AF241" s="277"/>
      <c r="AG241" s="277"/>
      <c r="AH241" s="277"/>
      <c r="AI241" s="277"/>
      <c r="AJ241" s="277"/>
      <c r="AK241" s="277"/>
    </row>
    <row r="242" spans="1:39">
      <c r="A242" s="287">
        <v>44892</v>
      </c>
      <c r="B242" s="315">
        <f>IF(YEAR(Table9[[#This Row],[Date]]) = 2022, WEEKNUM(Table9[[#This Row],[Date]])-13, WEEKNUM(Table9[[#This Row],[Date]])+40)</f>
        <v>36</v>
      </c>
      <c r="C242" s="255" t="s">
        <v>47</v>
      </c>
      <c r="D242" s="65" t="s">
        <v>59</v>
      </c>
      <c r="E242" s="269">
        <v>0</v>
      </c>
      <c r="F242" s="269">
        <v>0</v>
      </c>
      <c r="G242" s="282">
        <v>0</v>
      </c>
      <c r="H242" s="282">
        <v>0</v>
      </c>
      <c r="I242" s="269">
        <v>0</v>
      </c>
      <c r="J242" s="269">
        <v>0</v>
      </c>
      <c r="K242" s="269">
        <v>0</v>
      </c>
      <c r="L242" s="269">
        <v>0</v>
      </c>
      <c r="M242" s="127">
        <v>0</v>
      </c>
      <c r="N242" s="127">
        <v>0</v>
      </c>
      <c r="O242" s="127">
        <v>0</v>
      </c>
      <c r="P242" s="127">
        <v>0</v>
      </c>
      <c r="Q242" s="283">
        <v>0</v>
      </c>
      <c r="R242" s="284">
        <v>0</v>
      </c>
      <c r="S242" s="284">
        <v>0</v>
      </c>
      <c r="T242" s="298">
        <v>0</v>
      </c>
      <c r="U242" s="127" t="str">
        <f t="shared" si="16"/>
        <v>Normal</v>
      </c>
      <c r="V242" s="127" t="str">
        <f t="shared" si="17"/>
        <v>Normal</v>
      </c>
      <c r="W242" s="87">
        <f t="shared" si="18"/>
        <v>0</v>
      </c>
      <c r="X242" s="87">
        <f t="shared" si="19"/>
        <v>0</v>
      </c>
      <c r="Y242" s="277"/>
      <c r="Z242" s="277"/>
      <c r="AA242" s="277"/>
      <c r="AB242" s="277"/>
      <c r="AC242" s="277"/>
      <c r="AD242" s="277"/>
      <c r="AE242" s="277"/>
      <c r="AF242" s="277"/>
      <c r="AG242" s="277"/>
      <c r="AH242" s="277"/>
      <c r="AI242" s="277"/>
      <c r="AJ242" s="277"/>
      <c r="AK242" s="277"/>
      <c r="AM242">
        <f>AVERAGEIF(Q1:Q366,"&lt;&gt;0")</f>
        <v>0.96140410958904077</v>
      </c>
    </row>
    <row r="243" spans="1:39">
      <c r="A243" s="287">
        <v>44893</v>
      </c>
      <c r="B243" s="315">
        <f>IF(YEAR(Table9[[#This Row],[Date]]) = 2022, WEEKNUM(Table9[[#This Row],[Date]])-13, WEEKNUM(Table9[[#This Row],[Date]])+40)</f>
        <v>36</v>
      </c>
      <c r="C243" s="255" t="s">
        <v>48</v>
      </c>
      <c r="D243" s="65" t="s">
        <v>59</v>
      </c>
      <c r="E243" s="269">
        <v>1267</v>
      </c>
      <c r="F243" s="269">
        <v>833</v>
      </c>
      <c r="G243" s="282">
        <v>0.76216968011126562</v>
      </c>
      <c r="H243" s="282">
        <v>0.23224852071005916</v>
      </c>
      <c r="I243" s="269">
        <v>15932</v>
      </c>
      <c r="J243" s="269">
        <v>13279</v>
      </c>
      <c r="K243" s="269">
        <v>103730</v>
      </c>
      <c r="L243" s="269">
        <v>82885</v>
      </c>
      <c r="M243" s="127">
        <v>0.12</v>
      </c>
      <c r="N243" s="127">
        <v>0.34</v>
      </c>
      <c r="O243" s="127">
        <v>0.66</v>
      </c>
      <c r="P243" s="127">
        <v>0.72</v>
      </c>
      <c r="Q243" s="283">
        <v>0.94</v>
      </c>
      <c r="R243" s="284">
        <v>0</v>
      </c>
      <c r="S243" s="284">
        <v>0</v>
      </c>
      <c r="T243" s="296">
        <v>8</v>
      </c>
      <c r="U243" s="127" t="str">
        <f t="shared" si="16"/>
        <v>Outlier</v>
      </c>
      <c r="V243" s="127" t="str">
        <f t="shared" si="17"/>
        <v>Normal</v>
      </c>
      <c r="W243" s="87">
        <f t="shared" si="18"/>
        <v>0.76216968011126562</v>
      </c>
      <c r="X243" s="87">
        <f t="shared" si="19"/>
        <v>0.23224852071005916</v>
      </c>
      <c r="Y243" s="275"/>
      <c r="Z243" s="275"/>
      <c r="AA243" s="275"/>
      <c r="AB243" s="275"/>
      <c r="AC243" s="275"/>
      <c r="AD243" s="275"/>
      <c r="AE243" s="275"/>
      <c r="AF243" s="275"/>
      <c r="AG243" s="275"/>
      <c r="AH243" s="275"/>
      <c r="AI243" s="275"/>
      <c r="AJ243" s="275"/>
      <c r="AK243" s="275"/>
    </row>
    <row r="244" spans="1:39">
      <c r="A244" s="287">
        <v>44894</v>
      </c>
      <c r="B244" s="315">
        <f>IF(YEAR(Table9[[#This Row],[Date]]) = 2022, WEEKNUM(Table9[[#This Row],[Date]])-13, WEEKNUM(Table9[[#This Row],[Date]])+40)</f>
        <v>36</v>
      </c>
      <c r="C244" s="255" t="s">
        <v>49</v>
      </c>
      <c r="D244" s="65" t="s">
        <v>59</v>
      </c>
      <c r="E244" s="269">
        <v>869</v>
      </c>
      <c r="F244" s="269">
        <v>747</v>
      </c>
      <c r="G244" s="282">
        <v>0.21199442119944212</v>
      </c>
      <c r="H244" s="282">
        <v>9.0510948905109495E-2</v>
      </c>
      <c r="I244" s="269">
        <v>16801</v>
      </c>
      <c r="J244" s="269">
        <v>14026</v>
      </c>
      <c r="K244" s="269">
        <v>104599</v>
      </c>
      <c r="L244" s="269">
        <v>83632</v>
      </c>
      <c r="M244" s="127">
        <v>0.63</v>
      </c>
      <c r="N244" s="127">
        <v>0.14000000000000001</v>
      </c>
      <c r="O244" s="127">
        <v>0.86</v>
      </c>
      <c r="P244" s="127">
        <v>0.64</v>
      </c>
      <c r="Q244" s="283">
        <v>0.94</v>
      </c>
      <c r="R244" s="284">
        <v>0</v>
      </c>
      <c r="S244" s="284">
        <v>0</v>
      </c>
      <c r="T244" s="296">
        <v>8</v>
      </c>
      <c r="U244" s="127" t="str">
        <f t="shared" si="16"/>
        <v>Normal</v>
      </c>
      <c r="V244" s="127" t="str">
        <f t="shared" si="17"/>
        <v>Normal</v>
      </c>
      <c r="W244" s="87">
        <f t="shared" si="18"/>
        <v>0.21199442119944212</v>
      </c>
      <c r="X244" s="87">
        <f t="shared" si="19"/>
        <v>9.0510948905109495E-2</v>
      </c>
      <c r="Y244" s="275"/>
      <c r="Z244" s="275"/>
      <c r="AA244" s="275"/>
      <c r="AB244" s="275"/>
      <c r="AC244" s="275"/>
      <c r="AD244" s="275"/>
      <c r="AE244" s="275"/>
      <c r="AF244" s="275"/>
      <c r="AG244" s="275"/>
      <c r="AH244" s="275"/>
      <c r="AI244" s="275"/>
      <c r="AJ244" s="275"/>
      <c r="AK244" s="275"/>
    </row>
    <row r="245" spans="1:39">
      <c r="A245" s="287">
        <v>44895</v>
      </c>
      <c r="B245" s="315">
        <f>IF(YEAR(Table9[[#This Row],[Date]]) = 2022, WEEKNUM(Table9[[#This Row],[Date]])-13, WEEKNUM(Table9[[#This Row],[Date]])+40)</f>
        <v>36</v>
      </c>
      <c r="C245" s="255" t="s">
        <v>50</v>
      </c>
      <c r="D245" s="65" t="s">
        <v>59</v>
      </c>
      <c r="E245" s="269">
        <v>0</v>
      </c>
      <c r="F245" s="269">
        <v>0</v>
      </c>
      <c r="G245" s="282">
        <v>0</v>
      </c>
      <c r="H245" s="282">
        <v>0</v>
      </c>
      <c r="I245" s="269">
        <v>0</v>
      </c>
      <c r="J245" s="269">
        <v>0</v>
      </c>
      <c r="K245" s="269">
        <v>0</v>
      </c>
      <c r="L245" s="269">
        <v>0</v>
      </c>
      <c r="M245" s="127">
        <v>0</v>
      </c>
      <c r="N245" s="127">
        <v>0</v>
      </c>
      <c r="O245" s="127">
        <v>0</v>
      </c>
      <c r="P245" s="127">
        <v>0</v>
      </c>
      <c r="Q245" s="283">
        <v>0</v>
      </c>
      <c r="R245" s="284">
        <v>0</v>
      </c>
      <c r="S245" s="284">
        <v>0</v>
      </c>
      <c r="T245" s="296">
        <v>0</v>
      </c>
      <c r="U245" s="127" t="str">
        <f t="shared" si="16"/>
        <v>Normal</v>
      </c>
      <c r="V245" s="127" t="str">
        <f t="shared" si="17"/>
        <v>Normal</v>
      </c>
      <c r="W245" s="87">
        <f t="shared" si="18"/>
        <v>0</v>
      </c>
      <c r="X245" s="87">
        <f t="shared" si="19"/>
        <v>0</v>
      </c>
      <c r="Y245" s="275"/>
      <c r="Z245" s="275"/>
      <c r="AA245" s="275"/>
      <c r="AB245" s="275"/>
      <c r="AC245" s="275"/>
      <c r="AD245" s="275"/>
      <c r="AE245" s="275"/>
      <c r="AF245" s="275"/>
      <c r="AG245" s="275"/>
      <c r="AH245" s="275"/>
      <c r="AI245" s="275"/>
      <c r="AJ245" s="275"/>
      <c r="AK245" s="275"/>
    </row>
    <row r="246" spans="1:39">
      <c r="A246" s="287">
        <v>44896</v>
      </c>
      <c r="B246" s="315">
        <f>IF(YEAR(Table9[[#This Row],[Date]]) = 2022, WEEKNUM(Table9[[#This Row],[Date]])-13, WEEKNUM(Table9[[#This Row],[Date]])+40)</f>
        <v>36</v>
      </c>
      <c r="C246" s="255" t="s">
        <v>51</v>
      </c>
      <c r="D246" s="65" t="s">
        <v>59</v>
      </c>
      <c r="E246" s="269">
        <v>936</v>
      </c>
      <c r="F246" s="269">
        <v>719</v>
      </c>
      <c r="G246" s="282">
        <v>0.41389728096676737</v>
      </c>
      <c r="H246" s="282">
        <v>0.21247892074198987</v>
      </c>
      <c r="I246" s="269">
        <v>936</v>
      </c>
      <c r="J246" s="269">
        <v>719</v>
      </c>
      <c r="K246" s="269">
        <v>105535</v>
      </c>
      <c r="L246" s="269">
        <v>84351</v>
      </c>
      <c r="M246" s="127">
        <v>0.36</v>
      </c>
      <c r="N246" s="127">
        <v>0.23</v>
      </c>
      <c r="O246" s="127">
        <v>0.77</v>
      </c>
      <c r="P246" s="127">
        <v>0.62</v>
      </c>
      <c r="Q246" s="283">
        <v>0.93</v>
      </c>
      <c r="R246" s="284">
        <v>0</v>
      </c>
      <c r="S246" s="284">
        <v>0</v>
      </c>
      <c r="T246" s="296">
        <v>8</v>
      </c>
      <c r="U246" s="127" t="str">
        <f t="shared" si="16"/>
        <v>Normal</v>
      </c>
      <c r="V246" s="127" t="str">
        <f t="shared" si="17"/>
        <v>Normal</v>
      </c>
      <c r="W246" s="87">
        <f t="shared" si="18"/>
        <v>0.41389728096676737</v>
      </c>
      <c r="X246" s="87">
        <f t="shared" si="19"/>
        <v>0.21247892074198987</v>
      </c>
      <c r="Y246" s="275"/>
      <c r="Z246" s="275"/>
      <c r="AA246" s="275"/>
      <c r="AB246" s="275"/>
      <c r="AC246" s="275"/>
      <c r="AD246" s="275"/>
      <c r="AE246" s="275"/>
      <c r="AF246" s="275"/>
      <c r="AG246" s="275"/>
      <c r="AH246" s="275"/>
      <c r="AI246" s="275"/>
      <c r="AJ246" s="275"/>
      <c r="AK246" s="275"/>
    </row>
    <row r="247" spans="1:39">
      <c r="A247" s="287">
        <v>44897</v>
      </c>
      <c r="B247" s="315">
        <f>IF(YEAR(Table9[[#This Row],[Date]]) = 2022, WEEKNUM(Table9[[#This Row],[Date]])-13, WEEKNUM(Table9[[#This Row],[Date]])+40)</f>
        <v>36</v>
      </c>
      <c r="C247" s="255" t="s">
        <v>52</v>
      </c>
      <c r="D247" s="65" t="s">
        <v>59</v>
      </c>
      <c r="E247" s="269">
        <v>734</v>
      </c>
      <c r="F247" s="269">
        <v>694</v>
      </c>
      <c r="G247" s="282">
        <v>-0.33151183970856102</v>
      </c>
      <c r="H247" s="282">
        <v>-0.3235867446393762</v>
      </c>
      <c r="I247" s="269">
        <v>1670</v>
      </c>
      <c r="J247" s="269">
        <v>1413</v>
      </c>
      <c r="K247" s="269">
        <v>106269</v>
      </c>
      <c r="L247" s="269">
        <v>85045</v>
      </c>
      <c r="M247" s="127">
        <v>0.84</v>
      </c>
      <c r="N247" s="127">
        <v>0.05</v>
      </c>
      <c r="O247" s="127">
        <v>0.95</v>
      </c>
      <c r="P247" s="127">
        <v>0.53</v>
      </c>
      <c r="Q247" s="283">
        <v>0.94</v>
      </c>
      <c r="R247" s="284">
        <v>0</v>
      </c>
      <c r="S247" s="284">
        <v>0</v>
      </c>
      <c r="T247" s="296">
        <v>9</v>
      </c>
      <c r="U247" s="127" t="str">
        <f t="shared" si="16"/>
        <v>Normal</v>
      </c>
      <c r="V247" s="127" t="str">
        <f t="shared" si="17"/>
        <v>Outlier</v>
      </c>
      <c r="W247" s="87">
        <f t="shared" si="18"/>
        <v>-0.33151183970856102</v>
      </c>
      <c r="X247" s="87">
        <f t="shared" si="19"/>
        <v>-0.3235867446393762</v>
      </c>
      <c r="Y247" s="275"/>
      <c r="Z247" s="275"/>
      <c r="AA247" s="275"/>
      <c r="AB247" s="275"/>
      <c r="AC247" s="275"/>
      <c r="AD247" s="275"/>
      <c r="AE247" s="275"/>
      <c r="AF247" s="275"/>
      <c r="AG247" s="275"/>
      <c r="AH247" s="275"/>
      <c r="AI247" s="275"/>
      <c r="AJ247" s="275"/>
      <c r="AK247" s="275"/>
    </row>
    <row r="248" spans="1:39">
      <c r="A248" s="287">
        <v>44898</v>
      </c>
      <c r="B248" s="315">
        <f>IF(YEAR(Table9[[#This Row],[Date]]) = 2022, WEEKNUM(Table9[[#This Row],[Date]])-13, WEEKNUM(Table9[[#This Row],[Date]])+40)</f>
        <v>36</v>
      </c>
      <c r="C248" s="255" t="s">
        <v>53</v>
      </c>
      <c r="D248" s="65" t="s">
        <v>59</v>
      </c>
      <c r="E248" s="269">
        <v>579</v>
      </c>
      <c r="F248" s="269">
        <v>412</v>
      </c>
      <c r="G248" s="282">
        <v>-0.16329479768786126</v>
      </c>
      <c r="H248" s="282">
        <v>4.5685279187817257E-2</v>
      </c>
      <c r="I248" s="269">
        <v>2249</v>
      </c>
      <c r="J248" s="269">
        <v>1825</v>
      </c>
      <c r="K248" s="269">
        <v>106848</v>
      </c>
      <c r="L248" s="269">
        <v>85457</v>
      </c>
      <c r="M248" s="127">
        <v>0.3</v>
      </c>
      <c r="N248" s="127">
        <v>0.28999999999999998</v>
      </c>
      <c r="O248" s="127">
        <v>0.71</v>
      </c>
      <c r="P248" s="127">
        <v>0.75</v>
      </c>
      <c r="Q248" s="283">
        <v>0.97</v>
      </c>
      <c r="R248" s="284">
        <v>0</v>
      </c>
      <c r="S248" s="284">
        <v>0</v>
      </c>
      <c r="T248" s="296">
        <v>5</v>
      </c>
      <c r="U248" s="127" t="str">
        <f t="shared" si="16"/>
        <v>Normal</v>
      </c>
      <c r="V248" s="127" t="str">
        <f t="shared" si="17"/>
        <v>Normal</v>
      </c>
      <c r="W248" s="87">
        <f t="shared" si="18"/>
        <v>-0.16329479768786126</v>
      </c>
      <c r="X248" s="87">
        <f t="shared" si="19"/>
        <v>4.5685279187817257E-2</v>
      </c>
      <c r="Y248" s="275"/>
      <c r="Z248" s="275"/>
      <c r="AA248" s="275"/>
      <c r="AB248" s="275"/>
      <c r="AC248" s="275"/>
      <c r="AD248" s="275"/>
      <c r="AE248" s="275"/>
      <c r="AF248" s="275"/>
      <c r="AG248" s="275"/>
      <c r="AH248" s="275"/>
      <c r="AI248" s="275"/>
      <c r="AJ248" s="275"/>
      <c r="AK248" s="275"/>
    </row>
    <row r="249" spans="1:39">
      <c r="A249" s="287">
        <v>44899</v>
      </c>
      <c r="B249" s="315">
        <f>IF(YEAR(Table9[[#This Row],[Date]]) = 2022, WEEKNUM(Table9[[#This Row],[Date]])-13, WEEKNUM(Table9[[#This Row],[Date]])+40)</f>
        <v>37</v>
      </c>
      <c r="C249" s="255" t="s">
        <v>47</v>
      </c>
      <c r="D249" s="65" t="s">
        <v>59</v>
      </c>
      <c r="E249" s="269">
        <v>168</v>
      </c>
      <c r="F249" s="269">
        <v>157</v>
      </c>
      <c r="G249" s="282">
        <v>0</v>
      </c>
      <c r="H249" s="282">
        <v>0</v>
      </c>
      <c r="I249" s="269">
        <v>2417</v>
      </c>
      <c r="J249" s="269">
        <v>1982</v>
      </c>
      <c r="K249" s="269">
        <v>107016</v>
      </c>
      <c r="L249" s="269">
        <v>85614</v>
      </c>
      <c r="M249" s="127">
        <v>0.86</v>
      </c>
      <c r="N249" s="127">
        <v>7.0000000000000007E-2</v>
      </c>
      <c r="O249" s="127">
        <v>0.93</v>
      </c>
      <c r="P249" s="127">
        <v>0.36</v>
      </c>
      <c r="Q249" s="283">
        <v>0.96</v>
      </c>
      <c r="R249" s="284">
        <v>0</v>
      </c>
      <c r="S249" s="284">
        <v>0</v>
      </c>
      <c r="T249" s="296">
        <v>4</v>
      </c>
      <c r="U249" s="127" t="str">
        <f t="shared" si="16"/>
        <v>Normal</v>
      </c>
      <c r="V249" s="127" t="str">
        <f t="shared" si="17"/>
        <v>Normal</v>
      </c>
      <c r="W249" s="87">
        <f t="shared" si="18"/>
        <v>0</v>
      </c>
      <c r="X249" s="87">
        <f t="shared" si="19"/>
        <v>0</v>
      </c>
      <c r="Y249" s="275"/>
      <c r="Z249" s="275"/>
      <c r="AA249" s="275"/>
      <c r="AB249" s="275"/>
      <c r="AC249" s="275"/>
      <c r="AD249" s="275"/>
      <c r="AE249" s="275"/>
      <c r="AF249" s="275"/>
      <c r="AG249" s="275"/>
      <c r="AH249" s="275"/>
      <c r="AI249" s="275"/>
      <c r="AJ249" s="275"/>
      <c r="AK249" s="275"/>
    </row>
    <row r="250" spans="1:39">
      <c r="A250" s="287">
        <v>44900</v>
      </c>
      <c r="B250" s="315">
        <f>IF(YEAR(Table9[[#This Row],[Date]]) = 2022, WEEKNUM(Table9[[#This Row],[Date]])-13, WEEKNUM(Table9[[#This Row],[Date]])+40)</f>
        <v>37</v>
      </c>
      <c r="C250" s="255" t="s">
        <v>48</v>
      </c>
      <c r="D250" s="65" t="s">
        <v>59</v>
      </c>
      <c r="E250" s="269">
        <v>1036</v>
      </c>
      <c r="F250" s="269">
        <v>725</v>
      </c>
      <c r="G250" s="282">
        <v>-0.18232044198895028</v>
      </c>
      <c r="H250" s="282">
        <v>-0.12965186074429771</v>
      </c>
      <c r="I250" s="269">
        <v>3453</v>
      </c>
      <c r="J250" s="269">
        <v>2707</v>
      </c>
      <c r="K250" s="269">
        <v>108052</v>
      </c>
      <c r="L250" s="269">
        <v>86339</v>
      </c>
      <c r="M250" s="127">
        <v>0.25</v>
      </c>
      <c r="N250" s="127">
        <v>0.3</v>
      </c>
      <c r="O250" s="127">
        <v>0.7</v>
      </c>
      <c r="P250" s="127">
        <v>0.82</v>
      </c>
      <c r="Q250" s="283">
        <v>0.97</v>
      </c>
      <c r="R250" s="284">
        <v>0</v>
      </c>
      <c r="S250" s="284">
        <v>0</v>
      </c>
      <c r="T250" s="296">
        <v>8</v>
      </c>
      <c r="U250" s="127" t="str">
        <f t="shared" si="16"/>
        <v>Normal</v>
      </c>
      <c r="V250" s="127" t="str">
        <f t="shared" si="17"/>
        <v>Normal</v>
      </c>
      <c r="W250" s="87">
        <f t="shared" si="18"/>
        <v>-0.18232044198895028</v>
      </c>
      <c r="X250" s="87">
        <f t="shared" si="19"/>
        <v>-0.12965186074429771</v>
      </c>
      <c r="Y250" s="275"/>
      <c r="Z250" s="275"/>
      <c r="AA250" s="275"/>
      <c r="AB250" s="275"/>
      <c r="AC250" s="275"/>
      <c r="AD250" s="275"/>
      <c r="AE250" s="275"/>
      <c r="AF250" s="275"/>
      <c r="AG250" s="275"/>
      <c r="AH250" s="275"/>
      <c r="AI250" s="275"/>
      <c r="AJ250" s="275"/>
      <c r="AK250" s="275"/>
    </row>
    <row r="251" spans="1:39">
      <c r="A251" s="287">
        <v>44901</v>
      </c>
      <c r="B251" s="315">
        <f>IF(YEAR(Table9[[#This Row],[Date]]) = 2022, WEEKNUM(Table9[[#This Row],[Date]])-13, WEEKNUM(Table9[[#This Row],[Date]])+40)</f>
        <v>37</v>
      </c>
      <c r="C251" s="255" t="s">
        <v>49</v>
      </c>
      <c r="D251" s="65" t="s">
        <v>59</v>
      </c>
      <c r="E251" s="269">
        <v>974</v>
      </c>
      <c r="F251" s="269">
        <v>664</v>
      </c>
      <c r="G251" s="282">
        <v>0.12082853855005754</v>
      </c>
      <c r="H251" s="282">
        <v>-0.1111111111111111</v>
      </c>
      <c r="I251" s="269">
        <v>4427</v>
      </c>
      <c r="J251" s="269">
        <v>3371</v>
      </c>
      <c r="K251" s="269">
        <v>109026</v>
      </c>
      <c r="L251" s="269">
        <v>87003</v>
      </c>
      <c r="M251" s="127">
        <v>0.21</v>
      </c>
      <c r="N251" s="127">
        <v>0.31</v>
      </c>
      <c r="O251" s="127">
        <v>0.69</v>
      </c>
      <c r="P251" s="127">
        <v>0.65</v>
      </c>
      <c r="Q251" s="283">
        <v>0.93</v>
      </c>
      <c r="R251" s="284">
        <v>0</v>
      </c>
      <c r="S251" s="284">
        <v>0</v>
      </c>
      <c r="T251" s="296">
        <v>7</v>
      </c>
      <c r="U251" s="127" t="str">
        <f t="shared" si="16"/>
        <v>Normal</v>
      </c>
      <c r="V251" s="127" t="str">
        <f t="shared" si="17"/>
        <v>Normal</v>
      </c>
      <c r="W251" s="87">
        <f t="shared" si="18"/>
        <v>0.12082853855005754</v>
      </c>
      <c r="X251" s="87">
        <f t="shared" si="19"/>
        <v>-0.1111111111111111</v>
      </c>
      <c r="Y251" s="275"/>
      <c r="Z251" s="275"/>
      <c r="AA251" s="275"/>
      <c r="AB251" s="275"/>
      <c r="AC251" s="275"/>
      <c r="AD251" s="275"/>
      <c r="AE251" s="275"/>
      <c r="AF251" s="275"/>
      <c r="AG251" s="275"/>
      <c r="AH251" s="275"/>
      <c r="AI251" s="275"/>
      <c r="AJ251" s="275"/>
      <c r="AK251" s="275"/>
    </row>
    <row r="252" spans="1:39">
      <c r="A252" s="287">
        <v>44902</v>
      </c>
      <c r="B252" s="315">
        <f>IF(YEAR(Table9[[#This Row],[Date]]) = 2022, WEEKNUM(Table9[[#This Row],[Date]])-13, WEEKNUM(Table9[[#This Row],[Date]])+40)</f>
        <v>37</v>
      </c>
      <c r="C252" s="255" t="s">
        <v>50</v>
      </c>
      <c r="D252" s="65" t="s">
        <v>59</v>
      </c>
      <c r="E252" s="269">
        <v>727</v>
      </c>
      <c r="F252" s="269">
        <v>674</v>
      </c>
      <c r="G252" s="282">
        <v>0</v>
      </c>
      <c r="H252" s="282">
        <v>0</v>
      </c>
      <c r="I252" s="269">
        <v>5154</v>
      </c>
      <c r="J252" s="269">
        <v>4045</v>
      </c>
      <c r="K252" s="269">
        <v>109753</v>
      </c>
      <c r="L252" s="269">
        <v>87677</v>
      </c>
      <c r="M252" s="127">
        <v>0.7</v>
      </c>
      <c r="N252" s="127">
        <v>7.0000000000000007E-2</v>
      </c>
      <c r="O252" s="127">
        <v>0.93</v>
      </c>
      <c r="P252" s="127">
        <v>0.57999999999999996</v>
      </c>
      <c r="Q252" s="283">
        <v>0.96</v>
      </c>
      <c r="R252" s="284">
        <v>0</v>
      </c>
      <c r="S252" s="284">
        <v>0</v>
      </c>
      <c r="T252" s="296">
        <v>8</v>
      </c>
      <c r="U252" s="127" t="str">
        <f t="shared" si="16"/>
        <v>Normal</v>
      </c>
      <c r="V252" s="127" t="str">
        <f t="shared" si="17"/>
        <v>Normal</v>
      </c>
      <c r="W252" s="87">
        <f t="shared" si="18"/>
        <v>0</v>
      </c>
      <c r="X252" s="87">
        <f t="shared" si="19"/>
        <v>0</v>
      </c>
      <c r="Y252" s="275"/>
      <c r="Z252" s="275"/>
      <c r="AA252" s="275"/>
      <c r="AB252" s="275"/>
      <c r="AC252" s="275"/>
      <c r="AD252" s="275"/>
      <c r="AE252" s="275"/>
      <c r="AF252" s="275"/>
      <c r="AG252" s="275"/>
      <c r="AH252" s="275"/>
      <c r="AI252" s="275"/>
      <c r="AJ252" s="275"/>
      <c r="AK252" s="275"/>
    </row>
    <row r="253" spans="1:39">
      <c r="A253" s="287">
        <v>44903</v>
      </c>
      <c r="B253" s="315">
        <f>IF(YEAR(Table9[[#This Row],[Date]]) = 2022, WEEKNUM(Table9[[#This Row],[Date]])-13, WEEKNUM(Table9[[#This Row],[Date]])+40)</f>
        <v>37</v>
      </c>
      <c r="C253" s="255" t="s">
        <v>51</v>
      </c>
      <c r="D253" s="65" t="s">
        <v>59</v>
      </c>
      <c r="E253" s="269">
        <v>802</v>
      </c>
      <c r="F253" s="269">
        <v>628</v>
      </c>
      <c r="G253" s="282">
        <v>-0.14316239316239315</v>
      </c>
      <c r="H253" s="282">
        <v>-0.12656467315716272</v>
      </c>
      <c r="I253" s="269">
        <v>5956</v>
      </c>
      <c r="J253" s="269">
        <v>4673</v>
      </c>
      <c r="K253" s="269">
        <v>110555</v>
      </c>
      <c r="L253" s="269">
        <v>88305</v>
      </c>
      <c r="M253" s="127">
        <v>0.44</v>
      </c>
      <c r="N253" s="127">
        <v>0.21</v>
      </c>
      <c r="O253" s="127">
        <v>0.79</v>
      </c>
      <c r="P253" s="127">
        <v>0.82</v>
      </c>
      <c r="Q253" s="283">
        <v>0.97</v>
      </c>
      <c r="R253" s="284">
        <v>0</v>
      </c>
      <c r="S253" s="284">
        <v>0</v>
      </c>
      <c r="T253" s="296">
        <v>7</v>
      </c>
      <c r="U253" s="127" t="str">
        <f t="shared" si="16"/>
        <v>Normal</v>
      </c>
      <c r="V253" s="127" t="str">
        <f t="shared" si="17"/>
        <v>Normal</v>
      </c>
      <c r="W253" s="87">
        <f t="shared" si="18"/>
        <v>-0.14316239316239315</v>
      </c>
      <c r="X253" s="87">
        <f t="shared" si="19"/>
        <v>-0.12656467315716272</v>
      </c>
      <c r="Y253" s="275"/>
      <c r="Z253" s="275"/>
      <c r="AA253" s="275"/>
      <c r="AB253" s="275"/>
      <c r="AC253" s="275"/>
      <c r="AD253" s="275"/>
      <c r="AE253" s="275"/>
      <c r="AF253" s="275"/>
      <c r="AG253" s="275"/>
      <c r="AH253" s="275"/>
      <c r="AI253" s="275"/>
      <c r="AJ253" s="275"/>
      <c r="AK253" s="275"/>
    </row>
    <row r="254" spans="1:39">
      <c r="A254" s="287">
        <v>44904</v>
      </c>
      <c r="B254" s="315">
        <f>IF(YEAR(Table9[[#This Row],[Date]]) = 2022, WEEKNUM(Table9[[#This Row],[Date]])-13, WEEKNUM(Table9[[#This Row],[Date]])+40)</f>
        <v>37</v>
      </c>
      <c r="C254" s="255" t="s">
        <v>52</v>
      </c>
      <c r="D254" s="65" t="s">
        <v>59</v>
      </c>
      <c r="E254" s="269">
        <v>662</v>
      </c>
      <c r="F254" s="269">
        <v>565</v>
      </c>
      <c r="G254" s="282">
        <v>-9.8092643051771122E-2</v>
      </c>
      <c r="H254" s="282">
        <v>-0.18587896253602307</v>
      </c>
      <c r="I254" s="269">
        <v>6618</v>
      </c>
      <c r="J254" s="269">
        <v>5238</v>
      </c>
      <c r="K254" s="269">
        <v>111217</v>
      </c>
      <c r="L254" s="269">
        <v>88870</v>
      </c>
      <c r="M254" s="127">
        <v>0.54</v>
      </c>
      <c r="N254" s="127">
        <v>0.15</v>
      </c>
      <c r="O254" s="127">
        <v>0.85</v>
      </c>
      <c r="P254" s="127">
        <v>0.49</v>
      </c>
      <c r="Q254" s="283">
        <v>0.96</v>
      </c>
      <c r="R254" s="284">
        <v>0</v>
      </c>
      <c r="S254" s="284">
        <v>0</v>
      </c>
      <c r="T254" s="296">
        <v>8</v>
      </c>
      <c r="U254" s="127" t="str">
        <f t="shared" si="16"/>
        <v>Normal</v>
      </c>
      <c r="V254" s="127" t="str">
        <f t="shared" si="17"/>
        <v>Normal</v>
      </c>
      <c r="W254" s="87">
        <f t="shared" si="18"/>
        <v>-9.8092643051771122E-2</v>
      </c>
      <c r="X254" s="87">
        <f t="shared" si="19"/>
        <v>-0.18587896253602307</v>
      </c>
      <c r="Y254" s="275"/>
      <c r="Z254" s="275"/>
      <c r="AA254" s="275"/>
      <c r="AB254" s="275"/>
      <c r="AC254" s="275"/>
      <c r="AD254" s="275"/>
      <c r="AE254" s="275"/>
      <c r="AF254" s="275"/>
      <c r="AG254" s="275"/>
      <c r="AH254" s="275"/>
      <c r="AI254" s="275"/>
      <c r="AJ254" s="275"/>
      <c r="AK254" s="275"/>
    </row>
    <row r="255" spans="1:39">
      <c r="A255" s="287">
        <v>44905</v>
      </c>
      <c r="B255" s="315">
        <f>IF(YEAR(Table9[[#This Row],[Date]]) = 2022, WEEKNUM(Table9[[#This Row],[Date]])-13, WEEKNUM(Table9[[#This Row],[Date]])+40)</f>
        <v>37</v>
      </c>
      <c r="C255" s="255" t="s">
        <v>53</v>
      </c>
      <c r="D255" s="65" t="s">
        <v>59</v>
      </c>
      <c r="E255" s="269">
        <v>479</v>
      </c>
      <c r="F255" s="269">
        <v>420</v>
      </c>
      <c r="G255" s="282">
        <v>-0.17271157167530224</v>
      </c>
      <c r="H255" s="282">
        <v>1.9417475728155338E-2</v>
      </c>
      <c r="I255" s="269">
        <v>7097</v>
      </c>
      <c r="J255" s="269">
        <v>5658</v>
      </c>
      <c r="K255" s="269">
        <v>111696</v>
      </c>
      <c r="L255" s="269">
        <v>89290</v>
      </c>
      <c r="M255" s="127">
        <v>0.71</v>
      </c>
      <c r="N255" s="127">
        <v>0.12</v>
      </c>
      <c r="O255" s="127">
        <v>0.88</v>
      </c>
      <c r="P255" s="127">
        <v>0.64</v>
      </c>
      <c r="Q255" s="283">
        <v>0.98</v>
      </c>
      <c r="R255" s="284">
        <v>0</v>
      </c>
      <c r="S255" s="284">
        <v>0</v>
      </c>
      <c r="T255" s="296">
        <v>6</v>
      </c>
      <c r="U255" s="127" t="str">
        <f t="shared" si="16"/>
        <v>Normal</v>
      </c>
      <c r="V255" s="127" t="str">
        <f t="shared" si="17"/>
        <v>Normal</v>
      </c>
      <c r="W255" s="87">
        <f t="shared" si="18"/>
        <v>-0.17271157167530224</v>
      </c>
      <c r="X255" s="87">
        <f t="shared" si="19"/>
        <v>1.9417475728155338E-2</v>
      </c>
      <c r="Y255" s="275"/>
      <c r="Z255" s="275"/>
      <c r="AA255" s="275"/>
      <c r="AB255" s="275"/>
      <c r="AC255" s="275"/>
      <c r="AD255" s="275"/>
      <c r="AE255" s="275"/>
      <c r="AF255" s="275"/>
      <c r="AG255" s="275"/>
      <c r="AH255" s="275"/>
      <c r="AI255" s="275"/>
      <c r="AJ255" s="275"/>
      <c r="AK255" s="275"/>
    </row>
    <row r="256" spans="1:39">
      <c r="A256" s="287">
        <v>44906</v>
      </c>
      <c r="B256" s="315">
        <f>IF(YEAR(Table9[[#This Row],[Date]]) = 2022, WEEKNUM(Table9[[#This Row],[Date]])-13, WEEKNUM(Table9[[#This Row],[Date]])+40)</f>
        <v>38</v>
      </c>
      <c r="C256" s="255" t="s">
        <v>47</v>
      </c>
      <c r="D256" s="65" t="s">
        <v>59</v>
      </c>
      <c r="E256" s="269">
        <v>191</v>
      </c>
      <c r="F256" s="269">
        <v>176</v>
      </c>
      <c r="G256" s="282">
        <v>0.13690476190476192</v>
      </c>
      <c r="H256" s="282">
        <v>0.12101910828025478</v>
      </c>
      <c r="I256" s="269">
        <v>7288</v>
      </c>
      <c r="J256" s="269">
        <v>5834</v>
      </c>
      <c r="K256" s="269">
        <v>111887</v>
      </c>
      <c r="L256" s="269">
        <v>89466</v>
      </c>
      <c r="M256" s="127">
        <v>0.81</v>
      </c>
      <c r="N256" s="127">
        <v>0.08</v>
      </c>
      <c r="O256" s="127">
        <v>0.92</v>
      </c>
      <c r="P256" s="127">
        <v>0.4</v>
      </c>
      <c r="Q256" s="283">
        <v>0.98</v>
      </c>
      <c r="R256" s="284">
        <v>0</v>
      </c>
      <c r="S256" s="284">
        <v>0</v>
      </c>
      <c r="T256" s="296">
        <v>3</v>
      </c>
      <c r="U256" s="127" t="str">
        <f t="shared" si="16"/>
        <v>Normal</v>
      </c>
      <c r="V256" s="127" t="str">
        <f t="shared" si="17"/>
        <v>Normal</v>
      </c>
      <c r="W256" s="87">
        <f t="shared" si="18"/>
        <v>0.13690476190476192</v>
      </c>
      <c r="X256" s="87">
        <f t="shared" si="19"/>
        <v>0.12101910828025478</v>
      </c>
      <c r="Y256" s="275"/>
      <c r="Z256" s="275"/>
      <c r="AA256" s="275"/>
      <c r="AB256" s="275"/>
      <c r="AC256" s="275"/>
      <c r="AD256" s="275"/>
      <c r="AE256" s="275"/>
      <c r="AF256" s="275"/>
      <c r="AG256" s="275"/>
      <c r="AH256" s="275"/>
      <c r="AI256" s="275"/>
      <c r="AJ256" s="275"/>
      <c r="AK256" s="275"/>
    </row>
    <row r="257" spans="1:39">
      <c r="A257" s="287">
        <v>44907</v>
      </c>
      <c r="B257" s="315">
        <f>IF(YEAR(Table9[[#This Row],[Date]]) = 2022, WEEKNUM(Table9[[#This Row],[Date]])-13, WEEKNUM(Table9[[#This Row],[Date]])+40)</f>
        <v>38</v>
      </c>
      <c r="C257" s="255" t="s">
        <v>48</v>
      </c>
      <c r="D257" s="65" t="s">
        <v>59</v>
      </c>
      <c r="E257" s="269">
        <v>840</v>
      </c>
      <c r="F257" s="269">
        <v>693</v>
      </c>
      <c r="G257" s="282">
        <v>-0.1891891891891892</v>
      </c>
      <c r="H257" s="282">
        <v>-4.4137931034482755E-2</v>
      </c>
      <c r="I257" s="269">
        <v>8128</v>
      </c>
      <c r="J257" s="269">
        <v>6527</v>
      </c>
      <c r="K257" s="269">
        <v>112727</v>
      </c>
      <c r="L257" s="269">
        <v>90159</v>
      </c>
      <c r="M257" s="127">
        <v>0.48</v>
      </c>
      <c r="N257" s="127">
        <v>0.17</v>
      </c>
      <c r="O257" s="127">
        <v>0.83</v>
      </c>
      <c r="P257" s="127">
        <v>0.53</v>
      </c>
      <c r="Q257" s="283">
        <v>0.96</v>
      </c>
      <c r="R257" s="284">
        <v>0</v>
      </c>
      <c r="S257" s="284">
        <v>0</v>
      </c>
      <c r="T257" s="296">
        <v>9</v>
      </c>
      <c r="U257" s="127" t="str">
        <f t="shared" si="16"/>
        <v>Normal</v>
      </c>
      <c r="V257" s="127" t="str">
        <f t="shared" si="17"/>
        <v>Normal</v>
      </c>
      <c r="W257" s="87">
        <f t="shared" si="18"/>
        <v>-0.1891891891891892</v>
      </c>
      <c r="X257" s="87">
        <f t="shared" si="19"/>
        <v>-4.4137931034482755E-2</v>
      </c>
      <c r="Y257" s="275"/>
      <c r="Z257" s="275"/>
      <c r="AA257" s="275"/>
      <c r="AB257" s="275"/>
      <c r="AC257" s="275"/>
      <c r="AD257" s="275"/>
      <c r="AE257" s="275"/>
      <c r="AF257" s="275"/>
      <c r="AG257" s="275"/>
      <c r="AH257" s="275"/>
      <c r="AI257" s="275"/>
      <c r="AJ257" s="275"/>
      <c r="AK257" s="275"/>
    </row>
    <row r="258" spans="1:39">
      <c r="A258" s="287">
        <v>44908</v>
      </c>
      <c r="B258" s="315">
        <f>IF(YEAR(Table9[[#This Row],[Date]]) = 2022, WEEKNUM(Table9[[#This Row],[Date]])-13, WEEKNUM(Table9[[#This Row],[Date]])+40)</f>
        <v>38</v>
      </c>
      <c r="C258" s="255" t="s">
        <v>49</v>
      </c>
      <c r="D258" s="65" t="s">
        <v>59</v>
      </c>
      <c r="E258" s="269">
        <v>690</v>
      </c>
      <c r="F258" s="269">
        <v>575</v>
      </c>
      <c r="G258" s="282">
        <v>-0.29158110882956878</v>
      </c>
      <c r="H258" s="282">
        <v>-0.13403614457831325</v>
      </c>
      <c r="I258" s="269">
        <v>8818</v>
      </c>
      <c r="J258" s="269">
        <v>7102</v>
      </c>
      <c r="K258" s="269">
        <v>113417</v>
      </c>
      <c r="L258" s="269">
        <v>90734</v>
      </c>
      <c r="M258" s="127">
        <v>0.55000000000000004</v>
      </c>
      <c r="N258" s="127">
        <v>0.16</v>
      </c>
      <c r="O258" s="127">
        <v>0.84</v>
      </c>
      <c r="P258" s="127">
        <v>0.56999999999999995</v>
      </c>
      <c r="Q258" s="283">
        <v>0.94</v>
      </c>
      <c r="R258" s="284">
        <v>0</v>
      </c>
      <c r="S258" s="284">
        <v>0</v>
      </c>
      <c r="T258" s="296">
        <v>7</v>
      </c>
      <c r="U258" s="127" t="str">
        <f t="shared" si="16"/>
        <v>Normal</v>
      </c>
      <c r="V258" s="127" t="str">
        <f t="shared" si="17"/>
        <v>Normal</v>
      </c>
      <c r="W258" s="87">
        <f t="shared" si="18"/>
        <v>-0.29158110882956878</v>
      </c>
      <c r="X258" s="87">
        <f t="shared" si="19"/>
        <v>-0.13403614457831325</v>
      </c>
      <c r="Y258" s="275"/>
      <c r="Z258" s="275"/>
      <c r="AA258" s="275"/>
      <c r="AB258" s="275"/>
      <c r="AC258" s="275"/>
      <c r="AD258" s="275"/>
      <c r="AE258" s="275"/>
      <c r="AF258" s="275"/>
      <c r="AG258" s="275"/>
      <c r="AH258" s="275"/>
      <c r="AI258" s="275"/>
      <c r="AJ258" s="275"/>
      <c r="AK258" s="275"/>
    </row>
    <row r="259" spans="1:39">
      <c r="A259" s="287">
        <v>44909</v>
      </c>
      <c r="B259" s="315">
        <f>IF(YEAR(Table9[[#This Row],[Date]]) = 2022, WEEKNUM(Table9[[#This Row],[Date]])-13, WEEKNUM(Table9[[#This Row],[Date]])+40)</f>
        <v>38</v>
      </c>
      <c r="C259" s="255" t="s">
        <v>50</v>
      </c>
      <c r="D259" s="65" t="s">
        <v>59</v>
      </c>
      <c r="E259" s="269">
        <v>725</v>
      </c>
      <c r="F259" s="269">
        <v>680</v>
      </c>
      <c r="G259" s="282">
        <v>-2.751031636863824E-3</v>
      </c>
      <c r="H259" s="282">
        <v>8.9020771513353119E-3</v>
      </c>
      <c r="I259" s="269">
        <v>9543</v>
      </c>
      <c r="J259" s="269">
        <v>7782</v>
      </c>
      <c r="K259" s="269">
        <v>114142</v>
      </c>
      <c r="L259" s="269">
        <v>91414</v>
      </c>
      <c r="M259" s="127">
        <v>0.79</v>
      </c>
      <c r="N259" s="127">
        <v>0.06</v>
      </c>
      <c r="O259" s="127">
        <v>0.94</v>
      </c>
      <c r="P259" s="127">
        <v>0.52</v>
      </c>
      <c r="Q259" s="283">
        <v>0.96</v>
      </c>
      <c r="R259" s="284">
        <v>0</v>
      </c>
      <c r="S259" s="284">
        <v>0</v>
      </c>
      <c r="T259" s="296">
        <v>9</v>
      </c>
      <c r="U259" s="127" t="str">
        <f t="shared" ref="U259:U322" si="20">IF(OR(G259&lt;$AA$5,G259&gt;$AB$5), "Outlier", "Normal")</f>
        <v>Normal</v>
      </c>
      <c r="V259" s="127" t="str">
        <f t="shared" ref="V259:V322" si="21">IF(OR(H259&lt;$AA$6,H259&gt;$AB$6), "Outlier", "Normal")</f>
        <v>Normal</v>
      </c>
      <c r="W259" s="87">
        <f t="shared" ref="W259:W322" si="22">IF(U259="Normal",$G259,IF($G259&lt;150%, $G259, $AA$9))</f>
        <v>-2.751031636863824E-3</v>
      </c>
      <c r="X259" s="87">
        <f t="shared" ref="X259:X322" si="23">IF(V259="Normal",$H259,IF($H259&lt;150%, $H259, $AE$9))</f>
        <v>8.9020771513353119E-3</v>
      </c>
      <c r="Y259" s="275"/>
      <c r="Z259" s="275"/>
      <c r="AA259" s="275"/>
      <c r="AB259" s="275"/>
      <c r="AC259" s="275"/>
      <c r="AD259" s="275"/>
      <c r="AE259" s="275"/>
      <c r="AF259" s="275"/>
      <c r="AG259" s="275"/>
      <c r="AH259" s="275"/>
      <c r="AI259" s="275"/>
      <c r="AJ259" s="275"/>
      <c r="AK259" s="275"/>
    </row>
    <row r="260" spans="1:39">
      <c r="A260" s="287">
        <v>44910</v>
      </c>
      <c r="B260" s="315">
        <f>IF(YEAR(Table9[[#This Row],[Date]]) = 2022, WEEKNUM(Table9[[#This Row],[Date]])-13, WEEKNUM(Table9[[#This Row],[Date]])+40)</f>
        <v>38</v>
      </c>
      <c r="C260" s="255" t="s">
        <v>51</v>
      </c>
      <c r="D260" s="65" t="s">
        <v>59</v>
      </c>
      <c r="E260" s="269">
        <v>821</v>
      </c>
      <c r="F260" s="269">
        <v>547</v>
      </c>
      <c r="G260" s="282">
        <f>IFERROR((Table3[[#This Row],[Calls Off]]-E253)/E253,0)</f>
        <v>2.369077306733167E-2</v>
      </c>
      <c r="H260" s="282">
        <f>IFERROR((Table3[[#This Row],[Calls Ans]]-F253)/F253,0)</f>
        <v>-0.12898089171974522</v>
      </c>
      <c r="I260" s="269">
        <f>I259+Table3[[#This Row],[Calls Off]]</f>
        <v>10364</v>
      </c>
      <c r="J260" s="269">
        <f>J259+Table3[[#This Row],[Calls Ans]]</f>
        <v>8329</v>
      </c>
      <c r="K260" s="269">
        <f>K259+Table3[[#This Row],[Calls Off]]</f>
        <v>114963</v>
      </c>
      <c r="L260" s="269">
        <f>L259+Table3[[#This Row],[Calls Ans]]</f>
        <v>91961</v>
      </c>
      <c r="M260" s="127">
        <v>0.39</v>
      </c>
      <c r="N260" s="127">
        <v>0.33</v>
      </c>
      <c r="O260" s="127">
        <v>0.67</v>
      </c>
      <c r="P260" s="127">
        <v>0.57999999999999996</v>
      </c>
      <c r="Q260" s="283">
        <v>0.97</v>
      </c>
      <c r="R260" s="284">
        <v>0</v>
      </c>
      <c r="S260" s="284">
        <v>0</v>
      </c>
      <c r="T260" s="296">
        <v>7</v>
      </c>
      <c r="U260" s="127" t="str">
        <f t="shared" si="20"/>
        <v>Normal</v>
      </c>
      <c r="V260" s="127" t="str">
        <f t="shared" si="21"/>
        <v>Normal</v>
      </c>
      <c r="W260" s="87">
        <f t="shared" si="22"/>
        <v>2.369077306733167E-2</v>
      </c>
      <c r="X260" s="87">
        <f t="shared" si="23"/>
        <v>-0.12898089171974522</v>
      </c>
      <c r="Y260" s="275"/>
      <c r="Z260" s="275"/>
      <c r="AA260" s="275"/>
      <c r="AB260" s="275"/>
      <c r="AC260" s="275"/>
      <c r="AD260" s="275"/>
      <c r="AE260" s="275"/>
      <c r="AF260" s="275"/>
      <c r="AG260" s="275"/>
      <c r="AH260" s="275"/>
      <c r="AI260" s="275"/>
      <c r="AJ260" s="275"/>
      <c r="AK260" s="275"/>
    </row>
    <row r="261" spans="1:39">
      <c r="A261" s="287">
        <v>44911</v>
      </c>
      <c r="B261" s="315">
        <f>IF(YEAR(Table9[[#This Row],[Date]]) = 2022, WEEKNUM(Table9[[#This Row],[Date]])-13, WEEKNUM(Table9[[#This Row],[Date]])+40)</f>
        <v>38</v>
      </c>
      <c r="C261" s="255" t="s">
        <v>52</v>
      </c>
      <c r="D261" s="65" t="s">
        <v>59</v>
      </c>
      <c r="E261" s="269">
        <v>829</v>
      </c>
      <c r="F261" s="269">
        <v>597</v>
      </c>
      <c r="G261" s="282">
        <f>IFERROR((Table3[[#This Row],[Calls Off]]-E254)/E254,0)</f>
        <v>0.25226586102719034</v>
      </c>
      <c r="H261" s="282">
        <f>IFERROR((Table3[[#This Row],[Calls Ans]]-F254)/F254,0)</f>
        <v>5.663716814159292E-2</v>
      </c>
      <c r="I261" s="269">
        <f>I260+Table3[[#This Row],[Calls Off]]</f>
        <v>11193</v>
      </c>
      <c r="J261" s="269">
        <f>J260+Table3[[#This Row],[Calls Ans]]</f>
        <v>8926</v>
      </c>
      <c r="K261" s="269">
        <f>K260+Table3[[#This Row],[Calls Off]]</f>
        <v>115792</v>
      </c>
      <c r="L261" s="269">
        <f>L260+Table3[[#This Row],[Calls Ans]]</f>
        <v>92558</v>
      </c>
      <c r="M261" s="127">
        <v>0.41</v>
      </c>
      <c r="N261" s="127">
        <v>0.28000000000000003</v>
      </c>
      <c r="O261" s="127">
        <v>0.72</v>
      </c>
      <c r="P261" s="127">
        <v>0.68</v>
      </c>
      <c r="Q261" s="283">
        <v>0.97</v>
      </c>
      <c r="R261" s="284">
        <v>0</v>
      </c>
      <c r="S261" s="284">
        <v>0</v>
      </c>
      <c r="T261" s="286">
        <v>8</v>
      </c>
      <c r="U261" s="127" t="str">
        <f t="shared" si="20"/>
        <v>Normal</v>
      </c>
      <c r="V261" s="127" t="str">
        <f t="shared" si="21"/>
        <v>Normal</v>
      </c>
      <c r="W261" s="87">
        <f t="shared" si="22"/>
        <v>0.25226586102719034</v>
      </c>
      <c r="X261" s="87">
        <f t="shared" si="23"/>
        <v>5.663716814159292E-2</v>
      </c>
      <c r="Y261" s="273"/>
      <c r="Z261" s="273"/>
      <c r="AA261" s="273"/>
      <c r="AB261" s="273"/>
      <c r="AC261" s="273"/>
      <c r="AD261" s="273"/>
      <c r="AE261" s="273"/>
      <c r="AF261" s="273"/>
      <c r="AG261" s="273"/>
      <c r="AH261" s="273"/>
      <c r="AI261" s="273"/>
      <c r="AJ261" s="273"/>
      <c r="AK261" s="273"/>
    </row>
    <row r="262" spans="1:39">
      <c r="A262" s="287">
        <v>44912</v>
      </c>
      <c r="B262" s="315">
        <f>IF(YEAR(Table9[[#This Row],[Date]]) = 2022, WEEKNUM(Table9[[#This Row],[Date]])-13, WEEKNUM(Table9[[#This Row],[Date]])+40)</f>
        <v>38</v>
      </c>
      <c r="C262" s="255" t="s">
        <v>53</v>
      </c>
      <c r="D262" s="65" t="s">
        <v>59</v>
      </c>
      <c r="E262" s="269">
        <v>671</v>
      </c>
      <c r="F262" s="269">
        <v>473</v>
      </c>
      <c r="G262" s="282">
        <f>IFERROR((Table3[[#This Row],[Calls Off]]-E255)/E255,0)</f>
        <v>0.40083507306889354</v>
      </c>
      <c r="H262" s="282">
        <f>IFERROR((Table3[[#This Row],[Calls Ans]]-F255)/F255,0)</f>
        <v>0.12619047619047619</v>
      </c>
      <c r="I262" s="269">
        <f>I261+Table3[[#This Row],[Calls Off]]</f>
        <v>11864</v>
      </c>
      <c r="J262" s="269">
        <f>J261+Table3[[#This Row],[Calls Ans]]</f>
        <v>9399</v>
      </c>
      <c r="K262" s="269">
        <f>K261+Table3[[#This Row],[Calls Off]]</f>
        <v>116463</v>
      </c>
      <c r="L262" s="269">
        <f>L261+Table3[[#This Row],[Calls Ans]]</f>
        <v>93031</v>
      </c>
      <c r="M262" s="127">
        <v>0.41</v>
      </c>
      <c r="N262" s="127">
        <v>0.28999999999999998</v>
      </c>
      <c r="O262" s="127">
        <v>0.71</v>
      </c>
      <c r="P262" s="127">
        <v>0.47</v>
      </c>
      <c r="Q262" s="283">
        <v>0.97</v>
      </c>
      <c r="R262" s="284">
        <v>0</v>
      </c>
      <c r="S262" s="284">
        <v>0</v>
      </c>
      <c r="T262" s="286">
        <v>7</v>
      </c>
      <c r="U262" s="127" t="str">
        <f t="shared" si="20"/>
        <v>Normal</v>
      </c>
      <c r="V262" s="127" t="str">
        <f t="shared" si="21"/>
        <v>Normal</v>
      </c>
      <c r="W262" s="87">
        <f t="shared" si="22"/>
        <v>0.40083507306889354</v>
      </c>
      <c r="X262" s="87">
        <f t="shared" si="23"/>
        <v>0.12619047619047619</v>
      </c>
      <c r="Y262" s="273"/>
      <c r="Z262" s="273"/>
      <c r="AA262" s="273"/>
      <c r="AB262" s="273"/>
      <c r="AC262" s="273"/>
      <c r="AD262" s="273"/>
      <c r="AE262" s="273"/>
      <c r="AF262" s="273"/>
      <c r="AG262" s="273"/>
      <c r="AH262" s="273"/>
      <c r="AI262" s="273"/>
      <c r="AJ262" s="273"/>
      <c r="AK262" s="273"/>
    </row>
    <row r="263" spans="1:39">
      <c r="A263" s="287">
        <v>44913</v>
      </c>
      <c r="B263" s="315">
        <f>IF(YEAR(Table9[[#This Row],[Date]]) = 2022, WEEKNUM(Table9[[#This Row],[Date]])-13, WEEKNUM(Table9[[#This Row],[Date]])+40)</f>
        <v>39</v>
      </c>
      <c r="C263" s="255" t="s">
        <v>47</v>
      </c>
      <c r="D263" s="65" t="s">
        <v>59</v>
      </c>
      <c r="E263" s="269">
        <v>313</v>
      </c>
      <c r="F263" s="269">
        <v>267</v>
      </c>
      <c r="G263" s="282">
        <f>IFERROR((Table3[[#This Row],[Calls Off]]-E256)/E256,0)</f>
        <v>0.63874345549738221</v>
      </c>
      <c r="H263" s="282">
        <f>IFERROR((Table3[[#This Row],[Calls Ans]]-F256)/F256,0)</f>
        <v>0.51704545454545459</v>
      </c>
      <c r="I263" s="269">
        <f>I262+Table3[[#This Row],[Calls Off]]</f>
        <v>12177</v>
      </c>
      <c r="J263" s="269">
        <f>J262+Table3[[#This Row],[Calls Ans]]</f>
        <v>9666</v>
      </c>
      <c r="K263" s="269">
        <f>K262+Table3[[#This Row],[Calls Off]]</f>
        <v>116776</v>
      </c>
      <c r="L263" s="269">
        <f>L262+Table3[[#This Row],[Calls Ans]]</f>
        <v>93298</v>
      </c>
      <c r="M263" s="127">
        <v>0.72</v>
      </c>
      <c r="N263" s="127">
        <v>0.15</v>
      </c>
      <c r="O263" s="127">
        <v>0.85</v>
      </c>
      <c r="P263" s="127">
        <v>0.37</v>
      </c>
      <c r="Q263" s="283">
        <v>0.97</v>
      </c>
      <c r="R263" s="284">
        <v>0</v>
      </c>
      <c r="S263" s="284">
        <v>0</v>
      </c>
      <c r="T263" s="286">
        <v>5</v>
      </c>
      <c r="U263" s="127" t="str">
        <f t="shared" si="20"/>
        <v>Outlier</v>
      </c>
      <c r="V263" s="127" t="str">
        <f t="shared" si="21"/>
        <v>Outlier</v>
      </c>
      <c r="W263" s="87">
        <f t="shared" si="22"/>
        <v>0.63874345549738221</v>
      </c>
      <c r="X263" s="87">
        <f t="shared" si="23"/>
        <v>0.51704545454545459</v>
      </c>
      <c r="Y263" s="273"/>
      <c r="Z263" s="273"/>
      <c r="AA263" s="273"/>
      <c r="AB263" s="273"/>
      <c r="AC263" s="273"/>
      <c r="AD263" s="273"/>
      <c r="AE263" s="273"/>
      <c r="AF263" s="273"/>
      <c r="AG263" s="273"/>
      <c r="AH263" s="273"/>
      <c r="AI263" s="273"/>
      <c r="AJ263" s="273"/>
      <c r="AK263" s="273"/>
      <c r="AM263" t="s">
        <v>63</v>
      </c>
    </row>
    <row r="264" spans="1:39">
      <c r="A264" s="287">
        <v>44914</v>
      </c>
      <c r="B264" s="315">
        <f>IF(YEAR(Table9[[#This Row],[Date]]) = 2022, WEEKNUM(Table9[[#This Row],[Date]])-13, WEEKNUM(Table9[[#This Row],[Date]])+40)</f>
        <v>39</v>
      </c>
      <c r="C264" s="255" t="s">
        <v>48</v>
      </c>
      <c r="D264" s="65" t="s">
        <v>59</v>
      </c>
      <c r="E264" s="269">
        <v>1147</v>
      </c>
      <c r="F264" s="269">
        <v>802</v>
      </c>
      <c r="G264" s="282">
        <f>IFERROR((Table3[[#This Row],[Calls Off]]-E257)/E257,0)</f>
        <v>0.36547619047619045</v>
      </c>
      <c r="H264" s="282">
        <f>IFERROR((Table3[[#This Row],[Calls Ans]]-F257)/F257,0)</f>
        <v>0.15728715728715728</v>
      </c>
      <c r="I264" s="269">
        <f>I263+Table3[[#This Row],[Calls Off]]</f>
        <v>13324</v>
      </c>
      <c r="J264" s="269">
        <f>J263+Table3[[#This Row],[Calls Ans]]</f>
        <v>10468</v>
      </c>
      <c r="K264" s="269">
        <f>K263+Table3[[#This Row],[Calls Off]]</f>
        <v>117923</v>
      </c>
      <c r="L264" s="269">
        <f>L263+Table3[[#This Row],[Calls Ans]]</f>
        <v>94100</v>
      </c>
      <c r="M264" s="127">
        <v>0.3</v>
      </c>
      <c r="N264" s="127">
        <v>0.3</v>
      </c>
      <c r="O264" s="127">
        <v>0.7</v>
      </c>
      <c r="P264" s="127">
        <v>0.69</v>
      </c>
      <c r="Q264" s="283">
        <v>0.94</v>
      </c>
      <c r="R264" s="284">
        <v>0</v>
      </c>
      <c r="S264" s="284">
        <v>0</v>
      </c>
      <c r="T264" s="286">
        <v>8</v>
      </c>
      <c r="U264" s="127" t="str">
        <f t="shared" si="20"/>
        <v>Normal</v>
      </c>
      <c r="V264" s="127" t="str">
        <f t="shared" si="21"/>
        <v>Normal</v>
      </c>
      <c r="W264" s="87">
        <f t="shared" si="22"/>
        <v>0.36547619047619045</v>
      </c>
      <c r="X264" s="87">
        <f t="shared" si="23"/>
        <v>0.15728715728715728</v>
      </c>
      <c r="Y264" s="273"/>
      <c r="Z264" s="273"/>
      <c r="AA264" s="273"/>
      <c r="AB264" s="273"/>
      <c r="AC264" s="273"/>
      <c r="AD264" s="273"/>
      <c r="AE264" s="273"/>
      <c r="AF264" s="273"/>
      <c r="AG264" s="273"/>
      <c r="AH264" s="273"/>
      <c r="AI264" s="273"/>
      <c r="AJ264" s="273"/>
      <c r="AK264" s="273"/>
    </row>
    <row r="265" spans="1:39">
      <c r="A265" s="287">
        <v>44915</v>
      </c>
      <c r="B265" s="315">
        <f>IF(YEAR(Table9[[#This Row],[Date]]) = 2022, WEEKNUM(Table9[[#This Row],[Date]])-13, WEEKNUM(Table9[[#This Row],[Date]])+40)</f>
        <v>39</v>
      </c>
      <c r="C265" s="255" t="s">
        <v>49</v>
      </c>
      <c r="D265" s="65" t="s">
        <v>59</v>
      </c>
      <c r="E265" s="269">
        <v>1157</v>
      </c>
      <c r="F265" s="269">
        <v>658</v>
      </c>
      <c r="G265" s="282">
        <f>IFERROR((Table3[[#This Row],[Calls Off]]-E258)/E258,0)</f>
        <v>0.6768115942028986</v>
      </c>
      <c r="H265" s="282">
        <f>IFERROR((Table3[[#This Row],[Calls Ans]]-F258)/F258,0)</f>
        <v>0.14434782608695651</v>
      </c>
      <c r="I265" s="269">
        <f>I264+Table3[[#This Row],[Calls Off]]</f>
        <v>14481</v>
      </c>
      <c r="J265" s="269">
        <f>J264+Table3[[#This Row],[Calls Ans]]</f>
        <v>11126</v>
      </c>
      <c r="K265" s="269">
        <f>K264+Table3[[#This Row],[Calls Off]]</f>
        <v>119080</v>
      </c>
      <c r="L265" s="269">
        <f>L264+Table3[[#This Row],[Calls Ans]]</f>
        <v>94758</v>
      </c>
      <c r="M265" s="127">
        <v>0.15</v>
      </c>
      <c r="N265" s="127">
        <v>0.43</v>
      </c>
      <c r="O265" s="127">
        <v>0.56999999999999995</v>
      </c>
      <c r="P265" s="127">
        <v>0.56999999999999995</v>
      </c>
      <c r="Q265" s="283">
        <v>0.97</v>
      </c>
      <c r="R265" s="284">
        <v>0</v>
      </c>
      <c r="S265" s="284">
        <v>0</v>
      </c>
      <c r="T265" s="286">
        <v>8</v>
      </c>
      <c r="U265" s="127" t="str">
        <f t="shared" si="20"/>
        <v>Outlier</v>
      </c>
      <c r="V265" s="127" t="str">
        <f t="shared" si="21"/>
        <v>Normal</v>
      </c>
      <c r="W265" s="87">
        <f t="shared" si="22"/>
        <v>0.6768115942028986</v>
      </c>
      <c r="X265" s="87">
        <f t="shared" si="23"/>
        <v>0.14434782608695651</v>
      </c>
      <c r="Y265" s="273"/>
      <c r="Z265" s="273"/>
      <c r="AA265" s="273"/>
      <c r="AB265" s="273"/>
      <c r="AC265" s="273"/>
      <c r="AD265" s="273"/>
      <c r="AE265" s="273"/>
      <c r="AF265" s="273"/>
      <c r="AG265" s="273"/>
      <c r="AH265" s="273"/>
      <c r="AI265" s="273"/>
      <c r="AJ265" s="273"/>
      <c r="AK265" s="273"/>
    </row>
    <row r="266" spans="1:39">
      <c r="A266" s="287">
        <v>44916</v>
      </c>
      <c r="B266" s="315">
        <f>IF(YEAR(Table9[[#This Row],[Date]]) = 2022, WEEKNUM(Table9[[#This Row],[Date]])-13, WEEKNUM(Table9[[#This Row],[Date]])+40)</f>
        <v>39</v>
      </c>
      <c r="C266" s="255" t="s">
        <v>50</v>
      </c>
      <c r="D266" s="65" t="s">
        <v>59</v>
      </c>
      <c r="E266" s="269">
        <v>1412</v>
      </c>
      <c r="F266" s="269">
        <v>784</v>
      </c>
      <c r="G266" s="282">
        <f>IFERROR((Table3[[#This Row],[Calls Off]]-E259)/E259,0)</f>
        <v>0.94758620689655171</v>
      </c>
      <c r="H266" s="282">
        <f>IFERROR((Table3[[#This Row],[Calls Ans]]-F259)/F259,0)</f>
        <v>0.15294117647058825</v>
      </c>
      <c r="I266" s="269">
        <f>I265+Table3[[#This Row],[Calls Off]]</f>
        <v>15893</v>
      </c>
      <c r="J266" s="269">
        <f>J265+Table3[[#This Row],[Calls Ans]]</f>
        <v>11910</v>
      </c>
      <c r="K266" s="269">
        <f>K265+Table3[[#This Row],[Calls Off]]</f>
        <v>120492</v>
      </c>
      <c r="L266" s="269">
        <f>L265+Table3[[#This Row],[Calls Ans]]</f>
        <v>95542</v>
      </c>
      <c r="M266" s="127">
        <v>0.13</v>
      </c>
      <c r="N266" s="127">
        <v>0.44</v>
      </c>
      <c r="O266" s="127">
        <v>0.56000000000000005</v>
      </c>
      <c r="P266" s="127">
        <v>0.77</v>
      </c>
      <c r="Q266" s="283">
        <v>0.97</v>
      </c>
      <c r="R266" s="284">
        <v>0</v>
      </c>
      <c r="S266" s="284">
        <v>0</v>
      </c>
      <c r="T266" s="286">
        <v>8</v>
      </c>
      <c r="U266" s="127" t="str">
        <f t="shared" si="20"/>
        <v>Outlier</v>
      </c>
      <c r="V266" s="127" t="str">
        <f t="shared" si="21"/>
        <v>Normal</v>
      </c>
      <c r="W266" s="87">
        <f t="shared" si="22"/>
        <v>0.94758620689655171</v>
      </c>
      <c r="X266" s="87">
        <f t="shared" si="23"/>
        <v>0.15294117647058825</v>
      </c>
      <c r="Y266" s="273"/>
      <c r="Z266" s="273"/>
      <c r="AA266" s="273"/>
      <c r="AB266" s="273"/>
      <c r="AC266" s="273"/>
      <c r="AD266" s="273"/>
      <c r="AE266" s="273"/>
      <c r="AF266" s="273"/>
      <c r="AG266" s="273"/>
      <c r="AH266" s="273"/>
      <c r="AI266" s="273"/>
      <c r="AJ266" s="273"/>
      <c r="AK266" s="273"/>
    </row>
    <row r="267" spans="1:39">
      <c r="A267" s="287">
        <v>44917</v>
      </c>
      <c r="B267" s="315">
        <f>IF(YEAR(Table9[[#This Row],[Date]]) = 2022, WEEKNUM(Table9[[#This Row],[Date]])-13, WEEKNUM(Table9[[#This Row],[Date]])+40)</f>
        <v>39</v>
      </c>
      <c r="C267" s="255" t="s">
        <v>51</v>
      </c>
      <c r="D267" s="65" t="s">
        <v>59</v>
      </c>
      <c r="E267" s="269">
        <v>1163</v>
      </c>
      <c r="F267" s="269">
        <v>554</v>
      </c>
      <c r="G267" s="282">
        <f>IFERROR((Table3[[#This Row],[Calls Off]]-E260)/E260,0)</f>
        <v>0.41656516443361752</v>
      </c>
      <c r="H267" s="282">
        <f>IFERROR((Table3[[#This Row],[Calls Ans]]-F260)/F260,0)</f>
        <v>1.2797074954296161E-2</v>
      </c>
      <c r="I267" s="269">
        <f>I266+Table3[[#This Row],[Calls Off]]</f>
        <v>17056</v>
      </c>
      <c r="J267" s="269">
        <f>J266+Table3[[#This Row],[Calls Ans]]</f>
        <v>12464</v>
      </c>
      <c r="K267" s="269">
        <f>K266+Table3[[#This Row],[Calls Off]]</f>
        <v>121655</v>
      </c>
      <c r="L267" s="269">
        <f>L266+Table3[[#This Row],[Calls Ans]]</f>
        <v>96096</v>
      </c>
      <c r="M267" s="127">
        <v>7.0000000000000007E-2</v>
      </c>
      <c r="N267" s="127">
        <v>0.52</v>
      </c>
      <c r="O267" s="127">
        <v>0.48</v>
      </c>
      <c r="P267" s="127">
        <v>0.14000000000000001</v>
      </c>
      <c r="Q267" s="283">
        <v>0.96</v>
      </c>
      <c r="R267" s="284">
        <v>0</v>
      </c>
      <c r="S267" s="284">
        <v>0</v>
      </c>
      <c r="T267" s="286">
        <v>7</v>
      </c>
      <c r="U267" s="127" t="str">
        <f t="shared" si="20"/>
        <v>Normal</v>
      </c>
      <c r="V267" s="127" t="str">
        <f t="shared" si="21"/>
        <v>Normal</v>
      </c>
      <c r="W267" s="87">
        <f t="shared" si="22"/>
        <v>0.41656516443361752</v>
      </c>
      <c r="X267" s="87">
        <f t="shared" si="23"/>
        <v>1.2797074954296161E-2</v>
      </c>
      <c r="Y267" s="273"/>
      <c r="Z267" s="273"/>
      <c r="AA267" s="273"/>
      <c r="AB267" s="273"/>
      <c r="AC267" s="273"/>
      <c r="AD267" s="273"/>
      <c r="AE267" s="273"/>
      <c r="AF267" s="273"/>
      <c r="AG267" s="273"/>
      <c r="AH267" s="273"/>
      <c r="AI267" s="273"/>
      <c r="AJ267" s="273"/>
      <c r="AK267" s="273"/>
    </row>
    <row r="268" spans="1:39">
      <c r="A268" s="287">
        <v>44918</v>
      </c>
      <c r="B268" s="315">
        <f>IF(YEAR(Table9[[#This Row],[Date]]) = 2022, WEEKNUM(Table9[[#This Row],[Date]])-13, WEEKNUM(Table9[[#This Row],[Date]])+40)</f>
        <v>39</v>
      </c>
      <c r="C268" s="255" t="s">
        <v>52</v>
      </c>
      <c r="D268" s="65" t="s">
        <v>59</v>
      </c>
      <c r="E268" s="269">
        <v>1141</v>
      </c>
      <c r="F268" s="269">
        <v>598</v>
      </c>
      <c r="G268" s="282">
        <f>IFERROR((Table3[[#This Row],[Calls Off]]-E261)/E261,0)</f>
        <v>0.37635705669481301</v>
      </c>
      <c r="H268" s="282">
        <f>IFERROR((Table3[[#This Row],[Calls Ans]]-F261)/F261,0)</f>
        <v>1.6750418760469012E-3</v>
      </c>
      <c r="I268" s="269">
        <f>I267+Table3[[#This Row],[Calls Off]]</f>
        <v>18197</v>
      </c>
      <c r="J268" s="269">
        <f>J267+Table3[[#This Row],[Calls Ans]]</f>
        <v>13062</v>
      </c>
      <c r="K268" s="269">
        <f>K267+Table3[[#This Row],[Calls Off]]</f>
        <v>122796</v>
      </c>
      <c r="L268" s="269">
        <f>L267+Table3[[#This Row],[Calls Ans]]</f>
        <v>96694</v>
      </c>
      <c r="M268" s="127">
        <v>0.14000000000000001</v>
      </c>
      <c r="N268" s="127">
        <v>0.48</v>
      </c>
      <c r="O268" s="127">
        <v>0.52</v>
      </c>
      <c r="P268" s="127">
        <v>0.52</v>
      </c>
      <c r="Q268" s="283">
        <v>0.96</v>
      </c>
      <c r="R268" s="284">
        <v>0</v>
      </c>
      <c r="S268" s="284">
        <v>0</v>
      </c>
      <c r="T268" s="286">
        <v>8</v>
      </c>
      <c r="U268" s="127" t="str">
        <f t="shared" si="20"/>
        <v>Normal</v>
      </c>
      <c r="V268" s="127" t="str">
        <f t="shared" si="21"/>
        <v>Normal</v>
      </c>
      <c r="W268" s="87">
        <f t="shared" si="22"/>
        <v>0.37635705669481301</v>
      </c>
      <c r="X268" s="87">
        <f t="shared" si="23"/>
        <v>1.6750418760469012E-3</v>
      </c>
      <c r="Y268" s="273"/>
      <c r="Z268" s="273"/>
      <c r="AA268" s="273"/>
      <c r="AB268" s="273"/>
      <c r="AC268" s="273"/>
      <c r="AD268" s="273"/>
      <c r="AE268" s="273"/>
      <c r="AF268" s="273"/>
      <c r="AG268" s="273"/>
      <c r="AH268" s="273"/>
      <c r="AI268" s="273"/>
      <c r="AJ268" s="273"/>
      <c r="AK268" s="273"/>
    </row>
    <row r="269" spans="1:39">
      <c r="A269" s="287">
        <v>44919</v>
      </c>
      <c r="B269" s="315">
        <f>IF(YEAR(Table9[[#This Row],[Date]]) = 2022, WEEKNUM(Table9[[#This Row],[Date]])-13, WEEKNUM(Table9[[#This Row],[Date]])+40)</f>
        <v>39</v>
      </c>
      <c r="C269" s="255" t="s">
        <v>53</v>
      </c>
      <c r="D269" s="65" t="s">
        <v>59</v>
      </c>
      <c r="E269" s="269">
        <v>836</v>
      </c>
      <c r="F269" s="269">
        <v>641</v>
      </c>
      <c r="G269" s="282">
        <f>IFERROR((Table3[[#This Row],[Calls Off]]-E262)/E262,0)</f>
        <v>0.24590163934426229</v>
      </c>
      <c r="H269" s="282">
        <f>IFERROR((Table3[[#This Row],[Calls Ans]]-F262)/F262,0)</f>
        <v>0.35517970401691334</v>
      </c>
      <c r="I269" s="269">
        <f>I268+Table3[[#This Row],[Calls Off]]</f>
        <v>19033</v>
      </c>
      <c r="J269" s="269">
        <f>J268+Table3[[#This Row],[Calls Ans]]</f>
        <v>13703</v>
      </c>
      <c r="K269" s="269">
        <f>K268+Table3[[#This Row],[Calls Off]]</f>
        <v>123632</v>
      </c>
      <c r="L269" s="269">
        <f>L268+Table3[[#This Row],[Calls Ans]]</f>
        <v>97335</v>
      </c>
      <c r="M269" s="127">
        <v>0.21</v>
      </c>
      <c r="N269" s="127">
        <v>0.28000000000000003</v>
      </c>
      <c r="O269" s="127">
        <v>0.72</v>
      </c>
      <c r="P269" s="127">
        <v>0.56999999999999995</v>
      </c>
      <c r="Q269" s="283">
        <v>0.97</v>
      </c>
      <c r="R269" s="284">
        <v>0</v>
      </c>
      <c r="S269" s="284">
        <v>0</v>
      </c>
      <c r="T269" s="286">
        <v>9</v>
      </c>
      <c r="U269" s="127" t="str">
        <f t="shared" si="20"/>
        <v>Normal</v>
      </c>
      <c r="V269" s="127" t="str">
        <f t="shared" si="21"/>
        <v>Outlier</v>
      </c>
      <c r="W269" s="87">
        <f t="shared" si="22"/>
        <v>0.24590163934426229</v>
      </c>
      <c r="X269" s="87">
        <f t="shared" si="23"/>
        <v>0.35517970401691334</v>
      </c>
      <c r="Y269" s="273"/>
      <c r="Z269" s="273"/>
      <c r="AA269" s="273"/>
      <c r="AB269" s="273"/>
      <c r="AC269" s="273"/>
      <c r="AD269" s="273"/>
      <c r="AE269" s="273"/>
      <c r="AF269" s="273"/>
      <c r="AG269" s="273"/>
      <c r="AH269" s="273"/>
      <c r="AI269" s="273"/>
      <c r="AJ269" s="273"/>
      <c r="AK269" s="273"/>
    </row>
    <row r="270" spans="1:39">
      <c r="A270" s="287">
        <v>44920</v>
      </c>
      <c r="B270" s="315">
        <f>IF(YEAR(Table9[[#This Row],[Date]]) = 2022, WEEKNUM(Table9[[#This Row],[Date]])-13, WEEKNUM(Table9[[#This Row],[Date]])+40)</f>
        <v>40</v>
      </c>
      <c r="C270" s="255" t="s">
        <v>47</v>
      </c>
      <c r="D270" s="65" t="s">
        <v>59</v>
      </c>
      <c r="E270" s="269">
        <v>0</v>
      </c>
      <c r="F270" s="269">
        <v>0</v>
      </c>
      <c r="G270" s="282">
        <v>0</v>
      </c>
      <c r="H270" s="282">
        <v>0</v>
      </c>
      <c r="I270" s="269">
        <v>0</v>
      </c>
      <c r="J270" s="269">
        <v>0</v>
      </c>
      <c r="K270" s="269">
        <v>0</v>
      </c>
      <c r="L270" s="269">
        <v>0</v>
      </c>
      <c r="M270" s="127">
        <v>0</v>
      </c>
      <c r="N270" s="127">
        <v>0</v>
      </c>
      <c r="O270" s="127">
        <v>0</v>
      </c>
      <c r="P270" s="127">
        <v>0</v>
      </c>
      <c r="Q270" s="283">
        <v>0</v>
      </c>
      <c r="R270" s="284">
        <v>0</v>
      </c>
      <c r="S270" s="284">
        <v>0</v>
      </c>
      <c r="T270" s="286">
        <v>0</v>
      </c>
      <c r="U270" s="127" t="str">
        <f t="shared" si="20"/>
        <v>Normal</v>
      </c>
      <c r="V270" s="127" t="str">
        <f t="shared" si="21"/>
        <v>Normal</v>
      </c>
      <c r="W270" s="87">
        <f t="shared" si="22"/>
        <v>0</v>
      </c>
      <c r="X270" s="87">
        <f t="shared" si="23"/>
        <v>0</v>
      </c>
      <c r="Y270" s="273"/>
      <c r="Z270" s="273"/>
      <c r="AA270" s="273"/>
      <c r="AB270" s="273"/>
      <c r="AC270" s="273"/>
      <c r="AD270" s="273"/>
      <c r="AE270" s="273"/>
      <c r="AF270" s="273"/>
      <c r="AG270" s="273"/>
      <c r="AH270" s="273"/>
      <c r="AI270" s="273"/>
      <c r="AJ270" s="273"/>
      <c r="AK270" s="273"/>
    </row>
    <row r="271" spans="1:39">
      <c r="A271" s="287">
        <v>44921</v>
      </c>
      <c r="B271" s="315">
        <f>IF(YEAR(Table9[[#This Row],[Date]]) = 2022, WEEKNUM(Table9[[#This Row],[Date]])-13, WEEKNUM(Table9[[#This Row],[Date]])+40)</f>
        <v>40</v>
      </c>
      <c r="C271" s="255" t="s">
        <v>48</v>
      </c>
      <c r="D271" s="65" t="s">
        <v>59</v>
      </c>
      <c r="E271" s="269">
        <v>0</v>
      </c>
      <c r="F271" s="269">
        <v>0</v>
      </c>
      <c r="G271" s="282">
        <v>0</v>
      </c>
      <c r="H271" s="282">
        <v>0</v>
      </c>
      <c r="I271" s="269">
        <v>0</v>
      </c>
      <c r="J271" s="269">
        <v>0</v>
      </c>
      <c r="K271" s="269">
        <v>0</v>
      </c>
      <c r="L271" s="269">
        <v>0</v>
      </c>
      <c r="M271" s="127">
        <v>0</v>
      </c>
      <c r="N271" s="127">
        <v>0</v>
      </c>
      <c r="O271" s="127">
        <v>0</v>
      </c>
      <c r="P271" s="127">
        <v>0</v>
      </c>
      <c r="Q271" s="283">
        <v>0</v>
      </c>
      <c r="R271" s="284">
        <v>0</v>
      </c>
      <c r="S271" s="284">
        <v>0</v>
      </c>
      <c r="T271" s="286">
        <v>0</v>
      </c>
      <c r="U271" s="127" t="str">
        <f t="shared" si="20"/>
        <v>Normal</v>
      </c>
      <c r="V271" s="127" t="str">
        <f t="shared" si="21"/>
        <v>Normal</v>
      </c>
      <c r="W271" s="87">
        <f t="shared" si="22"/>
        <v>0</v>
      </c>
      <c r="X271" s="87">
        <f t="shared" si="23"/>
        <v>0</v>
      </c>
      <c r="Y271" s="273"/>
      <c r="Z271" s="273"/>
      <c r="AA271" s="273"/>
      <c r="AB271" s="273"/>
      <c r="AC271" s="273"/>
      <c r="AD271" s="273"/>
      <c r="AE271" s="273"/>
      <c r="AF271" s="273"/>
      <c r="AG271" s="273"/>
      <c r="AH271" s="273"/>
      <c r="AI271" s="273"/>
      <c r="AJ271" s="273"/>
      <c r="AK271" s="273"/>
    </row>
    <row r="272" spans="1:39">
      <c r="A272" s="287">
        <v>44922</v>
      </c>
      <c r="B272" s="315">
        <f>IF(YEAR(Table9[[#This Row],[Date]]) = 2022, WEEKNUM(Table9[[#This Row],[Date]])-13, WEEKNUM(Table9[[#This Row],[Date]])+40)</f>
        <v>40</v>
      </c>
      <c r="C272" s="255" t="s">
        <v>49</v>
      </c>
      <c r="D272" s="65" t="s">
        <v>59</v>
      </c>
      <c r="E272" s="269">
        <v>0</v>
      </c>
      <c r="F272" s="269">
        <v>0</v>
      </c>
      <c r="G272" s="282">
        <v>0</v>
      </c>
      <c r="H272" s="282">
        <v>0</v>
      </c>
      <c r="I272" s="269">
        <v>0</v>
      </c>
      <c r="J272" s="269">
        <v>0</v>
      </c>
      <c r="K272" s="269">
        <v>0</v>
      </c>
      <c r="L272" s="269">
        <v>0</v>
      </c>
      <c r="M272" s="127">
        <v>0</v>
      </c>
      <c r="N272" s="127">
        <v>0</v>
      </c>
      <c r="O272" s="127">
        <v>0</v>
      </c>
      <c r="P272" s="127">
        <v>0</v>
      </c>
      <c r="Q272" s="283">
        <v>0</v>
      </c>
      <c r="R272" s="284">
        <v>0</v>
      </c>
      <c r="S272" s="284">
        <v>0</v>
      </c>
      <c r="T272" s="286">
        <v>0</v>
      </c>
      <c r="U272" s="127" t="str">
        <f t="shared" si="20"/>
        <v>Normal</v>
      </c>
      <c r="V272" s="127" t="str">
        <f t="shared" si="21"/>
        <v>Normal</v>
      </c>
      <c r="W272" s="87">
        <f t="shared" si="22"/>
        <v>0</v>
      </c>
      <c r="X272" s="87">
        <f t="shared" si="23"/>
        <v>0</v>
      </c>
      <c r="Y272" s="273"/>
      <c r="Z272" s="273"/>
      <c r="AA272" s="273"/>
      <c r="AB272" s="273"/>
      <c r="AC272" s="273"/>
      <c r="AD272" s="273"/>
      <c r="AE272" s="273"/>
      <c r="AF272" s="273"/>
      <c r="AG272" s="273"/>
      <c r="AH272" s="273"/>
      <c r="AI272" s="273"/>
      <c r="AJ272" s="273"/>
      <c r="AK272" s="273"/>
    </row>
    <row r="273" spans="1:41">
      <c r="A273" s="287">
        <v>44923</v>
      </c>
      <c r="B273" s="315">
        <f>IF(YEAR(Table9[[#This Row],[Date]]) = 2022, WEEKNUM(Table9[[#This Row],[Date]])-13, WEEKNUM(Table9[[#This Row],[Date]])+40)</f>
        <v>40</v>
      </c>
      <c r="C273" s="255" t="s">
        <v>50</v>
      </c>
      <c r="D273" s="65" t="s">
        <v>59</v>
      </c>
      <c r="E273" s="269">
        <v>1036</v>
      </c>
      <c r="F273" s="269">
        <v>745</v>
      </c>
      <c r="G273" s="282">
        <f>IFERROR((Table3[[#This Row],[Calls Off]]-E266)/E266,0)</f>
        <v>-0.26628895184135976</v>
      </c>
      <c r="H273" s="282">
        <f>IFERROR((Table3[[#This Row],[Calls Ans]]-F266)/F266,0)</f>
        <v>-4.9744897959183673E-2</v>
      </c>
      <c r="I273" s="269">
        <f>I269+Table3[[#This Row],[Calls Off]]</f>
        <v>20069</v>
      </c>
      <c r="J273" s="269">
        <f>J269+Table3[[#This Row],[Calls Ans]]</f>
        <v>14448</v>
      </c>
      <c r="K273" s="269">
        <f>K269+Table3[[#This Row],[Calls Off]]</f>
        <v>124668</v>
      </c>
      <c r="L273" s="269">
        <f>L269+Table3[[#This Row],[Calls Ans]]</f>
        <v>98080</v>
      </c>
      <c r="M273" s="127">
        <v>0.21</v>
      </c>
      <c r="N273" s="127">
        <v>0.28000000000000003</v>
      </c>
      <c r="O273" s="127">
        <v>0.72</v>
      </c>
      <c r="P273" s="127">
        <v>0.56999999999999995</v>
      </c>
      <c r="Q273" s="283">
        <v>0.97</v>
      </c>
      <c r="R273" s="284">
        <v>0</v>
      </c>
      <c r="S273" s="284">
        <v>0</v>
      </c>
      <c r="T273" s="286">
        <v>9</v>
      </c>
      <c r="U273" s="127" t="str">
        <f t="shared" si="20"/>
        <v>Normal</v>
      </c>
      <c r="V273" s="127" t="str">
        <f t="shared" si="21"/>
        <v>Normal</v>
      </c>
      <c r="W273" s="87">
        <f t="shared" si="22"/>
        <v>-0.26628895184135976</v>
      </c>
      <c r="X273" s="87">
        <f t="shared" si="23"/>
        <v>-4.9744897959183673E-2</v>
      </c>
      <c r="Y273" s="273"/>
      <c r="Z273" s="273"/>
      <c r="AA273" s="273"/>
      <c r="AB273" s="273"/>
      <c r="AC273" s="273"/>
      <c r="AD273" s="273"/>
      <c r="AE273" s="273"/>
      <c r="AF273" s="273"/>
      <c r="AG273" s="273"/>
      <c r="AH273" s="273"/>
      <c r="AI273" s="273"/>
      <c r="AJ273" s="273"/>
      <c r="AK273" s="273"/>
    </row>
    <row r="274" spans="1:41">
      <c r="A274" s="287">
        <v>44924</v>
      </c>
      <c r="B274" s="315">
        <f>IF(YEAR(Table9[[#This Row],[Date]]) = 2022, WEEKNUM(Table9[[#This Row],[Date]])-13, WEEKNUM(Table9[[#This Row],[Date]])+40)</f>
        <v>40</v>
      </c>
      <c r="C274" s="255" t="s">
        <v>51</v>
      </c>
      <c r="D274" s="65" t="s">
        <v>59</v>
      </c>
      <c r="E274" s="269">
        <v>753</v>
      </c>
      <c r="F274" s="269">
        <v>643</v>
      </c>
      <c r="G274" s="282">
        <f>IFERROR((Table3[[#This Row],[Calls Off]]-E267)/E267,0)</f>
        <v>-0.35253654342218399</v>
      </c>
      <c r="H274" s="282">
        <f>IFERROR((Table3[[#This Row],[Calls Ans]]-F267)/F267,0)</f>
        <v>0.16064981949458484</v>
      </c>
      <c r="I274" s="269">
        <f>I273+Table3[[#This Row],[Calls Off]]</f>
        <v>20822</v>
      </c>
      <c r="J274" s="269">
        <f>J273+Table3[[#This Row],[Calls Ans]]</f>
        <v>15091</v>
      </c>
      <c r="K274" s="269">
        <f>K273+Table3[[#This Row],[Calls Off]]</f>
        <v>125421</v>
      </c>
      <c r="L274" s="269">
        <f>L273+Table3[[#This Row],[Calls Ans]]</f>
        <v>98723</v>
      </c>
      <c r="M274" s="127">
        <v>0.53</v>
      </c>
      <c r="N274" s="127">
        <v>0.15</v>
      </c>
      <c r="O274" s="127">
        <v>0.85</v>
      </c>
      <c r="P274" s="127">
        <v>0.44</v>
      </c>
      <c r="Q274" s="283">
        <v>0.94</v>
      </c>
      <c r="R274" s="284">
        <v>0</v>
      </c>
      <c r="S274" s="284">
        <v>0</v>
      </c>
      <c r="T274" s="286">
        <v>10</v>
      </c>
      <c r="U274" s="127" t="str">
        <f t="shared" si="20"/>
        <v>Normal</v>
      </c>
      <c r="V274" s="127" t="str">
        <f t="shared" si="21"/>
        <v>Normal</v>
      </c>
      <c r="W274" s="87">
        <f t="shared" si="22"/>
        <v>-0.35253654342218399</v>
      </c>
      <c r="X274" s="87">
        <f t="shared" si="23"/>
        <v>0.16064981949458484</v>
      </c>
      <c r="Y274" s="273"/>
      <c r="Z274" s="273"/>
      <c r="AA274" s="273"/>
      <c r="AB274" s="273"/>
      <c r="AC274" s="273"/>
      <c r="AD274" s="273"/>
      <c r="AE274" s="273"/>
      <c r="AF274" s="273"/>
      <c r="AG274" s="273"/>
      <c r="AH274" s="273"/>
      <c r="AI274" s="273"/>
      <c r="AJ274" s="273"/>
      <c r="AK274" s="273"/>
    </row>
    <row r="275" spans="1:41">
      <c r="A275" s="287">
        <v>44925</v>
      </c>
      <c r="B275" s="315">
        <f>IF(YEAR(Table9[[#This Row],[Date]]) = 2022, WEEKNUM(Table9[[#This Row],[Date]])-13, WEEKNUM(Table9[[#This Row],[Date]])+40)</f>
        <v>40</v>
      </c>
      <c r="C275" s="255" t="s">
        <v>52</v>
      </c>
      <c r="D275" s="65" t="s">
        <v>59</v>
      </c>
      <c r="E275" s="269">
        <v>733</v>
      </c>
      <c r="F275" s="269">
        <v>673</v>
      </c>
      <c r="G275" s="282">
        <f>IFERROR((Table3[[#This Row],[Calls Off]]-E268)/E268,0)</f>
        <v>-0.35758106923751093</v>
      </c>
      <c r="H275" s="282">
        <f>IFERROR((Table3[[#This Row],[Calls Ans]]-F268)/F268,0)</f>
        <v>0.1254180602006689</v>
      </c>
      <c r="I275" s="269">
        <f>I274+Table3[[#This Row],[Calls Off]]</f>
        <v>21555</v>
      </c>
      <c r="J275" s="269">
        <f>J274+Table3[[#This Row],[Calls Ans]]</f>
        <v>15764</v>
      </c>
      <c r="K275" s="269">
        <f>K274+Table3[[#This Row],[Calls Off]]</f>
        <v>126154</v>
      </c>
      <c r="L275" s="269">
        <f>L274+Table3[[#This Row],[Calls Ans]]</f>
        <v>99396</v>
      </c>
      <c r="M275" s="127">
        <v>0.7</v>
      </c>
      <c r="N275" s="127">
        <v>0.08</v>
      </c>
      <c r="O275" s="127">
        <v>0.92</v>
      </c>
      <c r="P275" s="127">
        <v>0.52</v>
      </c>
      <c r="Q275" s="283">
        <v>0.96</v>
      </c>
      <c r="R275" s="284">
        <v>0</v>
      </c>
      <c r="S275" s="284">
        <v>0</v>
      </c>
      <c r="T275" s="286">
        <v>9</v>
      </c>
      <c r="U275" s="127" t="str">
        <f t="shared" si="20"/>
        <v>Normal</v>
      </c>
      <c r="V275" s="127" t="str">
        <f t="shared" si="21"/>
        <v>Normal</v>
      </c>
      <c r="W275" s="87">
        <f t="shared" si="22"/>
        <v>-0.35758106923751093</v>
      </c>
      <c r="X275" s="87">
        <f t="shared" si="23"/>
        <v>0.1254180602006689</v>
      </c>
      <c r="Y275" s="273"/>
      <c r="Z275" s="273"/>
      <c r="AA275" s="273"/>
      <c r="AB275" s="273"/>
      <c r="AC275" s="273"/>
      <c r="AD275" s="273"/>
      <c r="AE275" s="273"/>
      <c r="AF275" s="273"/>
      <c r="AG275" s="273"/>
      <c r="AH275" s="273"/>
      <c r="AI275" s="273"/>
      <c r="AJ275" s="273"/>
      <c r="AK275" s="273"/>
    </row>
    <row r="276" spans="1:41">
      <c r="A276" s="287">
        <v>44926</v>
      </c>
      <c r="B276" s="315">
        <f>IF(YEAR(Table9[[#This Row],[Date]]) = 2022, WEEKNUM(Table9[[#This Row],[Date]])-13, WEEKNUM(Table9[[#This Row],[Date]])+40)</f>
        <v>40</v>
      </c>
      <c r="C276" s="255" t="s">
        <v>53</v>
      </c>
      <c r="D276" s="65" t="s">
        <v>59</v>
      </c>
      <c r="E276" s="269">
        <v>367</v>
      </c>
      <c r="F276" s="269">
        <v>351</v>
      </c>
      <c r="G276" s="282">
        <f>IFERROR((Table3[[#This Row],[Calls Off]]-E269)/E269,0)</f>
        <v>-0.56100478468899517</v>
      </c>
      <c r="H276" s="282">
        <f>IFERROR((Table3[[#This Row],[Calls Ans]]-F269)/F269,0)</f>
        <v>-0.45241809672386896</v>
      </c>
      <c r="I276" s="269">
        <f>I275+Table3[[#This Row],[Calls Off]]</f>
        <v>21922</v>
      </c>
      <c r="J276" s="269">
        <f>J275+Table3[[#This Row],[Calls Ans]]</f>
        <v>16115</v>
      </c>
      <c r="K276" s="269">
        <f>K275+Table3[[#This Row],[Calls Off]]</f>
        <v>126521</v>
      </c>
      <c r="L276" s="269">
        <f>L275+Table3[[#This Row],[Calls Ans]]</f>
        <v>99747</v>
      </c>
      <c r="M276" s="127">
        <v>0.91</v>
      </c>
      <c r="N276" s="127">
        <v>0.04</v>
      </c>
      <c r="O276" s="127">
        <v>0.96</v>
      </c>
      <c r="P276" s="127">
        <v>0.27</v>
      </c>
      <c r="Q276" s="283">
        <v>0.96</v>
      </c>
      <c r="R276" s="284">
        <v>0</v>
      </c>
      <c r="S276" s="284">
        <v>0</v>
      </c>
      <c r="T276" s="286">
        <v>9</v>
      </c>
      <c r="U276" s="127" t="str">
        <f t="shared" si="20"/>
        <v>Outlier</v>
      </c>
      <c r="V276" s="127" t="str">
        <f t="shared" si="21"/>
        <v>Outlier</v>
      </c>
      <c r="W276" s="87">
        <f t="shared" si="22"/>
        <v>-0.56100478468899517</v>
      </c>
      <c r="X276" s="87">
        <f t="shared" si="23"/>
        <v>-0.45241809672386896</v>
      </c>
      <c r="Y276" s="273"/>
      <c r="Z276" s="273"/>
      <c r="AA276" s="273"/>
      <c r="AB276" s="273"/>
      <c r="AC276" s="273"/>
      <c r="AD276" s="273"/>
      <c r="AE276" s="273"/>
      <c r="AF276" s="273"/>
      <c r="AG276" s="273"/>
      <c r="AH276" s="273"/>
      <c r="AI276" s="273"/>
      <c r="AJ276" s="273"/>
      <c r="AK276" s="273"/>
    </row>
    <row r="277" spans="1:41" s="49" customFormat="1">
      <c r="A277" s="287">
        <v>44927</v>
      </c>
      <c r="B277" s="315">
        <f>IF(YEAR(Table9[[#This Row],[Date]]) = 2022, WEEKNUM(Table9[[#This Row],[Date]])-13, WEEKNUM(Table9[[#This Row],[Date]])+40)</f>
        <v>41</v>
      </c>
      <c r="C277" s="255" t="s">
        <v>47</v>
      </c>
      <c r="D277" s="65" t="s">
        <v>59</v>
      </c>
      <c r="E277" s="269">
        <v>0</v>
      </c>
      <c r="F277" s="269">
        <v>0</v>
      </c>
      <c r="G277" s="282">
        <v>0</v>
      </c>
      <c r="H277" s="282">
        <v>0</v>
      </c>
      <c r="I277" s="269">
        <v>0</v>
      </c>
      <c r="J277" s="269">
        <v>0</v>
      </c>
      <c r="K277" s="269">
        <v>0</v>
      </c>
      <c r="L277" s="269">
        <v>0</v>
      </c>
      <c r="M277" s="127">
        <v>0</v>
      </c>
      <c r="N277" s="127">
        <v>0</v>
      </c>
      <c r="O277" s="127">
        <v>0</v>
      </c>
      <c r="P277" s="127">
        <v>0</v>
      </c>
      <c r="Q277" s="283">
        <v>0</v>
      </c>
      <c r="R277" s="284">
        <v>0</v>
      </c>
      <c r="S277" s="284">
        <v>0</v>
      </c>
      <c r="T277" s="286">
        <v>0</v>
      </c>
      <c r="U277" s="127" t="str">
        <f t="shared" si="20"/>
        <v>Normal</v>
      </c>
      <c r="V277" s="127" t="str">
        <f t="shared" si="21"/>
        <v>Normal</v>
      </c>
      <c r="W277" s="87">
        <f t="shared" si="22"/>
        <v>0</v>
      </c>
      <c r="X277" s="87">
        <f t="shared" si="23"/>
        <v>0</v>
      </c>
      <c r="Y277" s="279"/>
      <c r="Z277" s="279"/>
      <c r="AA277" s="279"/>
      <c r="AB277" s="279"/>
      <c r="AC277" s="279"/>
      <c r="AD277" s="279"/>
      <c r="AE277" s="279"/>
      <c r="AF277" s="279"/>
      <c r="AG277" s="279"/>
      <c r="AH277" s="279"/>
      <c r="AI277" s="279"/>
      <c r="AJ277" s="279"/>
      <c r="AK277" s="279"/>
      <c r="AM277"/>
      <c r="AN277"/>
      <c r="AO277"/>
    </row>
    <row r="278" spans="1:41">
      <c r="A278" s="287">
        <v>44928</v>
      </c>
      <c r="B278" s="315">
        <f>IF(YEAR(Table9[[#This Row],[Date]]) = 2022, WEEKNUM(Table9[[#This Row],[Date]])-13, WEEKNUM(Table9[[#This Row],[Date]])+40)</f>
        <v>41</v>
      </c>
      <c r="C278" s="255" t="s">
        <v>48</v>
      </c>
      <c r="D278" s="65" t="s">
        <v>59</v>
      </c>
      <c r="E278" s="269">
        <v>0</v>
      </c>
      <c r="F278" s="269">
        <v>0</v>
      </c>
      <c r="G278" s="282">
        <v>0</v>
      </c>
      <c r="H278" s="282">
        <v>0</v>
      </c>
      <c r="I278" s="269">
        <v>0</v>
      </c>
      <c r="J278" s="269">
        <v>0</v>
      </c>
      <c r="K278" s="269">
        <v>0</v>
      </c>
      <c r="L278" s="269">
        <v>0</v>
      </c>
      <c r="M278" s="127">
        <v>0</v>
      </c>
      <c r="N278" s="127">
        <v>0</v>
      </c>
      <c r="O278" s="127">
        <v>0</v>
      </c>
      <c r="P278" s="127">
        <v>0</v>
      </c>
      <c r="Q278" s="283">
        <v>0</v>
      </c>
      <c r="R278" s="284">
        <v>0</v>
      </c>
      <c r="S278" s="284">
        <v>0</v>
      </c>
      <c r="T278" s="286">
        <v>0</v>
      </c>
      <c r="U278" s="127" t="str">
        <f t="shared" si="20"/>
        <v>Normal</v>
      </c>
      <c r="V278" s="127" t="str">
        <f t="shared" si="21"/>
        <v>Normal</v>
      </c>
      <c r="W278" s="87">
        <f t="shared" si="22"/>
        <v>0</v>
      </c>
      <c r="X278" s="87">
        <f t="shared" si="23"/>
        <v>0</v>
      </c>
      <c r="Y278" s="273"/>
      <c r="Z278" s="273"/>
      <c r="AA278" s="273"/>
      <c r="AB278" s="273"/>
      <c r="AC278" s="273"/>
      <c r="AD278" s="273"/>
      <c r="AE278" s="273"/>
      <c r="AF278" s="273"/>
      <c r="AG278" s="273"/>
      <c r="AH278" s="273"/>
      <c r="AI278" s="273"/>
      <c r="AJ278" s="273"/>
      <c r="AK278" s="273"/>
    </row>
    <row r="279" spans="1:41">
      <c r="A279" s="287">
        <v>44929</v>
      </c>
      <c r="B279" s="315">
        <f>IF(YEAR(Table9[[#This Row],[Date]]) = 2022, WEEKNUM(Table9[[#This Row],[Date]])-13, WEEKNUM(Table9[[#This Row],[Date]])+40)</f>
        <v>41</v>
      </c>
      <c r="C279" s="255" t="s">
        <v>49</v>
      </c>
      <c r="D279" s="65" t="s">
        <v>59</v>
      </c>
      <c r="E279" s="269">
        <v>719</v>
      </c>
      <c r="F279" s="269">
        <v>452</v>
      </c>
      <c r="G279" s="282">
        <f>IFERROR((Table3[[#This Row],[Calls Off]]-E272)/E272,0)</f>
        <v>0</v>
      </c>
      <c r="H279" s="282">
        <f>IFERROR((Table3[[#This Row],[Calls Ans]]-F272)/F272,0)</f>
        <v>0</v>
      </c>
      <c r="I279" s="269">
        <f>Table3[[#This Row],[Calls Off]]</f>
        <v>719</v>
      </c>
      <c r="J279" s="269">
        <f>Table3[[#This Row],[Calls Ans]]</f>
        <v>452</v>
      </c>
      <c r="K279" s="269">
        <f>K276+Table3[[#This Row],[Calls Off]]</f>
        <v>127240</v>
      </c>
      <c r="L279" s="269">
        <f>L276+Table3[[#This Row],[Calls Ans]]</f>
        <v>100199</v>
      </c>
      <c r="M279" s="127">
        <v>0.22</v>
      </c>
      <c r="N279" s="127">
        <v>0.37</v>
      </c>
      <c r="O279" s="127">
        <v>0.63</v>
      </c>
      <c r="P279" s="127">
        <v>0.62</v>
      </c>
      <c r="Q279" s="283">
        <v>0.98</v>
      </c>
      <c r="R279" s="284">
        <v>0</v>
      </c>
      <c r="S279" s="284">
        <v>0</v>
      </c>
      <c r="T279" s="286">
        <v>5</v>
      </c>
      <c r="U279" s="127" t="str">
        <f t="shared" si="20"/>
        <v>Normal</v>
      </c>
      <c r="V279" s="127" t="str">
        <f t="shared" si="21"/>
        <v>Normal</v>
      </c>
      <c r="W279" s="87">
        <f t="shared" si="22"/>
        <v>0</v>
      </c>
      <c r="X279" s="87">
        <f t="shared" si="23"/>
        <v>0</v>
      </c>
      <c r="Y279" s="273"/>
      <c r="Z279" s="273"/>
      <c r="AA279" s="273"/>
      <c r="AB279" s="273"/>
      <c r="AC279" s="273"/>
      <c r="AD279" s="273"/>
      <c r="AE279" s="273"/>
      <c r="AF279" s="273"/>
      <c r="AG279" s="273"/>
      <c r="AH279" s="273"/>
      <c r="AI279" s="273"/>
      <c r="AJ279" s="273"/>
      <c r="AK279" s="273"/>
    </row>
    <row r="280" spans="1:41">
      <c r="A280" s="287">
        <v>44930</v>
      </c>
      <c r="B280" s="315">
        <f>IF(YEAR(Table9[[#This Row],[Date]]) = 2022, WEEKNUM(Table9[[#This Row],[Date]])-13, WEEKNUM(Table9[[#This Row],[Date]])+40)</f>
        <v>41</v>
      </c>
      <c r="C280" s="255" t="s">
        <v>50</v>
      </c>
      <c r="D280" s="65" t="s">
        <v>59</v>
      </c>
      <c r="E280" s="269">
        <v>574</v>
      </c>
      <c r="F280" s="269">
        <v>476</v>
      </c>
      <c r="G280" s="282">
        <f>IFERROR((Table3[[#This Row],[Calls Off]]-E273)/E273,0)</f>
        <v>-0.44594594594594594</v>
      </c>
      <c r="H280" s="282">
        <f>IFERROR((Table3[[#This Row],[Calls Ans]]-F273)/F273,0)</f>
        <v>-0.36107382550335571</v>
      </c>
      <c r="I280" s="269">
        <f>Table3[[#This Row],[Calls Off]]+I279</f>
        <v>1293</v>
      </c>
      <c r="J280" s="269">
        <f>Table3[[#This Row],[Calls Ans]]+J279</f>
        <v>928</v>
      </c>
      <c r="K280" s="269">
        <f>K279+Table3[[#This Row],[Calls Off]]</f>
        <v>127814</v>
      </c>
      <c r="L280" s="269">
        <f>L279+Table3[[#This Row],[Calls Ans]]</f>
        <v>100675</v>
      </c>
      <c r="M280" s="127">
        <v>0.45</v>
      </c>
      <c r="N280" s="127">
        <v>0.17</v>
      </c>
      <c r="O280" s="127">
        <v>0.83</v>
      </c>
      <c r="P280" s="127">
        <v>0.55000000000000004</v>
      </c>
      <c r="Q280" s="283">
        <v>0.93</v>
      </c>
      <c r="R280" s="284">
        <v>0</v>
      </c>
      <c r="S280" s="284">
        <v>0</v>
      </c>
      <c r="T280" s="286">
        <v>6</v>
      </c>
      <c r="U280" s="127" t="str">
        <f t="shared" si="20"/>
        <v>Normal</v>
      </c>
      <c r="V280" s="127" t="str">
        <f t="shared" si="21"/>
        <v>Outlier</v>
      </c>
      <c r="W280" s="87">
        <f t="shared" si="22"/>
        <v>-0.44594594594594594</v>
      </c>
      <c r="X280" s="87">
        <f t="shared" si="23"/>
        <v>-0.36107382550335571</v>
      </c>
      <c r="Y280" s="273"/>
      <c r="Z280" s="273"/>
      <c r="AA280" s="273"/>
      <c r="AB280" s="273"/>
      <c r="AC280" s="273"/>
      <c r="AD280" s="273"/>
      <c r="AE280" s="273"/>
      <c r="AF280" s="273"/>
      <c r="AG280" s="273"/>
      <c r="AH280" s="273"/>
      <c r="AI280" s="273"/>
      <c r="AJ280" s="273"/>
      <c r="AK280" s="273"/>
    </row>
    <row r="281" spans="1:41">
      <c r="A281" s="287">
        <v>44931</v>
      </c>
      <c r="B281" s="315">
        <f>IF(YEAR(Table9[[#This Row],[Date]]) = 2022, WEEKNUM(Table9[[#This Row],[Date]])-13, WEEKNUM(Table9[[#This Row],[Date]])+40)</f>
        <v>41</v>
      </c>
      <c r="C281" s="255" t="s">
        <v>51</v>
      </c>
      <c r="D281" s="65" t="s">
        <v>59</v>
      </c>
      <c r="E281" s="269">
        <v>479</v>
      </c>
      <c r="F281" s="269">
        <v>402</v>
      </c>
      <c r="G281" s="282">
        <f>IFERROR((Table3[[#This Row],[Calls Off]]-E274)/E274,0)</f>
        <v>-0.36387782204515273</v>
      </c>
      <c r="H281" s="282">
        <f>IFERROR((Table3[[#This Row],[Calls Ans]]-F274)/F274,0)</f>
        <v>-0.37480559875583203</v>
      </c>
      <c r="I281" s="269">
        <f>Table3[[#This Row],[Calls Off]]+I280</f>
        <v>1772</v>
      </c>
      <c r="J281" s="269">
        <f>Table3[[#This Row],[Calls Ans]]+J280</f>
        <v>1330</v>
      </c>
      <c r="K281" s="269">
        <f>K280+Table3[[#This Row],[Calls Off]]</f>
        <v>128293</v>
      </c>
      <c r="L281" s="269">
        <f>L280+Table3[[#This Row],[Calls Ans]]</f>
        <v>101077</v>
      </c>
      <c r="M281" s="127">
        <v>0.57999999999999996</v>
      </c>
      <c r="N281" s="127">
        <v>0.16</v>
      </c>
      <c r="O281" s="127">
        <v>0.84</v>
      </c>
      <c r="P281" s="127">
        <v>0.46</v>
      </c>
      <c r="Q281" s="283">
        <v>0.95</v>
      </c>
      <c r="R281" s="284">
        <v>0</v>
      </c>
      <c r="S281" s="284">
        <v>0</v>
      </c>
      <c r="T281" s="286">
        <v>6</v>
      </c>
      <c r="U281" s="127" t="str">
        <f t="shared" si="20"/>
        <v>Normal</v>
      </c>
      <c r="V281" s="127" t="str">
        <f t="shared" si="21"/>
        <v>Outlier</v>
      </c>
      <c r="W281" s="87">
        <f t="shared" si="22"/>
        <v>-0.36387782204515273</v>
      </c>
      <c r="X281" s="87">
        <f t="shared" si="23"/>
        <v>-0.37480559875583203</v>
      </c>
      <c r="Y281" s="273"/>
      <c r="Z281" s="273"/>
      <c r="AA281" s="273"/>
      <c r="AB281" s="273"/>
      <c r="AC281" s="273"/>
      <c r="AD281" s="273"/>
      <c r="AE281" s="273"/>
      <c r="AF281" s="273"/>
      <c r="AG281" s="273"/>
      <c r="AH281" s="273"/>
      <c r="AI281" s="273"/>
      <c r="AJ281" s="273"/>
      <c r="AK281" s="273"/>
    </row>
    <row r="282" spans="1:41">
      <c r="A282" s="287">
        <v>44932</v>
      </c>
      <c r="B282" s="315">
        <f>IF(YEAR(Table9[[#This Row],[Date]]) = 2022, WEEKNUM(Table9[[#This Row],[Date]])-13, WEEKNUM(Table9[[#This Row],[Date]])+40)</f>
        <v>41</v>
      </c>
      <c r="C282" s="255" t="s">
        <v>52</v>
      </c>
      <c r="D282" s="65" t="s">
        <v>59</v>
      </c>
      <c r="E282" s="269">
        <v>430</v>
      </c>
      <c r="F282" s="269">
        <v>388</v>
      </c>
      <c r="G282" s="282">
        <f>IFERROR((Table3[[#This Row],[Calls Off]]-E275)/E275,0)</f>
        <v>-0.41336971350613916</v>
      </c>
      <c r="H282" s="282">
        <f>IFERROR((Table3[[#This Row],[Calls Ans]]-F275)/F275,0)</f>
        <v>-0.42347696879643387</v>
      </c>
      <c r="I282" s="269">
        <f>Table3[[#This Row],[Calls Off]]+I281</f>
        <v>2202</v>
      </c>
      <c r="J282" s="269">
        <f>Table3[[#This Row],[Calls Ans]]+J281</f>
        <v>1718</v>
      </c>
      <c r="K282" s="269">
        <f>K281+Table3[[#This Row],[Calls Off]]</f>
        <v>128723</v>
      </c>
      <c r="L282" s="269">
        <f>L281+Table3[[#This Row],[Calls Ans]]</f>
        <v>101465</v>
      </c>
      <c r="M282" s="127">
        <v>0.69</v>
      </c>
      <c r="N282" s="127">
        <v>0.1</v>
      </c>
      <c r="O282" s="127">
        <v>0.9</v>
      </c>
      <c r="P282" s="127">
        <v>0.45</v>
      </c>
      <c r="Q282" s="283">
        <v>0.96</v>
      </c>
      <c r="R282" s="284">
        <v>0</v>
      </c>
      <c r="S282" s="284">
        <v>0</v>
      </c>
      <c r="T282" s="286">
        <v>6</v>
      </c>
      <c r="U282" s="127" t="str">
        <f t="shared" si="20"/>
        <v>Normal</v>
      </c>
      <c r="V282" s="127" t="str">
        <f t="shared" si="21"/>
        <v>Outlier</v>
      </c>
      <c r="W282" s="87">
        <f t="shared" si="22"/>
        <v>-0.41336971350613916</v>
      </c>
      <c r="X282" s="87">
        <f t="shared" si="23"/>
        <v>-0.42347696879643387</v>
      </c>
      <c r="Y282" s="273"/>
      <c r="Z282" s="273"/>
      <c r="AA282" s="273"/>
      <c r="AB282" s="273"/>
      <c r="AC282" s="273"/>
      <c r="AD282" s="273"/>
      <c r="AE282" s="273"/>
      <c r="AF282" s="273"/>
      <c r="AG282" s="273"/>
      <c r="AH282" s="273"/>
      <c r="AI282" s="273"/>
      <c r="AJ282" s="273"/>
      <c r="AK282" s="273"/>
    </row>
    <row r="283" spans="1:41">
      <c r="A283" s="287">
        <v>44933</v>
      </c>
      <c r="B283" s="315">
        <f>IF(YEAR(Table9[[#This Row],[Date]]) = 2022, WEEKNUM(Table9[[#This Row],[Date]])-13, WEEKNUM(Table9[[#This Row],[Date]])+40)</f>
        <v>41</v>
      </c>
      <c r="C283" s="255" t="s">
        <v>53</v>
      </c>
      <c r="D283" s="65" t="s">
        <v>59</v>
      </c>
      <c r="E283" s="269">
        <v>278</v>
      </c>
      <c r="F283" s="269">
        <v>255</v>
      </c>
      <c r="G283" s="282">
        <f>IFERROR((Table3[[#This Row],[Calls Off]]-E276)/E276,0)</f>
        <v>-0.24250681198910082</v>
      </c>
      <c r="H283" s="282">
        <f>IFERROR((Table3[[#This Row],[Calls Ans]]-F276)/F276,0)</f>
        <v>-0.27350427350427353</v>
      </c>
      <c r="I283" s="269">
        <f>Table3[[#This Row],[Calls Off]]+I282</f>
        <v>2480</v>
      </c>
      <c r="J283" s="269">
        <f>Table3[[#This Row],[Calls Ans]]+J282</f>
        <v>1973</v>
      </c>
      <c r="K283" s="269">
        <f>K282+Table3[[#This Row],[Calls Off]]</f>
        <v>129001</v>
      </c>
      <c r="L283" s="269">
        <f>L282+Table3[[#This Row],[Calls Ans]]</f>
        <v>101720</v>
      </c>
      <c r="M283" s="127">
        <v>0.76</v>
      </c>
      <c r="N283" s="127">
        <v>0.08</v>
      </c>
      <c r="O283" s="127">
        <v>0.92</v>
      </c>
      <c r="P283" s="127">
        <v>0.44</v>
      </c>
      <c r="Q283" s="283">
        <v>0.95</v>
      </c>
      <c r="R283" s="284">
        <v>0</v>
      </c>
      <c r="S283" s="284">
        <v>0</v>
      </c>
      <c r="T283" s="286">
        <v>4</v>
      </c>
      <c r="U283" s="127" t="str">
        <f t="shared" si="20"/>
        <v>Normal</v>
      </c>
      <c r="V283" s="127" t="str">
        <f t="shared" si="21"/>
        <v>Normal</v>
      </c>
      <c r="W283" s="87">
        <f t="shared" si="22"/>
        <v>-0.24250681198910082</v>
      </c>
      <c r="X283" s="87">
        <f t="shared" si="23"/>
        <v>-0.27350427350427353</v>
      </c>
      <c r="Y283" s="273"/>
      <c r="Z283" s="273"/>
      <c r="AA283" s="273"/>
      <c r="AB283" s="273"/>
      <c r="AC283" s="273"/>
      <c r="AD283" s="273"/>
      <c r="AE283" s="273"/>
      <c r="AF283" s="273"/>
      <c r="AG283" s="273"/>
      <c r="AH283" s="273"/>
      <c r="AI283" s="273"/>
      <c r="AJ283" s="273"/>
      <c r="AK283" s="273"/>
    </row>
    <row r="284" spans="1:41">
      <c r="A284" s="287">
        <v>44934</v>
      </c>
      <c r="B284" s="315">
        <f>IF(YEAR(Table9[[#This Row],[Date]]) = 2022, WEEKNUM(Table9[[#This Row],[Date]])-13, WEEKNUM(Table9[[#This Row],[Date]])+40)</f>
        <v>42</v>
      </c>
      <c r="C284" s="255" t="s">
        <v>47</v>
      </c>
      <c r="D284" s="65" t="s">
        <v>59</v>
      </c>
      <c r="E284" s="269">
        <v>0</v>
      </c>
      <c r="F284" s="269">
        <v>0</v>
      </c>
      <c r="G284" s="282">
        <v>0</v>
      </c>
      <c r="H284" s="282">
        <v>0</v>
      </c>
      <c r="I284" s="269">
        <v>0</v>
      </c>
      <c r="J284" s="269">
        <v>0</v>
      </c>
      <c r="K284" s="269">
        <v>0</v>
      </c>
      <c r="L284" s="269">
        <v>0</v>
      </c>
      <c r="M284" s="127">
        <v>0</v>
      </c>
      <c r="N284" s="127">
        <v>0</v>
      </c>
      <c r="O284" s="127">
        <v>0</v>
      </c>
      <c r="P284" s="127">
        <v>0</v>
      </c>
      <c r="Q284" s="283">
        <v>0</v>
      </c>
      <c r="R284" s="284">
        <v>0</v>
      </c>
      <c r="S284" s="284">
        <v>0</v>
      </c>
      <c r="T284" s="286">
        <v>0</v>
      </c>
      <c r="U284" s="127" t="str">
        <f t="shared" si="20"/>
        <v>Normal</v>
      </c>
      <c r="V284" s="127" t="str">
        <f t="shared" si="21"/>
        <v>Normal</v>
      </c>
      <c r="W284" s="87">
        <f t="shared" si="22"/>
        <v>0</v>
      </c>
      <c r="X284" s="87">
        <f t="shared" si="23"/>
        <v>0</v>
      </c>
      <c r="Y284" s="273"/>
      <c r="Z284" s="273"/>
      <c r="AA284" s="273"/>
      <c r="AB284" s="273"/>
      <c r="AC284" s="273"/>
      <c r="AD284" s="273"/>
      <c r="AE284" s="273"/>
      <c r="AF284" s="273"/>
      <c r="AG284" s="273"/>
      <c r="AH284" s="273"/>
      <c r="AI284" s="273"/>
      <c r="AJ284" s="273"/>
      <c r="AK284" s="273"/>
    </row>
    <row r="285" spans="1:41">
      <c r="A285" s="287">
        <v>44935</v>
      </c>
      <c r="B285" s="315">
        <f>IF(YEAR(Table9[[#This Row],[Date]]) = 2022, WEEKNUM(Table9[[#This Row],[Date]])-13, WEEKNUM(Table9[[#This Row],[Date]])+40)</f>
        <v>42</v>
      </c>
      <c r="C285" s="255" t="s">
        <v>48</v>
      </c>
      <c r="D285" s="65" t="s">
        <v>59</v>
      </c>
      <c r="E285" s="269">
        <v>546</v>
      </c>
      <c r="F285" s="269">
        <v>473</v>
      </c>
      <c r="G285" s="282">
        <v>0</v>
      </c>
      <c r="H285" s="282">
        <v>0</v>
      </c>
      <c r="I285" s="269">
        <v>3026</v>
      </c>
      <c r="J285" s="269">
        <v>2446</v>
      </c>
      <c r="K285" s="269">
        <v>129547</v>
      </c>
      <c r="L285" s="269">
        <v>102193</v>
      </c>
      <c r="M285" s="127">
        <v>0.68</v>
      </c>
      <c r="N285" s="127">
        <v>0.13</v>
      </c>
      <c r="O285" s="127">
        <v>0.87</v>
      </c>
      <c r="P285" s="127">
        <v>0.47</v>
      </c>
      <c r="Q285" s="283">
        <v>0.95</v>
      </c>
      <c r="R285" s="284">
        <v>0</v>
      </c>
      <c r="S285" s="284">
        <v>0</v>
      </c>
      <c r="T285" s="286">
        <v>7</v>
      </c>
      <c r="U285" s="127" t="str">
        <f t="shared" si="20"/>
        <v>Normal</v>
      </c>
      <c r="V285" s="127" t="str">
        <f t="shared" si="21"/>
        <v>Normal</v>
      </c>
      <c r="W285" s="87">
        <f t="shared" si="22"/>
        <v>0</v>
      </c>
      <c r="X285" s="87">
        <f t="shared" si="23"/>
        <v>0</v>
      </c>
      <c r="Y285" s="273"/>
      <c r="Z285" s="273"/>
      <c r="AA285" s="273"/>
      <c r="AB285" s="273"/>
      <c r="AC285" s="273"/>
      <c r="AD285" s="273"/>
      <c r="AE285" s="273"/>
      <c r="AF285" s="273"/>
      <c r="AG285" s="273"/>
      <c r="AH285" s="273"/>
      <c r="AI285" s="273"/>
      <c r="AJ285" s="273"/>
      <c r="AK285" s="273"/>
    </row>
    <row r="286" spans="1:41">
      <c r="A286" s="287">
        <v>44936</v>
      </c>
      <c r="B286" s="315">
        <f>IF(YEAR(Table9[[#This Row],[Date]]) = 2022, WEEKNUM(Table9[[#This Row],[Date]])-13, WEEKNUM(Table9[[#This Row],[Date]])+40)</f>
        <v>42</v>
      </c>
      <c r="C286" s="255" t="s">
        <v>49</v>
      </c>
      <c r="D286" s="65" t="s">
        <v>59</v>
      </c>
      <c r="E286" s="269">
        <v>442</v>
      </c>
      <c r="F286" s="269">
        <v>424</v>
      </c>
      <c r="G286" s="282">
        <f>IFERROR((Table3[[#This Row],[Calls Off]]-E279)/E279,0)</f>
        <v>-0.38525730180806678</v>
      </c>
      <c r="H286" s="282">
        <f>IFERROR((Table3[[#This Row],[Calls Ans]]-F279)/F279,0)</f>
        <v>-6.1946902654867256E-2</v>
      </c>
      <c r="I286" s="269">
        <f>Table3[[#This Row],[Calls Off]]+I285</f>
        <v>3468</v>
      </c>
      <c r="J286" s="269">
        <f>Table3[[#This Row],[Calls Ans]]+J285</f>
        <v>2870</v>
      </c>
      <c r="K286" s="269">
        <f>K285+Table3[[#This Row],[Calls Off]]</f>
        <v>129989</v>
      </c>
      <c r="L286" s="269">
        <f>L285+Table3[[#This Row],[Calls Ans]]</f>
        <v>102617</v>
      </c>
      <c r="M286" s="127">
        <v>0.86</v>
      </c>
      <c r="N286" s="127">
        <v>0.04</v>
      </c>
      <c r="O286" s="127">
        <v>0.96</v>
      </c>
      <c r="P286" s="127">
        <v>0.49</v>
      </c>
      <c r="Q286" s="283">
        <v>0.96</v>
      </c>
      <c r="R286" s="284">
        <v>0</v>
      </c>
      <c r="S286" s="284">
        <v>0</v>
      </c>
      <c r="T286" s="286">
        <v>6</v>
      </c>
      <c r="U286" s="127" t="str">
        <f t="shared" si="20"/>
        <v>Normal</v>
      </c>
      <c r="V286" s="127" t="str">
        <f t="shared" si="21"/>
        <v>Normal</v>
      </c>
      <c r="W286" s="87">
        <f t="shared" si="22"/>
        <v>-0.38525730180806678</v>
      </c>
      <c r="X286" s="87">
        <f t="shared" si="23"/>
        <v>-6.1946902654867256E-2</v>
      </c>
      <c r="Y286" s="273"/>
      <c r="Z286" s="273"/>
      <c r="AA286" s="273"/>
      <c r="AB286" s="273"/>
      <c r="AC286" s="273"/>
      <c r="AD286" s="273"/>
      <c r="AE286" s="273"/>
      <c r="AF286" s="273"/>
      <c r="AG286" s="273"/>
      <c r="AH286" s="273"/>
      <c r="AI286" s="273"/>
      <c r="AJ286" s="273"/>
      <c r="AK286" s="273"/>
    </row>
    <row r="287" spans="1:41">
      <c r="A287" s="287">
        <v>44937</v>
      </c>
      <c r="B287" s="315">
        <f>IF(YEAR(Table9[[#This Row],[Date]]) = 2022, WEEKNUM(Table9[[#This Row],[Date]])-13, WEEKNUM(Table9[[#This Row],[Date]])+40)</f>
        <v>42</v>
      </c>
      <c r="C287" s="255" t="s">
        <v>50</v>
      </c>
      <c r="D287" s="65" t="s">
        <v>59</v>
      </c>
      <c r="E287" s="269">
        <v>374</v>
      </c>
      <c r="F287" s="269">
        <v>340</v>
      </c>
      <c r="G287" s="282">
        <f>IFERROR((Table3[[#This Row],[Calls Off]]-E280)/E280,0)</f>
        <v>-0.34843205574912894</v>
      </c>
      <c r="H287" s="282">
        <f>IFERROR((Table3[[#This Row],[Calls Ans]]-F280)/F280,0)</f>
        <v>-0.2857142857142857</v>
      </c>
      <c r="I287" s="269">
        <f>Table3[[#This Row],[Calls Off]]+I286</f>
        <v>3842</v>
      </c>
      <c r="J287" s="269">
        <f>Table3[[#This Row],[Calls Ans]]+J286</f>
        <v>3210</v>
      </c>
      <c r="K287" s="269">
        <f>K286+Table3[[#This Row],[Calls Off]]</f>
        <v>130363</v>
      </c>
      <c r="L287" s="269">
        <f>L286+Table3[[#This Row],[Calls Ans]]</f>
        <v>102957</v>
      </c>
      <c r="M287" s="127">
        <v>0.74</v>
      </c>
      <c r="N287" s="127">
        <v>0.09</v>
      </c>
      <c r="O287" s="127">
        <v>0.91</v>
      </c>
      <c r="P287" s="127">
        <v>0.47</v>
      </c>
      <c r="Q287" s="283">
        <v>0.97</v>
      </c>
      <c r="R287" s="284">
        <v>0</v>
      </c>
      <c r="S287" s="284">
        <v>0</v>
      </c>
      <c r="T287" s="286">
        <v>5</v>
      </c>
      <c r="U287" s="127" t="str">
        <f t="shared" si="20"/>
        <v>Normal</v>
      </c>
      <c r="V287" s="127" t="str">
        <f t="shared" si="21"/>
        <v>Normal</v>
      </c>
      <c r="W287" s="87">
        <f t="shared" si="22"/>
        <v>-0.34843205574912894</v>
      </c>
      <c r="X287" s="87">
        <f t="shared" si="23"/>
        <v>-0.2857142857142857</v>
      </c>
      <c r="Y287" s="273"/>
      <c r="Z287" s="273"/>
      <c r="AA287" s="273"/>
      <c r="AB287" s="273"/>
      <c r="AC287" s="273"/>
      <c r="AD287" s="273"/>
      <c r="AE287" s="273"/>
      <c r="AF287" s="273"/>
      <c r="AG287" s="273"/>
      <c r="AH287" s="273"/>
      <c r="AI287" s="273"/>
      <c r="AJ287" s="273"/>
      <c r="AK287" s="273"/>
    </row>
    <row r="288" spans="1:41">
      <c r="A288" s="287">
        <v>44938</v>
      </c>
      <c r="B288" s="315">
        <f>IF(YEAR(Table9[[#This Row],[Date]]) = 2022, WEEKNUM(Table9[[#This Row],[Date]])-13, WEEKNUM(Table9[[#This Row],[Date]])+40)</f>
        <v>42</v>
      </c>
      <c r="C288" s="255" t="s">
        <v>51</v>
      </c>
      <c r="D288" s="65" t="s">
        <v>59</v>
      </c>
      <c r="E288" s="269">
        <v>347</v>
      </c>
      <c r="F288" s="269">
        <v>333</v>
      </c>
      <c r="G288" s="282">
        <f>IFERROR((Table3[[#This Row],[Calls Off]]-E281)/E281,0)</f>
        <v>-0.27557411273486432</v>
      </c>
      <c r="H288" s="282">
        <f>IFERROR((Table3[[#This Row],[Calls Ans]]-F281)/F281,0)</f>
        <v>-0.17164179104477612</v>
      </c>
      <c r="I288" s="269">
        <f>Table3[[#This Row],[Calls Off]]+I287</f>
        <v>4189</v>
      </c>
      <c r="J288" s="269">
        <f>Table3[[#This Row],[Calls Ans]]+J287</f>
        <v>3543</v>
      </c>
      <c r="K288" s="269">
        <f>K287+Table3[[#This Row],[Calls Off]]</f>
        <v>130710</v>
      </c>
      <c r="L288" s="269">
        <f>L287+Table3[[#This Row],[Calls Ans]]</f>
        <v>103290</v>
      </c>
      <c r="M288" s="127">
        <v>0.91</v>
      </c>
      <c r="N288" s="127">
        <v>0.04</v>
      </c>
      <c r="O288" s="127">
        <v>0.96</v>
      </c>
      <c r="P288" s="127">
        <v>0.46</v>
      </c>
      <c r="Q288" s="283">
        <v>0.97</v>
      </c>
      <c r="R288" s="284">
        <v>0</v>
      </c>
      <c r="S288" s="284">
        <v>0</v>
      </c>
      <c r="T288" s="286">
        <v>5</v>
      </c>
      <c r="U288" s="127" t="str">
        <f t="shared" si="20"/>
        <v>Normal</v>
      </c>
      <c r="V288" s="127" t="str">
        <f t="shared" si="21"/>
        <v>Normal</v>
      </c>
      <c r="W288" s="87">
        <f t="shared" si="22"/>
        <v>-0.27557411273486432</v>
      </c>
      <c r="X288" s="87">
        <f t="shared" si="23"/>
        <v>-0.17164179104477612</v>
      </c>
      <c r="Y288" s="273"/>
      <c r="Z288" s="273"/>
      <c r="AA288" s="273"/>
      <c r="AB288" s="273"/>
      <c r="AC288" s="273"/>
      <c r="AD288" s="273"/>
      <c r="AE288" s="273"/>
      <c r="AF288" s="273"/>
      <c r="AG288" s="273"/>
      <c r="AH288" s="273"/>
      <c r="AI288" s="273"/>
      <c r="AJ288" s="273"/>
      <c r="AK288" s="273"/>
    </row>
    <row r="289" spans="1:50">
      <c r="A289" s="287">
        <v>44939</v>
      </c>
      <c r="B289" s="315">
        <f>IF(YEAR(Table9[[#This Row],[Date]]) = 2022, WEEKNUM(Table9[[#This Row],[Date]])-13, WEEKNUM(Table9[[#This Row],[Date]])+40)</f>
        <v>42</v>
      </c>
      <c r="C289" s="255" t="s">
        <v>52</v>
      </c>
      <c r="D289" s="65" t="s">
        <v>59</v>
      </c>
      <c r="E289" s="269">
        <v>437</v>
      </c>
      <c r="F289" s="269">
        <v>419</v>
      </c>
      <c r="G289" s="282">
        <f>IFERROR((Table3[[#This Row],[Calls Off]]-E282)/E282,0)</f>
        <v>1.627906976744186E-2</v>
      </c>
      <c r="H289" s="282">
        <f>IFERROR((Table3[[#This Row],[Calls Ans]]-F282)/F282,0)</f>
        <v>7.9896907216494839E-2</v>
      </c>
      <c r="I289" s="269">
        <f>Table3[[#This Row],[Calls Off]]+I288</f>
        <v>4626</v>
      </c>
      <c r="J289" s="269">
        <f>Table3[[#This Row],[Calls Ans]]+J288</f>
        <v>3962</v>
      </c>
      <c r="K289" s="269">
        <f>K288+Table3[[#This Row],[Calls Off]]</f>
        <v>131147</v>
      </c>
      <c r="L289" s="269">
        <f>L288+Table3[[#This Row],[Calls Ans]]</f>
        <v>103709</v>
      </c>
      <c r="M289" s="127">
        <v>0.85</v>
      </c>
      <c r="N289" s="127">
        <v>0.04</v>
      </c>
      <c r="O289" s="127">
        <v>0.96</v>
      </c>
      <c r="P289" s="127">
        <v>0.63</v>
      </c>
      <c r="Q289" s="283">
        <v>0.95</v>
      </c>
      <c r="R289" s="284">
        <v>0</v>
      </c>
      <c r="S289" s="284">
        <v>0</v>
      </c>
      <c r="T289" s="286">
        <v>6</v>
      </c>
      <c r="U289" s="127" t="str">
        <f t="shared" si="20"/>
        <v>Normal</v>
      </c>
      <c r="V289" s="127" t="str">
        <f t="shared" si="21"/>
        <v>Normal</v>
      </c>
      <c r="W289" s="87">
        <f t="shared" si="22"/>
        <v>1.627906976744186E-2</v>
      </c>
      <c r="X289" s="87">
        <f t="shared" si="23"/>
        <v>7.9896907216494839E-2</v>
      </c>
      <c r="Y289" s="273"/>
      <c r="Z289" s="273"/>
      <c r="AA289" s="273"/>
      <c r="AB289" s="273"/>
      <c r="AC289" s="273"/>
      <c r="AD289" s="273"/>
      <c r="AE289" s="273"/>
      <c r="AF289" s="273"/>
      <c r="AG289" s="273"/>
      <c r="AH289" s="273"/>
      <c r="AI289" s="273"/>
      <c r="AJ289" s="273"/>
      <c r="AK289" s="273"/>
    </row>
    <row r="290" spans="1:50">
      <c r="A290" s="287">
        <v>44940</v>
      </c>
      <c r="B290" s="315">
        <f>IF(YEAR(Table9[[#This Row],[Date]]) = 2022, WEEKNUM(Table9[[#This Row],[Date]])-13, WEEKNUM(Table9[[#This Row],[Date]])+40)</f>
        <v>42</v>
      </c>
      <c r="C290" s="255" t="s">
        <v>53</v>
      </c>
      <c r="D290" s="65" t="s">
        <v>59</v>
      </c>
      <c r="E290" s="269">
        <v>0</v>
      </c>
      <c r="F290" s="269">
        <v>0</v>
      </c>
      <c r="G290" s="282">
        <v>0</v>
      </c>
      <c r="H290" s="282">
        <v>0</v>
      </c>
      <c r="I290" s="269">
        <v>0</v>
      </c>
      <c r="J290" s="269">
        <v>0</v>
      </c>
      <c r="K290" s="269">
        <v>0</v>
      </c>
      <c r="L290" s="269">
        <v>0</v>
      </c>
      <c r="M290" s="127">
        <v>0</v>
      </c>
      <c r="N290" s="127">
        <v>0</v>
      </c>
      <c r="O290" s="127">
        <v>0</v>
      </c>
      <c r="P290" s="127">
        <v>0</v>
      </c>
      <c r="Q290" s="283">
        <v>0</v>
      </c>
      <c r="R290" s="284">
        <v>0</v>
      </c>
      <c r="S290" s="284">
        <v>0</v>
      </c>
      <c r="T290" s="286">
        <v>0</v>
      </c>
      <c r="U290" s="127" t="str">
        <f t="shared" si="20"/>
        <v>Normal</v>
      </c>
      <c r="V290" s="127" t="str">
        <f t="shared" si="21"/>
        <v>Normal</v>
      </c>
      <c r="W290" s="87">
        <f t="shared" si="22"/>
        <v>0</v>
      </c>
      <c r="X290" s="87">
        <f t="shared" si="23"/>
        <v>0</v>
      </c>
      <c r="Y290" s="273"/>
      <c r="Z290" s="273"/>
      <c r="AA290" s="273"/>
      <c r="AB290" s="273"/>
      <c r="AC290" s="273"/>
      <c r="AD290" s="273"/>
      <c r="AE290" s="273"/>
      <c r="AF290" s="273"/>
      <c r="AG290" s="273"/>
      <c r="AH290" s="273"/>
      <c r="AI290" s="273"/>
      <c r="AJ290" s="273"/>
      <c r="AK290" s="273"/>
    </row>
    <row r="291" spans="1:50">
      <c r="A291" s="287">
        <v>44941</v>
      </c>
      <c r="B291" s="315">
        <f>IF(YEAR(Table9[[#This Row],[Date]]) = 2022, WEEKNUM(Table9[[#This Row],[Date]])-13, WEEKNUM(Table9[[#This Row],[Date]])+40)</f>
        <v>43</v>
      </c>
      <c r="C291" s="255" t="s">
        <v>47</v>
      </c>
      <c r="D291" s="65" t="s">
        <v>59</v>
      </c>
      <c r="E291" s="269">
        <v>0</v>
      </c>
      <c r="F291" s="269">
        <v>0</v>
      </c>
      <c r="G291" s="282">
        <v>0</v>
      </c>
      <c r="H291" s="282">
        <v>0</v>
      </c>
      <c r="I291" s="269">
        <v>0</v>
      </c>
      <c r="J291" s="269">
        <v>0</v>
      </c>
      <c r="K291" s="269">
        <v>0</v>
      </c>
      <c r="L291" s="269">
        <v>0</v>
      </c>
      <c r="M291" s="127">
        <v>0</v>
      </c>
      <c r="N291" s="127">
        <v>0</v>
      </c>
      <c r="O291" s="127">
        <v>0</v>
      </c>
      <c r="P291" s="127">
        <v>0</v>
      </c>
      <c r="Q291" s="283">
        <v>0</v>
      </c>
      <c r="R291" s="284">
        <v>0</v>
      </c>
      <c r="S291" s="284">
        <v>0</v>
      </c>
      <c r="T291" s="286">
        <v>0</v>
      </c>
      <c r="U291" s="127" t="str">
        <f t="shared" si="20"/>
        <v>Normal</v>
      </c>
      <c r="V291" s="127" t="str">
        <f t="shared" si="21"/>
        <v>Normal</v>
      </c>
      <c r="W291" s="87">
        <f t="shared" si="22"/>
        <v>0</v>
      </c>
      <c r="X291" s="87">
        <f t="shared" si="23"/>
        <v>0</v>
      </c>
      <c r="Y291" s="273"/>
      <c r="Z291" s="273"/>
      <c r="AA291" s="273"/>
      <c r="AB291" s="273"/>
      <c r="AC291" s="273"/>
      <c r="AD291" s="273"/>
      <c r="AE291" s="273"/>
      <c r="AF291" s="273"/>
      <c r="AG291" s="273"/>
      <c r="AH291" s="273"/>
      <c r="AI291" s="273"/>
      <c r="AJ291" s="273"/>
      <c r="AK291" s="273"/>
    </row>
    <row r="292" spans="1:50">
      <c r="A292" s="287">
        <v>44942</v>
      </c>
      <c r="B292" s="315">
        <f>IF(YEAR(Table9[[#This Row],[Date]]) = 2022, WEEKNUM(Table9[[#This Row],[Date]])-13, WEEKNUM(Table9[[#This Row],[Date]])+40)</f>
        <v>43</v>
      </c>
      <c r="C292" s="255" t="s">
        <v>48</v>
      </c>
      <c r="D292" s="65" t="s">
        <v>59</v>
      </c>
      <c r="E292" s="269">
        <v>466</v>
      </c>
      <c r="F292" s="269">
        <v>367</v>
      </c>
      <c r="G292" s="282">
        <f>IFERROR((Table3[[#This Row],[Calls Off]]-E285)/E285,0)</f>
        <v>-0.14652014652014653</v>
      </c>
      <c r="H292" s="282">
        <f>IFERROR((Table3[[#This Row],[Calls Ans]]-F285)/F285,0)</f>
        <v>-0.22410147991543342</v>
      </c>
      <c r="I292" s="269">
        <f>Table3[[#This Row],[Calls Off]]+I289</f>
        <v>5092</v>
      </c>
      <c r="J292" s="269">
        <f>Table3[[#This Row],[Calls Ans]]+J289</f>
        <v>4329</v>
      </c>
      <c r="K292" s="269">
        <f>K289+Table3[[#This Row],[Calls Off]]</f>
        <v>131613</v>
      </c>
      <c r="L292" s="269">
        <f>L289+Table3[[#This Row],[Calls Ans]]</f>
        <v>104076</v>
      </c>
      <c r="M292" s="127">
        <v>0.45</v>
      </c>
      <c r="N292" s="127">
        <v>0.21</v>
      </c>
      <c r="O292" s="127">
        <v>0.79</v>
      </c>
      <c r="P292" s="127">
        <v>0.51</v>
      </c>
      <c r="Q292" s="283">
        <v>0.97</v>
      </c>
      <c r="R292" s="284">
        <v>0</v>
      </c>
      <c r="S292" s="284">
        <v>0</v>
      </c>
      <c r="T292" s="286">
        <v>5</v>
      </c>
      <c r="U292" s="127" t="str">
        <f t="shared" si="20"/>
        <v>Normal</v>
      </c>
      <c r="V292" s="127" t="str">
        <f t="shared" si="21"/>
        <v>Normal</v>
      </c>
      <c r="W292" s="87">
        <f t="shared" si="22"/>
        <v>-0.14652014652014653</v>
      </c>
      <c r="X292" s="87">
        <f t="shared" si="23"/>
        <v>-0.22410147991543342</v>
      </c>
      <c r="Y292" s="273"/>
      <c r="Z292" s="273"/>
      <c r="AA292" s="273"/>
      <c r="AB292" s="273"/>
      <c r="AC292" s="273"/>
      <c r="AD292" s="273"/>
      <c r="AE292" s="273"/>
      <c r="AF292" s="273"/>
      <c r="AG292" s="273"/>
      <c r="AH292" s="273"/>
      <c r="AI292" s="273"/>
      <c r="AJ292" s="273"/>
      <c r="AK292" s="273"/>
    </row>
    <row r="293" spans="1:50">
      <c r="A293" s="287">
        <v>44943</v>
      </c>
      <c r="B293" s="315">
        <f>IF(YEAR(Table9[[#This Row],[Date]]) = 2022, WEEKNUM(Table9[[#This Row],[Date]])-13, WEEKNUM(Table9[[#This Row],[Date]])+40)</f>
        <v>43</v>
      </c>
      <c r="C293" s="255" t="s">
        <v>49</v>
      </c>
      <c r="D293" s="65" t="s">
        <v>59</v>
      </c>
      <c r="E293" s="269">
        <v>418</v>
      </c>
      <c r="F293" s="269">
        <v>337</v>
      </c>
      <c r="G293" s="282">
        <f>IFERROR((Table3[[#This Row],[Calls Off]]-E286)/E286,0)</f>
        <v>-5.4298642533936653E-2</v>
      </c>
      <c r="H293" s="282">
        <f>IFERROR((Table3[[#This Row],[Calls Ans]]-F286)/F286,0)</f>
        <v>-0.20518867924528303</v>
      </c>
      <c r="I293" s="269">
        <f>Table3[[#This Row],[Calls Off]]+I292</f>
        <v>5510</v>
      </c>
      <c r="J293" s="269">
        <f>Table3[[#This Row],[Calls Ans]]+J292</f>
        <v>4666</v>
      </c>
      <c r="K293" s="269">
        <f>K292+Table3[[#This Row],[Calls Off]]</f>
        <v>132031</v>
      </c>
      <c r="L293" s="269">
        <f>L292+Table3[[#This Row],[Calls Ans]]</f>
        <v>104413</v>
      </c>
      <c r="M293" s="127">
        <v>0.45</v>
      </c>
      <c r="N293" s="127">
        <v>0.19</v>
      </c>
      <c r="O293" s="127">
        <v>0.81</v>
      </c>
      <c r="P293" s="127">
        <v>0.57999999999999996</v>
      </c>
      <c r="Q293" s="283">
        <v>0.96</v>
      </c>
      <c r="R293" s="284">
        <v>0</v>
      </c>
      <c r="S293" s="284">
        <v>0</v>
      </c>
      <c r="T293" s="286">
        <v>4</v>
      </c>
      <c r="U293" s="127" t="str">
        <f t="shared" si="20"/>
        <v>Normal</v>
      </c>
      <c r="V293" s="127" t="str">
        <f t="shared" si="21"/>
        <v>Normal</v>
      </c>
      <c r="W293" s="87">
        <f t="shared" si="22"/>
        <v>-5.4298642533936653E-2</v>
      </c>
      <c r="X293" s="87">
        <f t="shared" si="23"/>
        <v>-0.20518867924528303</v>
      </c>
      <c r="Y293" s="273"/>
      <c r="Z293" s="273"/>
      <c r="AA293" s="273"/>
      <c r="AB293" s="273"/>
      <c r="AC293" s="273"/>
      <c r="AD293" s="273"/>
      <c r="AE293" s="273"/>
      <c r="AF293" s="273"/>
      <c r="AG293" s="273"/>
      <c r="AH293" s="273"/>
      <c r="AI293" s="273"/>
      <c r="AJ293" s="273"/>
      <c r="AK293" s="273"/>
      <c r="AM293" s="49"/>
      <c r="AN293" s="49"/>
      <c r="AO293" s="49"/>
    </row>
    <row r="294" spans="1:50">
      <c r="A294" s="287">
        <v>44944</v>
      </c>
      <c r="B294" s="315">
        <f>IF(YEAR(Table9[[#This Row],[Date]]) = 2022, WEEKNUM(Table9[[#This Row],[Date]])-13, WEEKNUM(Table9[[#This Row],[Date]])+40)</f>
        <v>43</v>
      </c>
      <c r="C294" s="255" t="s">
        <v>50</v>
      </c>
      <c r="D294" s="65" t="s">
        <v>59</v>
      </c>
      <c r="E294" s="269">
        <v>549</v>
      </c>
      <c r="F294" s="269">
        <v>403</v>
      </c>
      <c r="G294" s="282">
        <f>IFERROR((Table3[[#This Row],[Calls Off]]-E287)/E287,0)</f>
        <v>0.46791443850267378</v>
      </c>
      <c r="H294" s="282">
        <f>IFERROR((Table3[[#This Row],[Calls Ans]]-F287)/F287,0)</f>
        <v>0.18529411764705883</v>
      </c>
      <c r="I294" s="269">
        <f>Table3[[#This Row],[Calls Off]]+I293</f>
        <v>6059</v>
      </c>
      <c r="J294" s="269">
        <f>Table3[[#This Row],[Calls Ans]]+J293</f>
        <v>5069</v>
      </c>
      <c r="K294" s="269">
        <f>K293+Table3[[#This Row],[Calls Off]]</f>
        <v>132580</v>
      </c>
      <c r="L294" s="269">
        <f>L293+Table3[[#This Row],[Calls Ans]]</f>
        <v>104816</v>
      </c>
      <c r="M294" s="127">
        <v>0.4</v>
      </c>
      <c r="N294" s="127">
        <v>0.27</v>
      </c>
      <c r="O294" s="127">
        <v>0.73</v>
      </c>
      <c r="P294" s="127">
        <v>0.69</v>
      </c>
      <c r="Q294" s="283">
        <v>0.98</v>
      </c>
      <c r="R294" s="284">
        <v>0</v>
      </c>
      <c r="S294" s="284">
        <v>0</v>
      </c>
      <c r="T294" s="286">
        <v>4</v>
      </c>
      <c r="U294" s="127" t="str">
        <f t="shared" si="20"/>
        <v>Outlier</v>
      </c>
      <c r="V294" s="127" t="str">
        <f t="shared" si="21"/>
        <v>Normal</v>
      </c>
      <c r="W294" s="87">
        <f t="shared" si="22"/>
        <v>0.46791443850267378</v>
      </c>
      <c r="X294" s="87">
        <f t="shared" si="23"/>
        <v>0.18529411764705883</v>
      </c>
      <c r="Y294" s="273"/>
      <c r="Z294" s="273"/>
      <c r="AA294" s="273"/>
      <c r="AB294" s="273"/>
      <c r="AC294" s="273"/>
      <c r="AD294" s="273"/>
      <c r="AE294" s="273"/>
      <c r="AF294" s="273"/>
      <c r="AG294" s="273"/>
      <c r="AH294" s="273"/>
      <c r="AI294" s="273"/>
      <c r="AJ294" s="273"/>
      <c r="AK294" s="273"/>
    </row>
    <row r="295" spans="1:50">
      <c r="A295" s="287">
        <v>44945</v>
      </c>
      <c r="B295" s="315">
        <f>IF(YEAR(Table9[[#This Row],[Date]]) = 2022, WEEKNUM(Table9[[#This Row],[Date]])-13, WEEKNUM(Table9[[#This Row],[Date]])+40)</f>
        <v>43</v>
      </c>
      <c r="C295" s="255" t="s">
        <v>51</v>
      </c>
      <c r="D295" s="65" t="s">
        <v>59</v>
      </c>
      <c r="E295" s="269">
        <v>439</v>
      </c>
      <c r="F295" s="269">
        <v>391</v>
      </c>
      <c r="G295" s="282">
        <f>IFERROR((Table3[[#This Row],[Calls Off]]-E288)/E288,0)</f>
        <v>0.26512968299711814</v>
      </c>
      <c r="H295" s="282">
        <f>IFERROR((Table3[[#This Row],[Calls Ans]]-F288)/F288,0)</f>
        <v>0.17417417417417416</v>
      </c>
      <c r="I295" s="269">
        <f>Table3[[#This Row],[Calls Off]]+I294</f>
        <v>6498</v>
      </c>
      <c r="J295" s="269">
        <f>Table3[[#This Row],[Calls Ans]]+J294</f>
        <v>5460</v>
      </c>
      <c r="K295" s="269">
        <f>K294+Table3[[#This Row],[Calls Off]]</f>
        <v>133019</v>
      </c>
      <c r="L295" s="269">
        <f>L294+Table3[[#This Row],[Calls Ans]]</f>
        <v>105207</v>
      </c>
      <c r="M295" s="127">
        <v>0.68</v>
      </c>
      <c r="N295" s="127">
        <v>0.11</v>
      </c>
      <c r="O295" s="127">
        <v>0.89</v>
      </c>
      <c r="P295" s="127">
        <v>0.71</v>
      </c>
      <c r="Q295" s="283">
        <v>0.97</v>
      </c>
      <c r="R295" s="284">
        <v>0</v>
      </c>
      <c r="S295" s="284">
        <v>0</v>
      </c>
      <c r="T295" s="286">
        <v>5</v>
      </c>
      <c r="U295" s="127" t="str">
        <f t="shared" si="20"/>
        <v>Normal</v>
      </c>
      <c r="V295" s="127" t="str">
        <f t="shared" si="21"/>
        <v>Normal</v>
      </c>
      <c r="W295" s="87">
        <f t="shared" si="22"/>
        <v>0.26512968299711814</v>
      </c>
      <c r="X295" s="87">
        <f t="shared" si="23"/>
        <v>0.17417417417417416</v>
      </c>
      <c r="Y295" s="273"/>
      <c r="Z295" s="273"/>
      <c r="AA295" s="273"/>
      <c r="AB295" s="273"/>
      <c r="AC295" s="273"/>
      <c r="AD295" s="273"/>
      <c r="AE295" s="273"/>
      <c r="AF295" s="273"/>
      <c r="AG295" s="273"/>
      <c r="AH295" s="273"/>
      <c r="AI295" s="273"/>
      <c r="AJ295" s="273"/>
      <c r="AK295" s="273"/>
    </row>
    <row r="296" spans="1:50">
      <c r="A296" s="287">
        <v>44946</v>
      </c>
      <c r="B296" s="315">
        <f>IF(YEAR(Table9[[#This Row],[Date]]) = 2022, WEEKNUM(Table9[[#This Row],[Date]])-13, WEEKNUM(Table9[[#This Row],[Date]])+40)</f>
        <v>43</v>
      </c>
      <c r="C296" s="255" t="s">
        <v>52</v>
      </c>
      <c r="D296" s="65" t="s">
        <v>59</v>
      </c>
      <c r="E296" s="269">
        <v>499</v>
      </c>
      <c r="F296" s="269">
        <v>443</v>
      </c>
      <c r="G296" s="282">
        <f>IFERROR((Table3[[#This Row],[Calls Off]]-E289)/E289,0)</f>
        <v>0.14187643020594964</v>
      </c>
      <c r="H296" s="282">
        <f>IFERROR((Table3[[#This Row],[Calls Ans]]-F289)/F289,0)</f>
        <v>5.7279236276849645E-2</v>
      </c>
      <c r="I296" s="269">
        <f>Table3[[#This Row],[Calls Off]]+I295</f>
        <v>6997</v>
      </c>
      <c r="J296" s="269">
        <f>Table3[[#This Row],[Calls Ans]]+J295</f>
        <v>5903</v>
      </c>
      <c r="K296" s="269">
        <f>K295+Table3[[#This Row],[Calls Off]]</f>
        <v>133518</v>
      </c>
      <c r="L296" s="269">
        <f>L295+Table3[[#This Row],[Calls Ans]]</f>
        <v>105650</v>
      </c>
      <c r="M296" s="127">
        <v>0.62</v>
      </c>
      <c r="N296" s="127">
        <v>0.11</v>
      </c>
      <c r="O296" s="127">
        <v>0.89</v>
      </c>
      <c r="P296" s="127">
        <v>0.61</v>
      </c>
      <c r="Q296" s="283">
        <v>0.95</v>
      </c>
      <c r="R296" s="284">
        <v>0</v>
      </c>
      <c r="S296" s="284">
        <v>0</v>
      </c>
      <c r="T296" s="286">
        <v>5</v>
      </c>
      <c r="U296" s="127" t="str">
        <f t="shared" si="20"/>
        <v>Normal</v>
      </c>
      <c r="V296" s="127" t="str">
        <f t="shared" si="21"/>
        <v>Normal</v>
      </c>
      <c r="W296" s="87">
        <f t="shared" si="22"/>
        <v>0.14187643020594964</v>
      </c>
      <c r="X296" s="87">
        <f t="shared" si="23"/>
        <v>5.7279236276849645E-2</v>
      </c>
      <c r="Y296" s="273"/>
      <c r="Z296" s="273"/>
      <c r="AA296" s="273"/>
      <c r="AB296" s="273"/>
      <c r="AC296" s="273"/>
      <c r="AD296" s="273"/>
      <c r="AE296" s="273"/>
      <c r="AF296" s="273"/>
      <c r="AG296" s="273"/>
      <c r="AH296" s="273"/>
      <c r="AI296" s="273"/>
      <c r="AJ296" s="273"/>
      <c r="AK296" s="273"/>
    </row>
    <row r="297" spans="1:50">
      <c r="A297" s="287">
        <v>44947</v>
      </c>
      <c r="B297" s="315">
        <f>IF(YEAR(Table9[[#This Row],[Date]]) = 2022, WEEKNUM(Table9[[#This Row],[Date]])-13, WEEKNUM(Table9[[#This Row],[Date]])+40)</f>
        <v>43</v>
      </c>
      <c r="C297" s="255" t="s">
        <v>53</v>
      </c>
      <c r="D297" s="65" t="s">
        <v>59</v>
      </c>
      <c r="E297" s="269">
        <v>0</v>
      </c>
      <c r="F297" s="269">
        <v>0</v>
      </c>
      <c r="G297" s="282">
        <v>0</v>
      </c>
      <c r="H297" s="282">
        <v>0</v>
      </c>
      <c r="I297" s="269">
        <v>0</v>
      </c>
      <c r="J297" s="269">
        <v>0</v>
      </c>
      <c r="K297" s="269">
        <v>0</v>
      </c>
      <c r="L297" s="269">
        <v>0</v>
      </c>
      <c r="M297" s="127">
        <v>0</v>
      </c>
      <c r="N297" s="127">
        <v>0</v>
      </c>
      <c r="O297" s="127">
        <v>0</v>
      </c>
      <c r="P297" s="127">
        <v>0</v>
      </c>
      <c r="Q297" s="283">
        <v>0</v>
      </c>
      <c r="R297" s="284">
        <v>0</v>
      </c>
      <c r="S297" s="284">
        <v>0</v>
      </c>
      <c r="T297" s="286">
        <v>0</v>
      </c>
      <c r="U297" s="127" t="str">
        <f t="shared" si="20"/>
        <v>Normal</v>
      </c>
      <c r="V297" s="127" t="str">
        <f t="shared" si="21"/>
        <v>Normal</v>
      </c>
      <c r="W297" s="87">
        <f t="shared" si="22"/>
        <v>0</v>
      </c>
      <c r="X297" s="87">
        <f t="shared" si="23"/>
        <v>0</v>
      </c>
      <c r="Y297" s="273"/>
      <c r="Z297" s="273"/>
      <c r="AA297" s="273"/>
      <c r="AB297" s="273"/>
      <c r="AC297" s="273"/>
      <c r="AD297" s="273"/>
      <c r="AE297" s="273"/>
      <c r="AF297" s="273"/>
      <c r="AG297" s="273"/>
      <c r="AH297" s="273"/>
      <c r="AI297" s="273"/>
      <c r="AJ297" s="273"/>
      <c r="AK297" s="273"/>
    </row>
    <row r="298" spans="1:50">
      <c r="A298" s="287">
        <v>44948</v>
      </c>
      <c r="B298" s="315">
        <f>IF(YEAR(Table9[[#This Row],[Date]]) = 2022, WEEKNUM(Table9[[#This Row],[Date]])-13, WEEKNUM(Table9[[#This Row],[Date]])+40)</f>
        <v>44</v>
      </c>
      <c r="C298" s="255" t="s">
        <v>47</v>
      </c>
      <c r="D298" s="65" t="s">
        <v>59</v>
      </c>
      <c r="E298" s="269">
        <v>0</v>
      </c>
      <c r="F298" s="269">
        <v>0</v>
      </c>
      <c r="G298" s="282">
        <v>0</v>
      </c>
      <c r="H298" s="282">
        <v>0</v>
      </c>
      <c r="I298" s="269">
        <v>0</v>
      </c>
      <c r="J298" s="269">
        <v>0</v>
      </c>
      <c r="K298" s="269">
        <v>0</v>
      </c>
      <c r="L298" s="269">
        <v>0</v>
      </c>
      <c r="M298" s="127">
        <v>0</v>
      </c>
      <c r="N298" s="127">
        <v>0</v>
      </c>
      <c r="O298" s="127">
        <v>0</v>
      </c>
      <c r="P298" s="127">
        <v>0</v>
      </c>
      <c r="Q298" s="283">
        <v>0</v>
      </c>
      <c r="R298" s="284">
        <v>0</v>
      </c>
      <c r="S298" s="284">
        <v>0</v>
      </c>
      <c r="T298" s="286">
        <v>0</v>
      </c>
      <c r="U298" s="127" t="str">
        <f t="shared" si="20"/>
        <v>Normal</v>
      </c>
      <c r="V298" s="127" t="str">
        <f t="shared" si="21"/>
        <v>Normal</v>
      </c>
      <c r="W298" s="87">
        <f t="shared" si="22"/>
        <v>0</v>
      </c>
      <c r="X298" s="87">
        <f t="shared" si="23"/>
        <v>0</v>
      </c>
      <c r="Y298" s="273"/>
      <c r="Z298" s="273"/>
      <c r="AA298" s="273"/>
      <c r="AB298" s="273"/>
      <c r="AC298" s="273"/>
      <c r="AD298" s="273"/>
      <c r="AE298" s="273"/>
      <c r="AF298" s="273"/>
      <c r="AG298" s="273"/>
      <c r="AH298" s="273"/>
      <c r="AI298" s="273"/>
      <c r="AJ298" s="273"/>
      <c r="AK298" s="273"/>
    </row>
    <row r="299" spans="1:50">
      <c r="A299" s="287">
        <v>44949</v>
      </c>
      <c r="B299" s="315">
        <f>IF(YEAR(Table9[[#This Row],[Date]]) = 2022, WEEKNUM(Table9[[#This Row],[Date]])-13, WEEKNUM(Table9[[#This Row],[Date]])+40)</f>
        <v>44</v>
      </c>
      <c r="C299" s="255" t="s">
        <v>48</v>
      </c>
      <c r="D299" s="65" t="s">
        <v>59</v>
      </c>
      <c r="E299" s="269">
        <v>475</v>
      </c>
      <c r="F299" s="269">
        <v>443</v>
      </c>
      <c r="G299" s="282">
        <f>IFERROR((Table3[[#This Row],[Calls Off]]-E292)/E292,0)</f>
        <v>1.9313304721030045E-2</v>
      </c>
      <c r="H299" s="282">
        <f>IFERROR((Table3[[#This Row],[Calls Ans]]-F292)/F292,0)</f>
        <v>0.20708446866485014</v>
      </c>
      <c r="I299" s="269">
        <f>Table3[[#This Row],[Calls Off]]+I296</f>
        <v>7472</v>
      </c>
      <c r="J299" s="269">
        <f>Table3[[#This Row],[Calls Ans]]+J296</f>
        <v>6346</v>
      </c>
      <c r="K299" s="269">
        <f>K296+Table3[[#This Row],[Calls Off]]</f>
        <v>133993</v>
      </c>
      <c r="L299" s="269">
        <f>L296+Table3[[#This Row],[Calls Ans]]</f>
        <v>106093</v>
      </c>
      <c r="M299" s="127">
        <v>0.76</v>
      </c>
      <c r="N299" s="127">
        <v>0.09</v>
      </c>
      <c r="O299" s="127">
        <v>0.91</v>
      </c>
      <c r="P299" s="127">
        <v>0.43</v>
      </c>
      <c r="Q299" s="283">
        <v>0.97</v>
      </c>
      <c r="R299" s="284">
        <v>0</v>
      </c>
      <c r="S299" s="284">
        <v>0</v>
      </c>
      <c r="T299" s="286">
        <v>7</v>
      </c>
      <c r="U299" s="127" t="str">
        <f t="shared" si="20"/>
        <v>Normal</v>
      </c>
      <c r="V299" s="127" t="str">
        <f t="shared" si="21"/>
        <v>Normal</v>
      </c>
      <c r="W299" s="87">
        <f t="shared" si="22"/>
        <v>1.9313304721030045E-2</v>
      </c>
      <c r="X299" s="87">
        <f t="shared" si="23"/>
        <v>0.20708446866485014</v>
      </c>
      <c r="Y299" s="273"/>
      <c r="Z299" s="273"/>
      <c r="AA299" s="273"/>
      <c r="AB299" s="273"/>
      <c r="AC299" s="273"/>
      <c r="AD299" s="273"/>
      <c r="AE299" s="273"/>
      <c r="AF299" s="273"/>
      <c r="AG299" s="273"/>
      <c r="AH299" s="273"/>
      <c r="AI299" s="273"/>
      <c r="AJ299" s="273"/>
      <c r="AK299" s="273"/>
    </row>
    <row r="300" spans="1:50">
      <c r="A300" s="287">
        <v>44950</v>
      </c>
      <c r="B300" s="315">
        <f>IF(YEAR(Table9[[#This Row],[Date]]) = 2022, WEEKNUM(Table9[[#This Row],[Date]])-13, WEEKNUM(Table9[[#This Row],[Date]])+40)</f>
        <v>44</v>
      </c>
      <c r="C300" s="255" t="s">
        <v>49</v>
      </c>
      <c r="D300" s="65" t="s">
        <v>59</v>
      </c>
      <c r="E300" s="269">
        <v>386</v>
      </c>
      <c r="F300" s="269">
        <v>363</v>
      </c>
      <c r="G300" s="282">
        <f>IFERROR((Table3[[#This Row],[Calls Off]]-E293)/E293,0)</f>
        <v>-7.6555023923444973E-2</v>
      </c>
      <c r="H300" s="282">
        <f>IFERROR((Table3[[#This Row],[Calls Ans]]-F293)/F293,0)</f>
        <v>7.71513353115727E-2</v>
      </c>
      <c r="I300" s="269">
        <f>Table3[[#This Row],[Calls Off]]+I299</f>
        <v>7858</v>
      </c>
      <c r="J300" s="269">
        <f>Table3[[#This Row],[Calls Ans]]+J299</f>
        <v>6709</v>
      </c>
      <c r="K300" s="269">
        <f>K299+Table3[[#This Row],[Calls Off]]</f>
        <v>134379</v>
      </c>
      <c r="L300" s="269">
        <f>L299+Table3[[#This Row],[Calls Ans]]</f>
        <v>106456</v>
      </c>
      <c r="M300" s="127">
        <v>0.81</v>
      </c>
      <c r="N300" s="127">
        <v>0.06</v>
      </c>
      <c r="O300" s="127">
        <v>0.94</v>
      </c>
      <c r="P300" s="127">
        <v>0.5</v>
      </c>
      <c r="Q300" s="283">
        <v>0.99</v>
      </c>
      <c r="R300" s="300">
        <v>191</v>
      </c>
      <c r="S300" s="284">
        <v>0</v>
      </c>
      <c r="T300" s="286">
        <v>5</v>
      </c>
      <c r="U300" s="127" t="str">
        <f t="shared" si="20"/>
        <v>Normal</v>
      </c>
      <c r="V300" s="127" t="str">
        <f t="shared" si="21"/>
        <v>Normal</v>
      </c>
      <c r="W300" s="87">
        <f t="shared" si="22"/>
        <v>-7.6555023923444973E-2</v>
      </c>
      <c r="X300" s="87">
        <f t="shared" si="23"/>
        <v>7.71513353115727E-2</v>
      </c>
      <c r="Y300" s="273"/>
      <c r="Z300" s="273"/>
      <c r="AA300" s="273"/>
      <c r="AB300" s="273"/>
      <c r="AC300" s="273"/>
      <c r="AD300" s="273"/>
      <c r="AE300" s="273"/>
      <c r="AF300" s="273"/>
      <c r="AG300" s="273"/>
      <c r="AH300" s="273"/>
      <c r="AI300" s="273"/>
      <c r="AJ300" s="273"/>
      <c r="AK300" s="273"/>
      <c r="AT300">
        <f>MINUTE(Table3[[#This Row],[AHT]])</f>
        <v>0</v>
      </c>
      <c r="AU300">
        <f>SECOND(Table3[[#This Row],[AHT]])</f>
        <v>0</v>
      </c>
      <c r="AX300">
        <v>191</v>
      </c>
    </row>
    <row r="301" spans="1:50">
      <c r="A301" s="287">
        <v>44951</v>
      </c>
      <c r="B301" s="315">
        <f>IF(YEAR(Table9[[#This Row],[Date]]) = 2022, WEEKNUM(Table9[[#This Row],[Date]])-13, WEEKNUM(Table9[[#This Row],[Date]])+40)</f>
        <v>44</v>
      </c>
      <c r="C301" s="255" t="s">
        <v>50</v>
      </c>
      <c r="D301" s="65" t="s">
        <v>59</v>
      </c>
      <c r="E301" s="269">
        <v>469</v>
      </c>
      <c r="F301" s="269">
        <v>425</v>
      </c>
      <c r="G301" s="282">
        <f>IFERROR((Table3[[#This Row],[Calls Off]]-E294)/E294,0)</f>
        <v>-0.14571948998178508</v>
      </c>
      <c r="H301" s="282">
        <f>IFERROR((Table3[[#This Row],[Calls Ans]]-F294)/F294,0)</f>
        <v>5.4590570719602979E-2</v>
      </c>
      <c r="I301" s="269">
        <f>Table3[[#This Row],[Calls Off]]+I300</f>
        <v>8327</v>
      </c>
      <c r="J301" s="269">
        <f>Table3[[#This Row],[Calls Ans]]+J300</f>
        <v>7134</v>
      </c>
      <c r="K301" s="269">
        <f>K300+Table3[[#This Row],[Calls Off]]</f>
        <v>134848</v>
      </c>
      <c r="L301" s="269">
        <f>L300+Table3[[#This Row],[Calls Ans]]</f>
        <v>106881</v>
      </c>
      <c r="M301" s="127">
        <v>0.74</v>
      </c>
      <c r="N301" s="127">
        <v>0.09</v>
      </c>
      <c r="O301" s="127">
        <v>0.91</v>
      </c>
      <c r="P301" s="127">
        <v>0.49</v>
      </c>
      <c r="Q301" s="283">
        <v>0.97</v>
      </c>
      <c r="R301" s="300">
        <v>173</v>
      </c>
      <c r="S301" s="284">
        <v>0</v>
      </c>
      <c r="T301" s="286">
        <v>6</v>
      </c>
      <c r="U301" s="127" t="str">
        <f t="shared" si="20"/>
        <v>Normal</v>
      </c>
      <c r="V301" s="127" t="str">
        <f t="shared" si="21"/>
        <v>Normal</v>
      </c>
      <c r="W301" s="87">
        <f t="shared" si="22"/>
        <v>-0.14571948998178508</v>
      </c>
      <c r="X301" s="87">
        <f t="shared" si="23"/>
        <v>5.4590570719602979E-2</v>
      </c>
      <c r="Y301" s="273"/>
      <c r="Z301" s="273"/>
      <c r="AA301" s="273"/>
      <c r="AB301" s="273"/>
      <c r="AC301" s="273"/>
      <c r="AD301" s="273"/>
      <c r="AE301" s="273"/>
      <c r="AF301" s="273"/>
      <c r="AG301" s="273"/>
      <c r="AH301" s="273"/>
      <c r="AI301" s="273"/>
      <c r="AJ301" s="273"/>
      <c r="AK301" s="273"/>
      <c r="AT301">
        <f>MINUTE(Table3[[#This Row],[AHT]])</f>
        <v>0</v>
      </c>
      <c r="AU301">
        <f>SECOND(Table3[[#This Row],[AHT]])</f>
        <v>0</v>
      </c>
      <c r="AX301">
        <v>173</v>
      </c>
    </row>
    <row r="302" spans="1:50">
      <c r="A302" s="287">
        <v>44952</v>
      </c>
      <c r="B302" s="315">
        <f>IF(YEAR(Table9[[#This Row],[Date]]) = 2022, WEEKNUM(Table9[[#This Row],[Date]])-13, WEEKNUM(Table9[[#This Row],[Date]])+40)</f>
        <v>44</v>
      </c>
      <c r="C302" s="255" t="s">
        <v>51</v>
      </c>
      <c r="D302" s="65" t="s">
        <v>59</v>
      </c>
      <c r="E302" s="269">
        <v>481</v>
      </c>
      <c r="F302" s="269">
        <v>467</v>
      </c>
      <c r="G302" s="282">
        <f>IFERROR((Table3[[#This Row],[Calls Off]]-E295)/E295,0)</f>
        <v>9.5671981776765377E-2</v>
      </c>
      <c r="H302" s="282">
        <f>IFERROR((Table3[[#This Row],[Calls Ans]]-F295)/F295,0)</f>
        <v>0.19437340153452684</v>
      </c>
      <c r="I302" s="269">
        <f>Table3[[#This Row],[Calls Off]]+I299</f>
        <v>7953</v>
      </c>
      <c r="J302" s="269">
        <f>Table3[[#This Row],[Calls Ans]]+J299</f>
        <v>6813</v>
      </c>
      <c r="K302" s="269">
        <f>K299+Table3[[#This Row],[Calls Off]]</f>
        <v>134474</v>
      </c>
      <c r="L302" s="269">
        <f>L299+Table3[[#This Row],[Calls Ans]]</f>
        <v>106560</v>
      </c>
      <c r="M302" s="127">
        <v>0.91</v>
      </c>
      <c r="N302" s="127">
        <v>0.03</v>
      </c>
      <c r="O302" s="127">
        <v>0.97</v>
      </c>
      <c r="P302" s="127">
        <v>0.54</v>
      </c>
      <c r="Q302" s="283">
        <v>0.97</v>
      </c>
      <c r="R302" s="300">
        <v>152</v>
      </c>
      <c r="S302" s="284">
        <v>0</v>
      </c>
      <c r="T302" s="286">
        <v>6</v>
      </c>
      <c r="U302" s="127" t="str">
        <f t="shared" si="20"/>
        <v>Normal</v>
      </c>
      <c r="V302" s="127" t="str">
        <f t="shared" si="21"/>
        <v>Normal</v>
      </c>
      <c r="W302" s="87">
        <f t="shared" si="22"/>
        <v>9.5671981776765377E-2</v>
      </c>
      <c r="X302" s="87">
        <f t="shared" si="23"/>
        <v>0.19437340153452684</v>
      </c>
      <c r="Y302" s="273"/>
      <c r="Z302" s="273"/>
      <c r="AA302" s="273"/>
      <c r="AB302" s="273"/>
      <c r="AC302" s="273"/>
      <c r="AD302" s="273"/>
      <c r="AE302" s="273"/>
      <c r="AF302" s="273"/>
      <c r="AG302" s="273"/>
      <c r="AH302" s="273"/>
      <c r="AI302" s="273"/>
      <c r="AJ302" s="273"/>
      <c r="AK302" s="273"/>
      <c r="AT302">
        <f>MINUTE(Table3[[#This Row],[AHT]])</f>
        <v>0</v>
      </c>
      <c r="AU302">
        <f>SECOND(Table3[[#This Row],[AHT]])</f>
        <v>0</v>
      </c>
      <c r="AX302">
        <v>152</v>
      </c>
    </row>
    <row r="303" spans="1:50">
      <c r="A303" s="287">
        <v>44953</v>
      </c>
      <c r="B303" s="315">
        <f>IF(YEAR(Table9[[#This Row],[Date]]) = 2022, WEEKNUM(Table9[[#This Row],[Date]])-13, WEEKNUM(Table9[[#This Row],[Date]])+40)</f>
        <v>44</v>
      </c>
      <c r="C303" s="255" t="s">
        <v>52</v>
      </c>
      <c r="D303" s="65" t="s">
        <v>59</v>
      </c>
      <c r="E303" s="269">
        <v>410</v>
      </c>
      <c r="F303" s="269">
        <v>396</v>
      </c>
      <c r="G303" s="282">
        <f>IFERROR((Table3[[#This Row],[Calls Off]]-E296)/E296,0)</f>
        <v>-0.17835671342685372</v>
      </c>
      <c r="H303" s="282">
        <f>IFERROR((Table3[[#This Row],[Calls Ans]]-F296)/F296,0)</f>
        <v>-0.10609480812641084</v>
      </c>
      <c r="I303" s="269">
        <f>Table3[[#This Row],[Calls Off]]+I302</f>
        <v>8363</v>
      </c>
      <c r="J303" s="269">
        <f>Table3[[#This Row],[Calls Ans]]+J302</f>
        <v>7209</v>
      </c>
      <c r="K303" s="269">
        <f>K302+Table3[[#This Row],[Calls Off]]</f>
        <v>134884</v>
      </c>
      <c r="L303" s="269">
        <f>L302+Table3[[#This Row],[Calls Ans]]</f>
        <v>106956</v>
      </c>
      <c r="M303" s="127">
        <v>0.9</v>
      </c>
      <c r="N303" s="127">
        <v>0.03</v>
      </c>
      <c r="O303" s="127">
        <v>0.97</v>
      </c>
      <c r="P303" s="127">
        <v>0.46</v>
      </c>
      <c r="Q303" s="283">
        <v>0.95</v>
      </c>
      <c r="R303" s="300">
        <v>172</v>
      </c>
      <c r="S303" s="284">
        <v>0</v>
      </c>
      <c r="T303" s="286">
        <v>6</v>
      </c>
      <c r="U303" s="127" t="str">
        <f t="shared" si="20"/>
        <v>Normal</v>
      </c>
      <c r="V303" s="127" t="str">
        <f t="shared" si="21"/>
        <v>Normal</v>
      </c>
      <c r="W303" s="87">
        <f t="shared" si="22"/>
        <v>-0.17835671342685372</v>
      </c>
      <c r="X303" s="87">
        <f t="shared" si="23"/>
        <v>-0.10609480812641084</v>
      </c>
      <c r="Y303" s="273"/>
      <c r="Z303" s="273"/>
      <c r="AA303" s="273"/>
      <c r="AB303" s="273"/>
      <c r="AC303" s="273"/>
      <c r="AD303" s="273"/>
      <c r="AE303" s="273"/>
      <c r="AF303" s="273"/>
      <c r="AG303" s="273"/>
      <c r="AH303" s="273"/>
      <c r="AI303" s="273"/>
      <c r="AJ303" s="273"/>
      <c r="AK303" s="273"/>
      <c r="AT303">
        <f>MINUTE(Table3[[#This Row],[AHT]])</f>
        <v>0</v>
      </c>
      <c r="AU303">
        <f>SECOND(Table3[[#This Row],[AHT]])</f>
        <v>0</v>
      </c>
      <c r="AX303">
        <v>172</v>
      </c>
    </row>
    <row r="304" spans="1:50">
      <c r="A304" s="287">
        <v>44954</v>
      </c>
      <c r="B304" s="315">
        <f>IF(YEAR(Table9[[#This Row],[Date]]) = 2022, WEEKNUM(Table9[[#This Row],[Date]])-13, WEEKNUM(Table9[[#This Row],[Date]])+40)</f>
        <v>44</v>
      </c>
      <c r="C304" s="255" t="s">
        <v>53</v>
      </c>
      <c r="D304" s="65" t="s">
        <v>59</v>
      </c>
      <c r="E304" s="269">
        <v>221</v>
      </c>
      <c r="F304" s="269">
        <v>208</v>
      </c>
      <c r="G304" s="282">
        <f>IFERROR((Table3[[#This Row],[Calls Off]]-E297)/E297,0)</f>
        <v>0</v>
      </c>
      <c r="H304" s="282">
        <f>IFERROR((Table3[[#This Row],[Calls Ans]]-F297)/F297,0)</f>
        <v>0</v>
      </c>
      <c r="I304" s="269">
        <f>Table3[[#This Row],[Calls Off]]+I303</f>
        <v>8584</v>
      </c>
      <c r="J304" s="269">
        <f>Table3[[#This Row],[Calls Ans]]+J303</f>
        <v>7417</v>
      </c>
      <c r="K304" s="269">
        <f>K303+Table3[[#This Row],[Calls Off]]</f>
        <v>135105</v>
      </c>
      <c r="L304" s="269">
        <f>L303+Table3[[#This Row],[Calls Ans]]</f>
        <v>107164</v>
      </c>
      <c r="M304" s="127">
        <v>0.84</v>
      </c>
      <c r="N304" s="127">
        <v>0.06</v>
      </c>
      <c r="O304" s="127">
        <v>0.94</v>
      </c>
      <c r="P304" s="127">
        <v>0.48</v>
      </c>
      <c r="Q304" s="283">
        <v>0.98</v>
      </c>
      <c r="R304" s="300">
        <v>161</v>
      </c>
      <c r="S304" s="284">
        <v>0</v>
      </c>
      <c r="T304" s="286">
        <v>3</v>
      </c>
      <c r="U304" s="127" t="str">
        <f t="shared" si="20"/>
        <v>Normal</v>
      </c>
      <c r="V304" s="127" t="str">
        <f t="shared" si="21"/>
        <v>Normal</v>
      </c>
      <c r="W304" s="87">
        <f t="shared" si="22"/>
        <v>0</v>
      </c>
      <c r="X304" s="87">
        <f t="shared" si="23"/>
        <v>0</v>
      </c>
      <c r="Y304" s="273"/>
      <c r="Z304" s="273"/>
      <c r="AA304" s="273"/>
      <c r="AB304" s="273"/>
      <c r="AC304" s="273"/>
      <c r="AD304" s="273"/>
      <c r="AE304" s="273"/>
      <c r="AF304" s="273"/>
      <c r="AG304" s="273"/>
      <c r="AH304" s="273"/>
      <c r="AI304" s="273"/>
      <c r="AJ304" s="273"/>
      <c r="AK304" s="273"/>
      <c r="AT304">
        <f>MINUTE(Table3[[#This Row],[AHT]])</f>
        <v>0</v>
      </c>
      <c r="AU304">
        <f>SECOND(Table3[[#This Row],[AHT]])</f>
        <v>0</v>
      </c>
      <c r="AX304">
        <v>161</v>
      </c>
    </row>
    <row r="305" spans="1:50">
      <c r="A305" s="287">
        <v>44955</v>
      </c>
      <c r="B305" s="315">
        <f>IF(YEAR(Table9[[#This Row],[Date]]) = 2022, WEEKNUM(Table9[[#This Row],[Date]])-13, WEEKNUM(Table9[[#This Row],[Date]])+40)</f>
        <v>45</v>
      </c>
      <c r="C305" s="255" t="s">
        <v>47</v>
      </c>
      <c r="D305" s="65" t="s">
        <v>59</v>
      </c>
      <c r="E305" s="269">
        <v>0</v>
      </c>
      <c r="F305" s="269">
        <v>0</v>
      </c>
      <c r="G305" s="282">
        <f>IFERROR((Table3[[#This Row],[Calls Off]]-E298)/E298,0)</f>
        <v>0</v>
      </c>
      <c r="H305" s="282">
        <f>IFERROR((Table3[[#This Row],[Calls Ans]]-F298)/F298,0)</f>
        <v>0</v>
      </c>
      <c r="I305" s="269">
        <v>0</v>
      </c>
      <c r="J305" s="269">
        <v>0</v>
      </c>
      <c r="K305" s="269">
        <v>0</v>
      </c>
      <c r="L305" s="269">
        <v>0</v>
      </c>
      <c r="M305" s="127">
        <v>0</v>
      </c>
      <c r="N305" s="127">
        <v>0</v>
      </c>
      <c r="O305" s="127">
        <v>0</v>
      </c>
      <c r="P305" s="127">
        <v>0</v>
      </c>
      <c r="Q305" s="283">
        <v>0</v>
      </c>
      <c r="R305" s="300">
        <v>0</v>
      </c>
      <c r="S305" s="284">
        <v>0</v>
      </c>
      <c r="T305" s="286">
        <v>0</v>
      </c>
      <c r="U305" s="127" t="str">
        <f t="shared" si="20"/>
        <v>Normal</v>
      </c>
      <c r="V305" s="127" t="str">
        <f t="shared" si="21"/>
        <v>Normal</v>
      </c>
      <c r="W305" s="87">
        <f t="shared" si="22"/>
        <v>0</v>
      </c>
      <c r="X305" s="87">
        <f t="shared" si="23"/>
        <v>0</v>
      </c>
      <c r="Y305" s="273"/>
      <c r="Z305" s="273"/>
      <c r="AA305" s="273"/>
      <c r="AB305" s="273"/>
      <c r="AC305" s="273"/>
      <c r="AD305" s="273"/>
      <c r="AE305" s="273"/>
      <c r="AF305" s="273"/>
      <c r="AG305" s="273"/>
      <c r="AH305" s="273"/>
      <c r="AI305" s="273"/>
      <c r="AJ305" s="273"/>
      <c r="AK305" s="273"/>
      <c r="AT305">
        <f>MINUTE(Table3[[#This Row],[AHT]])</f>
        <v>0</v>
      </c>
      <c r="AU305">
        <f>SECOND(Table3[[#This Row],[AHT]])</f>
        <v>0</v>
      </c>
      <c r="AX305">
        <v>0</v>
      </c>
    </row>
    <row r="306" spans="1:50">
      <c r="A306" s="287">
        <v>44956</v>
      </c>
      <c r="B306" s="315">
        <f>IF(YEAR(Table9[[#This Row],[Date]]) = 2022, WEEKNUM(Table9[[#This Row],[Date]])-13, WEEKNUM(Table9[[#This Row],[Date]])+40)</f>
        <v>45</v>
      </c>
      <c r="C306" s="255" t="s">
        <v>48</v>
      </c>
      <c r="D306" s="65" t="s">
        <v>59</v>
      </c>
      <c r="E306" s="269">
        <v>0</v>
      </c>
      <c r="F306" s="269">
        <v>0</v>
      </c>
      <c r="G306" s="282">
        <v>0</v>
      </c>
      <c r="H306" s="282">
        <v>0</v>
      </c>
      <c r="I306" s="269">
        <f>Table3[[#This Row],[Calls Off]]+I305</f>
        <v>0</v>
      </c>
      <c r="J306" s="269">
        <f>Table3[[#This Row],[Calls Ans]]+J305</f>
        <v>0</v>
      </c>
      <c r="K306" s="269">
        <f>K305+Table3[[#This Row],[Calls Off]]</f>
        <v>0</v>
      </c>
      <c r="L306" s="269">
        <f>L305+Table3[[#This Row],[Calls Ans]]</f>
        <v>0</v>
      </c>
      <c r="M306" s="127">
        <v>0</v>
      </c>
      <c r="N306" s="127">
        <v>0</v>
      </c>
      <c r="O306" s="127">
        <v>0</v>
      </c>
      <c r="P306" s="127">
        <v>0</v>
      </c>
      <c r="Q306" s="283">
        <v>0</v>
      </c>
      <c r="R306" s="300">
        <v>0</v>
      </c>
      <c r="S306" s="284">
        <v>0</v>
      </c>
      <c r="T306" s="286">
        <v>0</v>
      </c>
      <c r="U306" s="127" t="str">
        <f t="shared" si="20"/>
        <v>Normal</v>
      </c>
      <c r="V306" s="127" t="str">
        <f t="shared" si="21"/>
        <v>Normal</v>
      </c>
      <c r="W306" s="87">
        <f t="shared" si="22"/>
        <v>0</v>
      </c>
      <c r="X306" s="87">
        <f t="shared" si="23"/>
        <v>0</v>
      </c>
      <c r="Y306" s="273"/>
      <c r="Z306" s="273"/>
      <c r="AA306" s="273"/>
      <c r="AB306" s="273"/>
      <c r="AC306" s="273"/>
      <c r="AD306" s="273"/>
      <c r="AE306" s="273"/>
      <c r="AF306" s="273"/>
      <c r="AG306" s="273"/>
      <c r="AH306" s="273"/>
      <c r="AI306" s="273"/>
      <c r="AJ306" s="273"/>
      <c r="AK306" s="273"/>
      <c r="AT306">
        <f>MINUTE(Table3[[#This Row],[AHT]])</f>
        <v>0</v>
      </c>
      <c r="AU306">
        <f>SECOND(Table3[[#This Row],[AHT]])</f>
        <v>0</v>
      </c>
      <c r="AX306">
        <v>0</v>
      </c>
    </row>
    <row r="307" spans="1:50">
      <c r="A307" s="287">
        <v>44957</v>
      </c>
      <c r="B307" s="315">
        <f>IF(YEAR(Table9[[#This Row],[Date]]) = 2022, WEEKNUM(Table9[[#This Row],[Date]])-13, WEEKNUM(Table9[[#This Row],[Date]])+40)</f>
        <v>45</v>
      </c>
      <c r="C307" s="255" t="s">
        <v>49</v>
      </c>
      <c r="D307" s="65" t="s">
        <v>59</v>
      </c>
      <c r="E307" s="269">
        <v>0</v>
      </c>
      <c r="F307" s="269">
        <v>0</v>
      </c>
      <c r="G307" s="282">
        <v>0</v>
      </c>
      <c r="H307" s="282">
        <v>0</v>
      </c>
      <c r="I307" s="269">
        <v>0</v>
      </c>
      <c r="J307" s="269">
        <v>0</v>
      </c>
      <c r="K307" s="269">
        <v>0</v>
      </c>
      <c r="L307" s="269">
        <v>0</v>
      </c>
      <c r="M307" s="127">
        <v>0</v>
      </c>
      <c r="N307" s="127">
        <v>0</v>
      </c>
      <c r="O307" s="127">
        <v>0</v>
      </c>
      <c r="P307" s="127">
        <v>0</v>
      </c>
      <c r="Q307" s="283">
        <v>0</v>
      </c>
      <c r="R307" s="300">
        <v>0</v>
      </c>
      <c r="S307" s="284">
        <v>0</v>
      </c>
      <c r="T307" s="286">
        <v>0</v>
      </c>
      <c r="U307" s="127" t="str">
        <f t="shared" si="20"/>
        <v>Normal</v>
      </c>
      <c r="V307" s="127" t="str">
        <f t="shared" si="21"/>
        <v>Normal</v>
      </c>
      <c r="W307" s="87">
        <f t="shared" si="22"/>
        <v>0</v>
      </c>
      <c r="X307" s="87">
        <f t="shared" si="23"/>
        <v>0</v>
      </c>
      <c r="Y307" s="273"/>
      <c r="Z307" s="273"/>
      <c r="AA307" s="273"/>
      <c r="AB307" s="273"/>
      <c r="AC307" s="273"/>
      <c r="AD307" s="273"/>
      <c r="AE307" s="273"/>
      <c r="AF307" s="273"/>
      <c r="AG307" s="273"/>
      <c r="AH307" s="273"/>
      <c r="AI307" s="273"/>
      <c r="AJ307" s="273"/>
      <c r="AK307" s="273"/>
      <c r="AT307">
        <f>MINUTE(Table3[[#This Row],[AHT]])</f>
        <v>0</v>
      </c>
      <c r="AU307">
        <f>SECOND(Table3[[#This Row],[AHT]])</f>
        <v>0</v>
      </c>
      <c r="AX307">
        <v>0</v>
      </c>
    </row>
    <row r="308" spans="1:50">
      <c r="A308" s="287">
        <v>44958</v>
      </c>
      <c r="B308" s="315">
        <f>IF(YEAR(Table9[[#This Row],[Date]]) = 2022, WEEKNUM(Table9[[#This Row],[Date]])-13, WEEKNUM(Table9[[#This Row],[Date]])+40)</f>
        <v>45</v>
      </c>
      <c r="C308" s="255" t="s">
        <v>50</v>
      </c>
      <c r="D308" s="65" t="s">
        <v>59</v>
      </c>
      <c r="E308" s="269">
        <v>0</v>
      </c>
      <c r="F308" s="269">
        <v>0</v>
      </c>
      <c r="G308" s="282">
        <v>0</v>
      </c>
      <c r="H308" s="282">
        <v>0</v>
      </c>
      <c r="I308" s="269">
        <v>0</v>
      </c>
      <c r="J308" s="269">
        <v>0</v>
      </c>
      <c r="K308" s="269">
        <v>0</v>
      </c>
      <c r="L308" s="269">
        <v>0</v>
      </c>
      <c r="M308" s="127">
        <v>0</v>
      </c>
      <c r="N308" s="127">
        <v>0</v>
      </c>
      <c r="O308" s="127">
        <v>0</v>
      </c>
      <c r="P308" s="127">
        <v>0</v>
      </c>
      <c r="Q308" s="283">
        <v>0</v>
      </c>
      <c r="R308" s="300">
        <v>0</v>
      </c>
      <c r="S308" s="284">
        <v>0</v>
      </c>
      <c r="T308" s="286">
        <v>0</v>
      </c>
      <c r="U308" s="127" t="str">
        <f t="shared" si="20"/>
        <v>Normal</v>
      </c>
      <c r="V308" s="127" t="str">
        <f t="shared" si="21"/>
        <v>Normal</v>
      </c>
      <c r="W308" s="87">
        <f t="shared" si="22"/>
        <v>0</v>
      </c>
      <c r="X308" s="87">
        <f t="shared" si="23"/>
        <v>0</v>
      </c>
      <c r="Y308" s="273"/>
      <c r="Z308" s="273"/>
      <c r="AA308" s="273"/>
      <c r="AB308" s="273"/>
      <c r="AC308" s="273"/>
      <c r="AD308" s="273"/>
      <c r="AE308" s="273"/>
      <c r="AF308" s="273"/>
      <c r="AG308" s="273"/>
      <c r="AH308" s="273"/>
      <c r="AI308" s="273"/>
      <c r="AJ308" s="273"/>
      <c r="AK308" s="273"/>
      <c r="AT308">
        <f>MINUTE(Table3[[#This Row],[AHT]])</f>
        <v>0</v>
      </c>
      <c r="AU308">
        <f>SECOND(Table3[[#This Row],[AHT]])</f>
        <v>0</v>
      </c>
      <c r="AX308">
        <v>0</v>
      </c>
    </row>
    <row r="309" spans="1:50">
      <c r="A309" s="287">
        <v>44959</v>
      </c>
      <c r="B309" s="315">
        <f>IF(YEAR(Table9[[#This Row],[Date]]) = 2022, WEEKNUM(Table9[[#This Row],[Date]])-13, WEEKNUM(Table9[[#This Row],[Date]])+40)</f>
        <v>45</v>
      </c>
      <c r="C309" s="255" t="s">
        <v>51</v>
      </c>
      <c r="D309" s="65" t="s">
        <v>59</v>
      </c>
      <c r="E309" s="269">
        <v>0</v>
      </c>
      <c r="F309" s="269">
        <v>0</v>
      </c>
      <c r="G309" s="282">
        <v>0</v>
      </c>
      <c r="H309" s="282">
        <v>0</v>
      </c>
      <c r="I309" s="269">
        <f>Table3[[#This Row],[Calls Off]]+I308</f>
        <v>0</v>
      </c>
      <c r="J309" s="269">
        <f>Table3[[#This Row],[Calls Ans]]+J308</f>
        <v>0</v>
      </c>
      <c r="K309" s="269">
        <f>K308+Table3[[#This Row],[Calls Off]]</f>
        <v>0</v>
      </c>
      <c r="L309" s="269">
        <f>L308+Table3[[#This Row],[Calls Ans]]</f>
        <v>0</v>
      </c>
      <c r="M309" s="127">
        <v>0</v>
      </c>
      <c r="N309" s="127">
        <v>0</v>
      </c>
      <c r="O309" s="127">
        <v>0</v>
      </c>
      <c r="P309" s="127">
        <v>0</v>
      </c>
      <c r="Q309" s="283">
        <v>0</v>
      </c>
      <c r="R309" s="300">
        <v>0</v>
      </c>
      <c r="S309" s="284">
        <v>0</v>
      </c>
      <c r="T309" s="286">
        <v>0</v>
      </c>
      <c r="U309" s="127" t="str">
        <f t="shared" si="20"/>
        <v>Normal</v>
      </c>
      <c r="V309" s="127" t="str">
        <f t="shared" si="21"/>
        <v>Normal</v>
      </c>
      <c r="W309" s="87">
        <f t="shared" si="22"/>
        <v>0</v>
      </c>
      <c r="X309" s="87">
        <f t="shared" si="23"/>
        <v>0</v>
      </c>
      <c r="Y309" s="273"/>
      <c r="Z309" s="273"/>
      <c r="AA309" s="273"/>
      <c r="AB309" s="273"/>
      <c r="AC309" s="273"/>
      <c r="AD309" s="273"/>
      <c r="AE309" s="273"/>
      <c r="AF309" s="273"/>
      <c r="AG309" s="273"/>
      <c r="AH309" s="273"/>
      <c r="AI309" s="273"/>
      <c r="AJ309" s="273"/>
      <c r="AK309" s="273"/>
      <c r="AT309">
        <f>MINUTE(Table3[[#This Row],[AHT]])</f>
        <v>0</v>
      </c>
      <c r="AU309">
        <f>SECOND(Table3[[#This Row],[AHT]])</f>
        <v>0</v>
      </c>
      <c r="AX309">
        <v>0</v>
      </c>
    </row>
    <row r="310" spans="1:50">
      <c r="A310" s="287">
        <v>44960</v>
      </c>
      <c r="B310" s="315">
        <f>IF(YEAR(Table9[[#This Row],[Date]]) = 2022, WEEKNUM(Table9[[#This Row],[Date]])-13, WEEKNUM(Table9[[#This Row],[Date]])+40)</f>
        <v>45</v>
      </c>
      <c r="C310" s="255" t="s">
        <v>52</v>
      </c>
      <c r="D310" s="65" t="s">
        <v>59</v>
      </c>
      <c r="E310" s="269">
        <v>0</v>
      </c>
      <c r="F310" s="269">
        <v>0</v>
      </c>
      <c r="G310" s="282">
        <v>0</v>
      </c>
      <c r="H310" s="282">
        <v>0</v>
      </c>
      <c r="I310" s="269">
        <v>0</v>
      </c>
      <c r="J310" s="269">
        <v>0</v>
      </c>
      <c r="K310" s="269">
        <v>0</v>
      </c>
      <c r="L310" s="269">
        <v>0</v>
      </c>
      <c r="M310" s="127">
        <v>0</v>
      </c>
      <c r="N310" s="127">
        <v>0</v>
      </c>
      <c r="O310" s="127">
        <v>0</v>
      </c>
      <c r="P310" s="127">
        <v>0</v>
      </c>
      <c r="Q310" s="283">
        <v>0</v>
      </c>
      <c r="R310" s="300">
        <v>0</v>
      </c>
      <c r="S310" s="284">
        <v>0</v>
      </c>
      <c r="T310" s="286">
        <v>0</v>
      </c>
      <c r="U310" s="127" t="str">
        <f t="shared" si="20"/>
        <v>Normal</v>
      </c>
      <c r="V310" s="127" t="str">
        <f t="shared" si="21"/>
        <v>Normal</v>
      </c>
      <c r="W310" s="87">
        <f t="shared" si="22"/>
        <v>0</v>
      </c>
      <c r="X310" s="87">
        <f t="shared" si="23"/>
        <v>0</v>
      </c>
      <c r="Y310" s="273"/>
      <c r="Z310" s="273"/>
      <c r="AA310" s="273"/>
      <c r="AB310" s="273"/>
      <c r="AC310" s="273"/>
      <c r="AD310" s="273"/>
      <c r="AE310" s="273"/>
      <c r="AF310" s="273"/>
      <c r="AG310" s="273"/>
      <c r="AH310" s="273"/>
      <c r="AI310" s="273"/>
      <c r="AJ310" s="273"/>
      <c r="AK310" s="273"/>
      <c r="AT310">
        <f>MINUTE(Table3[[#This Row],[AHT]])</f>
        <v>0</v>
      </c>
      <c r="AU310">
        <f>SECOND(Table3[[#This Row],[AHT]])</f>
        <v>0</v>
      </c>
      <c r="AX310">
        <v>0</v>
      </c>
    </row>
    <row r="311" spans="1:50">
      <c r="A311" s="287">
        <v>44961</v>
      </c>
      <c r="B311" s="315">
        <f>IF(YEAR(Table9[[#This Row],[Date]]) = 2022, WEEKNUM(Table9[[#This Row],[Date]])-13, WEEKNUM(Table9[[#This Row],[Date]])+40)</f>
        <v>45</v>
      </c>
      <c r="C311" s="255" t="s">
        <v>53</v>
      </c>
      <c r="D311" s="65" t="s">
        <v>59</v>
      </c>
      <c r="E311" s="269">
        <v>0</v>
      </c>
      <c r="F311" s="269">
        <v>0</v>
      </c>
      <c r="G311" s="282">
        <v>0</v>
      </c>
      <c r="H311" s="282">
        <v>0</v>
      </c>
      <c r="I311" s="269">
        <v>0</v>
      </c>
      <c r="J311" s="269">
        <v>0</v>
      </c>
      <c r="K311" s="269">
        <v>0</v>
      </c>
      <c r="L311" s="269">
        <v>0</v>
      </c>
      <c r="M311" s="127">
        <v>0</v>
      </c>
      <c r="N311" s="127">
        <v>0</v>
      </c>
      <c r="O311" s="127">
        <v>0</v>
      </c>
      <c r="P311" s="127">
        <v>0</v>
      </c>
      <c r="Q311" s="283">
        <v>0</v>
      </c>
      <c r="R311" s="300">
        <v>0</v>
      </c>
      <c r="S311" s="284">
        <v>0</v>
      </c>
      <c r="T311" s="286">
        <v>0</v>
      </c>
      <c r="U311" s="127" t="str">
        <f t="shared" si="20"/>
        <v>Normal</v>
      </c>
      <c r="V311" s="127" t="str">
        <f t="shared" si="21"/>
        <v>Normal</v>
      </c>
      <c r="W311" s="87">
        <f t="shared" si="22"/>
        <v>0</v>
      </c>
      <c r="X311" s="87">
        <f t="shared" si="23"/>
        <v>0</v>
      </c>
      <c r="Y311" s="273"/>
      <c r="Z311" s="273"/>
      <c r="AA311" s="273"/>
      <c r="AB311" s="273"/>
      <c r="AC311" s="273"/>
      <c r="AD311" s="273"/>
      <c r="AE311" s="273"/>
      <c r="AF311" s="273"/>
      <c r="AG311" s="273"/>
      <c r="AH311" s="273"/>
      <c r="AI311" s="273"/>
      <c r="AJ311" s="273"/>
      <c r="AK311" s="273"/>
      <c r="AT311">
        <f>MINUTE(Table3[[#This Row],[AHT]])</f>
        <v>0</v>
      </c>
      <c r="AU311">
        <f>SECOND(Table3[[#This Row],[AHT]])</f>
        <v>0</v>
      </c>
      <c r="AX311">
        <v>0</v>
      </c>
    </row>
    <row r="312" spans="1:50">
      <c r="A312" s="287">
        <v>44962</v>
      </c>
      <c r="B312" s="315">
        <f>IF(YEAR(Table9[[#This Row],[Date]]) = 2022, WEEKNUM(Table9[[#This Row],[Date]])-13, WEEKNUM(Table9[[#This Row],[Date]])+40)</f>
        <v>46</v>
      </c>
      <c r="C312" s="255" t="s">
        <v>47</v>
      </c>
      <c r="D312" s="65" t="s">
        <v>59</v>
      </c>
      <c r="E312" s="269">
        <v>0</v>
      </c>
      <c r="F312" s="269">
        <v>0</v>
      </c>
      <c r="G312" s="282">
        <v>0</v>
      </c>
      <c r="H312" s="282">
        <v>0</v>
      </c>
      <c r="I312" s="269">
        <f>Table3[[#This Row],[Calls Off]]+I311</f>
        <v>0</v>
      </c>
      <c r="J312" s="269">
        <f>Table3[[#This Row],[Calls Ans]]+J311</f>
        <v>0</v>
      </c>
      <c r="K312" s="269">
        <f>K311+Table3[[#This Row],[Calls Off]]</f>
        <v>0</v>
      </c>
      <c r="L312" s="269">
        <f>L311+Table3[[#This Row],[Calls Ans]]</f>
        <v>0</v>
      </c>
      <c r="M312" s="127">
        <v>0</v>
      </c>
      <c r="N312" s="127">
        <v>0</v>
      </c>
      <c r="O312" s="127">
        <v>0</v>
      </c>
      <c r="P312" s="127">
        <v>0</v>
      </c>
      <c r="Q312" s="283">
        <v>0</v>
      </c>
      <c r="R312" s="300">
        <v>0</v>
      </c>
      <c r="S312" s="284">
        <v>0</v>
      </c>
      <c r="T312" s="286">
        <v>0</v>
      </c>
      <c r="U312" s="127" t="str">
        <f t="shared" si="20"/>
        <v>Normal</v>
      </c>
      <c r="V312" s="127" t="str">
        <f t="shared" si="21"/>
        <v>Normal</v>
      </c>
      <c r="W312" s="87">
        <f t="shared" si="22"/>
        <v>0</v>
      </c>
      <c r="X312" s="87">
        <f t="shared" si="23"/>
        <v>0</v>
      </c>
      <c r="Y312" s="273"/>
      <c r="Z312" s="273"/>
      <c r="AA312" s="273"/>
      <c r="AB312" s="273"/>
      <c r="AC312" s="273"/>
      <c r="AD312" s="273"/>
      <c r="AE312" s="273"/>
      <c r="AF312" s="273"/>
      <c r="AG312" s="273"/>
      <c r="AH312" s="273"/>
      <c r="AI312" s="273"/>
      <c r="AJ312" s="273"/>
      <c r="AK312" s="273"/>
      <c r="AT312">
        <f>MINUTE(Table3[[#This Row],[AHT]])</f>
        <v>0</v>
      </c>
      <c r="AU312">
        <f>SECOND(Table3[[#This Row],[AHT]])</f>
        <v>0</v>
      </c>
      <c r="AX312">
        <v>0</v>
      </c>
    </row>
    <row r="313" spans="1:50">
      <c r="A313" s="287">
        <v>44963</v>
      </c>
      <c r="B313" s="315">
        <f>IF(YEAR(Table9[[#This Row],[Date]]) = 2022, WEEKNUM(Table9[[#This Row],[Date]])-13, WEEKNUM(Table9[[#This Row],[Date]])+40)</f>
        <v>46</v>
      </c>
      <c r="C313" s="255" t="s">
        <v>48</v>
      </c>
      <c r="D313" s="65" t="s">
        <v>59</v>
      </c>
      <c r="E313" s="269">
        <v>0</v>
      </c>
      <c r="F313" s="269">
        <v>0</v>
      </c>
      <c r="G313" s="282">
        <v>0</v>
      </c>
      <c r="H313" s="282">
        <v>0</v>
      </c>
      <c r="I313" s="269">
        <v>0</v>
      </c>
      <c r="J313" s="269">
        <v>0</v>
      </c>
      <c r="K313" s="269">
        <v>0</v>
      </c>
      <c r="L313" s="269">
        <v>0</v>
      </c>
      <c r="M313" s="127">
        <v>0</v>
      </c>
      <c r="N313" s="127">
        <v>0</v>
      </c>
      <c r="O313" s="127">
        <v>0</v>
      </c>
      <c r="P313" s="127">
        <v>0</v>
      </c>
      <c r="Q313" s="283">
        <v>0</v>
      </c>
      <c r="R313" s="300">
        <v>0</v>
      </c>
      <c r="S313" s="284">
        <v>0</v>
      </c>
      <c r="T313" s="286">
        <v>0</v>
      </c>
      <c r="U313" s="127" t="str">
        <f t="shared" si="20"/>
        <v>Normal</v>
      </c>
      <c r="V313" s="127" t="str">
        <f t="shared" si="21"/>
        <v>Normal</v>
      </c>
      <c r="W313" s="87">
        <f t="shared" si="22"/>
        <v>0</v>
      </c>
      <c r="X313" s="87">
        <f t="shared" si="23"/>
        <v>0</v>
      </c>
      <c r="Y313" s="273"/>
      <c r="Z313" s="273"/>
      <c r="AA313" s="273"/>
      <c r="AB313" s="273"/>
      <c r="AC313" s="273"/>
      <c r="AD313" s="273"/>
      <c r="AE313" s="273"/>
      <c r="AF313" s="273"/>
      <c r="AG313" s="273"/>
      <c r="AH313" s="273"/>
      <c r="AI313" s="273"/>
      <c r="AJ313" s="273"/>
      <c r="AK313" s="273"/>
      <c r="AT313">
        <f>MINUTE(Table3[[#This Row],[AHT]])</f>
        <v>0</v>
      </c>
      <c r="AU313">
        <f>SECOND(Table3[[#This Row],[AHT]])</f>
        <v>0</v>
      </c>
      <c r="AX313">
        <v>0</v>
      </c>
    </row>
    <row r="314" spans="1:50">
      <c r="A314" s="287">
        <v>44964</v>
      </c>
      <c r="B314" s="315">
        <f>IF(YEAR(Table9[[#This Row],[Date]]) = 2022, WEEKNUM(Table9[[#This Row],[Date]])-13, WEEKNUM(Table9[[#This Row],[Date]])+40)</f>
        <v>46</v>
      </c>
      <c r="C314" s="255" t="s">
        <v>49</v>
      </c>
      <c r="D314" s="65" t="s">
        <v>59</v>
      </c>
      <c r="E314" s="269">
        <v>0</v>
      </c>
      <c r="F314" s="269">
        <v>0</v>
      </c>
      <c r="G314" s="282">
        <v>0</v>
      </c>
      <c r="H314" s="282">
        <v>0</v>
      </c>
      <c r="I314" s="269">
        <v>0</v>
      </c>
      <c r="J314" s="269">
        <v>0</v>
      </c>
      <c r="K314" s="269">
        <v>0</v>
      </c>
      <c r="L314" s="269">
        <v>0</v>
      </c>
      <c r="M314" s="127">
        <v>0</v>
      </c>
      <c r="N314" s="127">
        <v>0</v>
      </c>
      <c r="O314" s="127">
        <v>0</v>
      </c>
      <c r="P314" s="127">
        <v>0</v>
      </c>
      <c r="Q314" s="283">
        <v>0</v>
      </c>
      <c r="R314" s="300">
        <v>0</v>
      </c>
      <c r="S314" s="284">
        <v>0</v>
      </c>
      <c r="T314" s="286">
        <v>0</v>
      </c>
      <c r="U314" s="127" t="str">
        <f t="shared" si="20"/>
        <v>Normal</v>
      </c>
      <c r="V314" s="127" t="str">
        <f t="shared" si="21"/>
        <v>Normal</v>
      </c>
      <c r="W314" s="87">
        <f t="shared" si="22"/>
        <v>0</v>
      </c>
      <c r="X314" s="87">
        <f t="shared" si="23"/>
        <v>0</v>
      </c>
      <c r="Y314" s="273"/>
      <c r="Z314" s="273"/>
      <c r="AA314" s="273"/>
      <c r="AB314" s="273"/>
      <c r="AC314" s="273"/>
      <c r="AD314" s="273"/>
      <c r="AE314" s="273"/>
      <c r="AF314" s="273"/>
      <c r="AG314" s="273"/>
      <c r="AH314" s="273"/>
      <c r="AI314" s="273"/>
      <c r="AJ314" s="273"/>
      <c r="AK314" s="273"/>
      <c r="AT314">
        <f>MINUTE(Table3[[#This Row],[AHT]])</f>
        <v>0</v>
      </c>
      <c r="AU314">
        <f>SECOND(Table3[[#This Row],[AHT]])</f>
        <v>0</v>
      </c>
      <c r="AX314">
        <v>0</v>
      </c>
    </row>
    <row r="315" spans="1:50">
      <c r="A315" s="287">
        <v>44965</v>
      </c>
      <c r="B315" s="315">
        <f>IF(YEAR(Table9[[#This Row],[Date]]) = 2022, WEEKNUM(Table9[[#This Row],[Date]])-13, WEEKNUM(Table9[[#This Row],[Date]])+40)</f>
        <v>46</v>
      </c>
      <c r="C315" s="255" t="s">
        <v>50</v>
      </c>
      <c r="D315" s="65" t="s">
        <v>59</v>
      </c>
      <c r="E315" s="269">
        <v>403</v>
      </c>
      <c r="F315" s="269">
        <v>342</v>
      </c>
      <c r="G315" s="282">
        <f>IFERROR((Table3[[#This Row],[Calls Off]]-E308)/E308,0)</f>
        <v>0</v>
      </c>
      <c r="H315" s="282">
        <f>IFERROR((Table3[[#This Row],[Calls Ans]]-F308)/F308,0)</f>
        <v>0</v>
      </c>
      <c r="I315" s="269">
        <f>Table3[[#This Row],[Calls Off]]</f>
        <v>403</v>
      </c>
      <c r="J315" s="269">
        <f>Table3[[#This Row],[Calls Ans]]</f>
        <v>342</v>
      </c>
      <c r="K315" s="269">
        <f>K304+Table3[[#This Row],[Calls Off]]</f>
        <v>135508</v>
      </c>
      <c r="L315" s="269">
        <f>L304+Table3[[#This Row],[Calls Ans]]</f>
        <v>107506</v>
      </c>
      <c r="M315" s="127">
        <v>0.64</v>
      </c>
      <c r="N315" s="127">
        <v>0.15</v>
      </c>
      <c r="O315" s="127">
        <v>0.85</v>
      </c>
      <c r="P315" s="127">
        <v>0.59</v>
      </c>
      <c r="Q315" s="283">
        <v>0.98</v>
      </c>
      <c r="R315" s="300">
        <v>193</v>
      </c>
      <c r="S315" s="301">
        <v>7.9861111111111105E-2</v>
      </c>
      <c r="T315" s="286">
        <v>4</v>
      </c>
      <c r="U315" s="127" t="str">
        <f t="shared" si="20"/>
        <v>Normal</v>
      </c>
      <c r="V315" s="127" t="str">
        <f t="shared" si="21"/>
        <v>Normal</v>
      </c>
      <c r="W315" s="87">
        <f t="shared" si="22"/>
        <v>0</v>
      </c>
      <c r="X315" s="87">
        <f t="shared" si="23"/>
        <v>0</v>
      </c>
      <c r="Y315" s="273"/>
      <c r="Z315" s="273"/>
      <c r="AA315" s="273"/>
      <c r="AB315" s="273"/>
      <c r="AC315" s="273"/>
      <c r="AD315" s="273"/>
      <c r="AE315" s="273"/>
      <c r="AF315" s="273"/>
      <c r="AG315" s="273"/>
      <c r="AH315" s="273"/>
      <c r="AI315" s="273"/>
      <c r="AJ315" s="273"/>
      <c r="AK315" s="273"/>
      <c r="AT315">
        <f>MINUTE(Table3[[#This Row],[AHT]])</f>
        <v>0</v>
      </c>
      <c r="AU315">
        <f>SECOND(Table3[[#This Row],[AHT]])</f>
        <v>0</v>
      </c>
      <c r="AX315">
        <v>193</v>
      </c>
    </row>
    <row r="316" spans="1:50">
      <c r="A316" s="287">
        <v>44966</v>
      </c>
      <c r="B316" s="315">
        <f>IF(YEAR(Table9[[#This Row],[Date]]) = 2022, WEEKNUM(Table9[[#This Row],[Date]])-13, WEEKNUM(Table9[[#This Row],[Date]])+40)</f>
        <v>46</v>
      </c>
      <c r="C316" s="255" t="s">
        <v>51</v>
      </c>
      <c r="D316" s="65" t="s">
        <v>59</v>
      </c>
      <c r="E316" s="269">
        <v>419</v>
      </c>
      <c r="F316" s="269">
        <v>289</v>
      </c>
      <c r="G316" s="282">
        <f>IFERROR((Table3[[#This Row],[Calls Off]]-E309)/E309,0)</f>
        <v>0</v>
      </c>
      <c r="H316" s="282">
        <f>IFERROR((Table3[[#This Row],[Calls Ans]]-F309)/F309,0)</f>
        <v>0</v>
      </c>
      <c r="I316" s="269">
        <f>Table3[[#This Row],[Calls Off]]+I315</f>
        <v>822</v>
      </c>
      <c r="J316" s="269">
        <f>Table3[[#This Row],[Calls Ans]]+J315</f>
        <v>631</v>
      </c>
      <c r="K316" s="269">
        <f>K315+Table3[[#This Row],[Calls Off]]</f>
        <v>135927</v>
      </c>
      <c r="L316" s="269">
        <f>L315+Table3[[#This Row],[Calls Ans]]</f>
        <v>107795</v>
      </c>
      <c r="M316" s="127">
        <v>0.38</v>
      </c>
      <c r="N316" s="127">
        <v>0.31</v>
      </c>
      <c r="O316" s="127">
        <v>0.69</v>
      </c>
      <c r="P316" s="127">
        <v>0.66</v>
      </c>
      <c r="Q316" s="283">
        <v>0.98</v>
      </c>
      <c r="R316" s="300">
        <v>185</v>
      </c>
      <c r="S316" s="301">
        <v>0.1875</v>
      </c>
      <c r="T316" s="286">
        <v>3</v>
      </c>
      <c r="U316" s="127" t="str">
        <f t="shared" si="20"/>
        <v>Normal</v>
      </c>
      <c r="V316" s="127" t="str">
        <f t="shared" si="21"/>
        <v>Normal</v>
      </c>
      <c r="W316" s="87">
        <f t="shared" si="22"/>
        <v>0</v>
      </c>
      <c r="X316" s="87">
        <f t="shared" si="23"/>
        <v>0</v>
      </c>
      <c r="Y316" s="273"/>
      <c r="Z316" s="273"/>
      <c r="AA316" s="273"/>
      <c r="AB316" s="273"/>
      <c r="AC316" s="273"/>
      <c r="AD316" s="273"/>
      <c r="AE316" s="273"/>
      <c r="AF316" s="273"/>
      <c r="AG316" s="273"/>
      <c r="AH316" s="273"/>
      <c r="AI316" s="273"/>
      <c r="AJ316" s="273"/>
      <c r="AK316" s="273"/>
      <c r="AT316">
        <f>MINUTE(Table3[[#This Row],[AHT]])</f>
        <v>0</v>
      </c>
      <c r="AU316">
        <f>SECOND(Table3[[#This Row],[AHT]])</f>
        <v>0</v>
      </c>
      <c r="AX316">
        <v>185</v>
      </c>
    </row>
    <row r="317" spans="1:50">
      <c r="A317" s="287">
        <v>44967</v>
      </c>
      <c r="B317" s="315">
        <f>IF(YEAR(Table9[[#This Row],[Date]]) = 2022, WEEKNUM(Table9[[#This Row],[Date]])-13, WEEKNUM(Table9[[#This Row],[Date]])+40)</f>
        <v>46</v>
      </c>
      <c r="C317" s="255" t="s">
        <v>52</v>
      </c>
      <c r="D317" s="65" t="s">
        <v>59</v>
      </c>
      <c r="E317" s="269">
        <v>417</v>
      </c>
      <c r="F317" s="269">
        <v>352</v>
      </c>
      <c r="G317" s="282">
        <f>IFERROR((Table3[[#This Row],[Calls Off]]-E310)/E310,0)</f>
        <v>0</v>
      </c>
      <c r="H317" s="282">
        <f>IFERROR((Table3[[#This Row],[Calls Ans]]-F310)/F310,0)</f>
        <v>0</v>
      </c>
      <c r="I317" s="269">
        <f>Table3[[#This Row],[Calls Off]]+I316</f>
        <v>1239</v>
      </c>
      <c r="J317" s="269">
        <f>Table3[[#This Row],[Calls Ans]]+J316</f>
        <v>983</v>
      </c>
      <c r="K317" s="269">
        <f>K316+Table3[[#This Row],[Calls Off]]</f>
        <v>136344</v>
      </c>
      <c r="L317" s="269">
        <f>L316+Table3[[#This Row],[Calls Ans]]</f>
        <v>108147</v>
      </c>
      <c r="M317" s="127">
        <v>0.64</v>
      </c>
      <c r="N317" s="127">
        <v>0.15</v>
      </c>
      <c r="O317" s="127">
        <v>0.85</v>
      </c>
      <c r="P317" s="127">
        <v>0.61</v>
      </c>
      <c r="Q317" s="283">
        <v>0.97</v>
      </c>
      <c r="R317" s="300">
        <v>157</v>
      </c>
      <c r="S317" s="301">
        <v>0.12847222222222224</v>
      </c>
      <c r="T317" s="286">
        <v>4</v>
      </c>
      <c r="U317" s="127" t="str">
        <f t="shared" si="20"/>
        <v>Normal</v>
      </c>
      <c r="V317" s="127" t="str">
        <f t="shared" si="21"/>
        <v>Normal</v>
      </c>
      <c r="W317" s="87">
        <f t="shared" si="22"/>
        <v>0</v>
      </c>
      <c r="X317" s="87">
        <f t="shared" si="23"/>
        <v>0</v>
      </c>
      <c r="Y317" s="273"/>
      <c r="Z317" s="273"/>
      <c r="AA317" s="273"/>
      <c r="AB317" s="273"/>
      <c r="AC317" s="273"/>
      <c r="AD317" s="273"/>
      <c r="AE317" s="273"/>
      <c r="AF317" s="273"/>
      <c r="AG317" s="273"/>
      <c r="AH317" s="273"/>
      <c r="AI317" s="273"/>
      <c r="AJ317" s="273"/>
      <c r="AK317" s="273"/>
      <c r="AT317">
        <f>MINUTE(Table3[[#This Row],[AHT]])</f>
        <v>0</v>
      </c>
      <c r="AU317">
        <f>SECOND(Table3[[#This Row],[AHT]])</f>
        <v>0</v>
      </c>
      <c r="AX317">
        <v>157</v>
      </c>
    </row>
    <row r="318" spans="1:50">
      <c r="A318" s="287">
        <v>44968</v>
      </c>
      <c r="B318" s="315">
        <f>IF(YEAR(Table9[[#This Row],[Date]]) = 2022, WEEKNUM(Table9[[#This Row],[Date]])-13, WEEKNUM(Table9[[#This Row],[Date]])+40)</f>
        <v>46</v>
      </c>
      <c r="C318" s="255" t="s">
        <v>53</v>
      </c>
      <c r="D318" s="65" t="s">
        <v>59</v>
      </c>
      <c r="E318" s="269">
        <v>251</v>
      </c>
      <c r="F318" s="269">
        <v>230</v>
      </c>
      <c r="G318" s="282">
        <f>IFERROR((Table3[[#This Row],[Calls Off]]-E311)/E311,0)</f>
        <v>0</v>
      </c>
      <c r="H318" s="282">
        <f>IFERROR((Table3[[#This Row],[Calls Ans]]-F311)/F311,0)</f>
        <v>0</v>
      </c>
      <c r="I318" s="269">
        <f>Table3[[#This Row],[Calls Off]]+I317</f>
        <v>1490</v>
      </c>
      <c r="J318" s="269">
        <f>Table3[[#This Row],[Calls Ans]]+J317</f>
        <v>1213</v>
      </c>
      <c r="K318" s="269">
        <f>K317+Table3[[#This Row],[Calls Off]]</f>
        <v>136595</v>
      </c>
      <c r="L318" s="269">
        <f>L317+Table3[[#This Row],[Calls Ans]]</f>
        <v>108377</v>
      </c>
      <c r="M318" s="127">
        <v>0.78</v>
      </c>
      <c r="N318" s="127">
        <v>0.08</v>
      </c>
      <c r="O318" s="127">
        <v>0.92</v>
      </c>
      <c r="P318" s="127">
        <v>0.53</v>
      </c>
      <c r="Q318" s="283">
        <v>0.97</v>
      </c>
      <c r="R318" s="300">
        <v>164</v>
      </c>
      <c r="S318" s="301">
        <v>4.9305555555555554E-2</v>
      </c>
      <c r="T318" s="286">
        <v>3</v>
      </c>
      <c r="U318" s="127" t="str">
        <f t="shared" si="20"/>
        <v>Normal</v>
      </c>
      <c r="V318" s="127" t="str">
        <f t="shared" si="21"/>
        <v>Normal</v>
      </c>
      <c r="W318" s="87">
        <f t="shared" si="22"/>
        <v>0</v>
      </c>
      <c r="X318" s="87">
        <f t="shared" si="23"/>
        <v>0</v>
      </c>
      <c r="Y318" s="273"/>
      <c r="Z318" s="273"/>
      <c r="AA318" s="273"/>
      <c r="AB318" s="273"/>
      <c r="AC318" s="273"/>
      <c r="AD318" s="273"/>
      <c r="AE318" s="273"/>
      <c r="AF318" s="273"/>
      <c r="AG318" s="273"/>
      <c r="AH318" s="273"/>
      <c r="AI318" s="273"/>
      <c r="AJ318" s="273"/>
      <c r="AK318" s="273"/>
      <c r="AT318">
        <f>MINUTE(Table3[[#This Row],[AHT]])</f>
        <v>0</v>
      </c>
      <c r="AU318">
        <f>SECOND(Table3[[#This Row],[AHT]])</f>
        <v>0</v>
      </c>
      <c r="AX318">
        <v>164</v>
      </c>
    </row>
    <row r="319" spans="1:50">
      <c r="A319" s="287">
        <v>44969</v>
      </c>
      <c r="B319" s="315">
        <f>IF(YEAR(Table9[[#This Row],[Date]]) = 2022, WEEKNUM(Table9[[#This Row],[Date]])-13, WEEKNUM(Table9[[#This Row],[Date]])+40)</f>
        <v>47</v>
      </c>
      <c r="C319" s="255" t="s">
        <v>47</v>
      </c>
      <c r="D319" s="65" t="s">
        <v>59</v>
      </c>
      <c r="E319" s="269">
        <v>0</v>
      </c>
      <c r="F319" s="269">
        <v>0</v>
      </c>
      <c r="G319" s="282">
        <v>0</v>
      </c>
      <c r="H319" s="282">
        <v>0</v>
      </c>
      <c r="I319" s="269">
        <v>0</v>
      </c>
      <c r="J319" s="269">
        <v>0</v>
      </c>
      <c r="K319" s="269">
        <v>0</v>
      </c>
      <c r="L319" s="269">
        <v>0</v>
      </c>
      <c r="M319" s="127">
        <v>0</v>
      </c>
      <c r="N319" s="127">
        <v>0</v>
      </c>
      <c r="O319" s="127">
        <v>0</v>
      </c>
      <c r="P319" s="127">
        <v>0</v>
      </c>
      <c r="Q319" s="283">
        <v>0</v>
      </c>
      <c r="R319" s="300">
        <v>0</v>
      </c>
      <c r="S319" s="301">
        <v>0</v>
      </c>
      <c r="T319" s="286">
        <v>0</v>
      </c>
      <c r="U319" s="127" t="str">
        <f t="shared" si="20"/>
        <v>Normal</v>
      </c>
      <c r="V319" s="127" t="str">
        <f t="shared" si="21"/>
        <v>Normal</v>
      </c>
      <c r="W319" s="87">
        <f t="shared" si="22"/>
        <v>0</v>
      </c>
      <c r="X319" s="87">
        <f t="shared" si="23"/>
        <v>0</v>
      </c>
      <c r="Y319" s="273"/>
      <c r="Z319" s="273"/>
      <c r="AA319" s="273"/>
      <c r="AB319" s="273"/>
      <c r="AC319" s="273"/>
      <c r="AD319" s="273"/>
      <c r="AE319" s="273"/>
      <c r="AF319" s="273"/>
      <c r="AG319" s="273"/>
      <c r="AH319" s="273"/>
      <c r="AI319" s="273"/>
      <c r="AJ319" s="273"/>
      <c r="AK319" s="273"/>
      <c r="AT319">
        <f>MINUTE(Table3[[#This Row],[AHT]])</f>
        <v>0</v>
      </c>
      <c r="AU319">
        <f>SECOND(Table3[[#This Row],[AHT]])</f>
        <v>0</v>
      </c>
      <c r="AX319">
        <v>0</v>
      </c>
    </row>
    <row r="320" spans="1:50">
      <c r="A320" s="287">
        <v>44970</v>
      </c>
      <c r="B320" s="315">
        <f>IF(YEAR(Table9[[#This Row],[Date]]) = 2022, WEEKNUM(Table9[[#This Row],[Date]])-13, WEEKNUM(Table9[[#This Row],[Date]])+40)</f>
        <v>47</v>
      </c>
      <c r="C320" s="255" t="s">
        <v>48</v>
      </c>
      <c r="D320" s="65" t="s">
        <v>59</v>
      </c>
      <c r="E320" s="269">
        <v>528</v>
      </c>
      <c r="F320" s="269">
        <v>368</v>
      </c>
      <c r="G320" s="282">
        <f>IFERROR((Table3[[#This Row],[Calls Off]]-E313)/E313,0)</f>
        <v>0</v>
      </c>
      <c r="H320" s="282">
        <f>IFERROR((Table3[[#This Row],[Calls Ans]]-F313)/F313,0)</f>
        <v>0</v>
      </c>
      <c r="I320" s="269">
        <f>Table3[[#This Row],[Calls Off]]+I318</f>
        <v>2018</v>
      </c>
      <c r="J320" s="269">
        <f>Table3[[#This Row],[Calls Ans]]+J318</f>
        <v>1581</v>
      </c>
      <c r="K320" s="269">
        <f>K318+Table3[[#This Row],[Calls Off]]</f>
        <v>137123</v>
      </c>
      <c r="L320" s="269">
        <f>L318+Table3[[#This Row],[Calls Ans]]</f>
        <v>108745</v>
      </c>
      <c r="M320" s="127">
        <v>0.36</v>
      </c>
      <c r="N320" s="127">
        <v>0.3</v>
      </c>
      <c r="O320" s="127">
        <v>0.7</v>
      </c>
      <c r="P320" s="127">
        <v>0.84</v>
      </c>
      <c r="Q320" s="283">
        <v>0.97</v>
      </c>
      <c r="R320" s="300">
        <v>193</v>
      </c>
      <c r="S320" s="301">
        <v>0.20416666666666669</v>
      </c>
      <c r="T320" s="286">
        <v>4</v>
      </c>
      <c r="U320" s="127" t="str">
        <f t="shared" si="20"/>
        <v>Normal</v>
      </c>
      <c r="V320" s="127" t="str">
        <f t="shared" si="21"/>
        <v>Normal</v>
      </c>
      <c r="W320" s="87">
        <f t="shared" si="22"/>
        <v>0</v>
      </c>
      <c r="X320" s="87">
        <f t="shared" si="23"/>
        <v>0</v>
      </c>
      <c r="Y320" s="273"/>
      <c r="Z320" s="273"/>
      <c r="AA320" s="273"/>
      <c r="AB320" s="273"/>
      <c r="AC320" s="273"/>
      <c r="AD320" s="273"/>
      <c r="AE320" s="273"/>
      <c r="AF320" s="273"/>
      <c r="AG320" s="273"/>
      <c r="AH320" s="273"/>
      <c r="AI320" s="273"/>
      <c r="AJ320" s="273"/>
      <c r="AK320" s="273"/>
      <c r="AT320">
        <f>MINUTE(Table3[[#This Row],[AHT]])</f>
        <v>0</v>
      </c>
      <c r="AU320">
        <f>SECOND(Table3[[#This Row],[AHT]])</f>
        <v>0</v>
      </c>
      <c r="AX320">
        <v>193</v>
      </c>
    </row>
    <row r="321" spans="1:50">
      <c r="A321" s="287">
        <v>44971</v>
      </c>
      <c r="B321" s="315">
        <f>IF(YEAR(Table9[[#This Row],[Date]]) = 2022, WEEKNUM(Table9[[#This Row],[Date]])-13, WEEKNUM(Table9[[#This Row],[Date]])+40)</f>
        <v>47</v>
      </c>
      <c r="C321" s="255" t="s">
        <v>49</v>
      </c>
      <c r="D321" s="65" t="s">
        <v>59</v>
      </c>
      <c r="E321" s="269">
        <v>365</v>
      </c>
      <c r="F321" s="269">
        <v>328</v>
      </c>
      <c r="G321" s="282">
        <v>0</v>
      </c>
      <c r="H321" s="282">
        <v>0</v>
      </c>
      <c r="I321" s="269">
        <f>Table3[[#This Row],[Calls Off]]+I320</f>
        <v>2383</v>
      </c>
      <c r="J321" s="269">
        <f>Table3[[#This Row],[Calls Ans]]+J320</f>
        <v>1909</v>
      </c>
      <c r="K321" s="269">
        <f>K320+Table3[[#This Row],[Calls Off]]</f>
        <v>137488</v>
      </c>
      <c r="L321" s="269">
        <f>L320+Table3[[#This Row],[Calls Ans]]</f>
        <v>109073</v>
      </c>
      <c r="M321" s="127">
        <v>0.68</v>
      </c>
      <c r="N321" s="127">
        <v>0.1</v>
      </c>
      <c r="O321" s="127">
        <v>0.9</v>
      </c>
      <c r="P321" s="127">
        <v>0.56999999999999995</v>
      </c>
      <c r="Q321" s="283">
        <v>0.96</v>
      </c>
      <c r="R321" s="300">
        <v>200</v>
      </c>
      <c r="S321" s="301">
        <v>9.8611111111111108E-2</v>
      </c>
      <c r="T321" s="286">
        <v>4</v>
      </c>
      <c r="U321" s="127" t="str">
        <f t="shared" si="20"/>
        <v>Normal</v>
      </c>
      <c r="V321" s="127" t="str">
        <f t="shared" si="21"/>
        <v>Normal</v>
      </c>
      <c r="W321" s="87">
        <f t="shared" si="22"/>
        <v>0</v>
      </c>
      <c r="X321" s="87">
        <f t="shared" si="23"/>
        <v>0</v>
      </c>
      <c r="Y321" s="273"/>
      <c r="Z321" s="273"/>
      <c r="AA321" s="273"/>
      <c r="AB321" s="273"/>
      <c r="AC321" s="273"/>
      <c r="AD321" s="273"/>
      <c r="AE321" s="273"/>
      <c r="AF321" s="273"/>
      <c r="AG321" s="273"/>
      <c r="AH321" s="273"/>
      <c r="AI321" s="273"/>
      <c r="AJ321" s="273"/>
      <c r="AK321" s="273"/>
      <c r="AT321">
        <f>MINUTE(Table3[[#This Row],[AHT]])</f>
        <v>0</v>
      </c>
      <c r="AU321">
        <f>SECOND(Table3[[#This Row],[AHT]])</f>
        <v>0</v>
      </c>
      <c r="AX321">
        <v>200</v>
      </c>
    </row>
    <row r="322" spans="1:50">
      <c r="A322" s="287">
        <v>44972</v>
      </c>
      <c r="B322" s="315">
        <f>IF(YEAR(Table9[[#This Row],[Date]]) = 2022, WEEKNUM(Table9[[#This Row],[Date]])-13, WEEKNUM(Table9[[#This Row],[Date]])+40)</f>
        <v>47</v>
      </c>
      <c r="C322" s="255" t="s">
        <v>50</v>
      </c>
      <c r="D322" s="65" t="s">
        <v>59</v>
      </c>
      <c r="E322" s="269">
        <v>381</v>
      </c>
      <c r="F322" s="269">
        <v>355</v>
      </c>
      <c r="G322" s="282">
        <f>IFERROR((Table3[[#This Row],[Calls Off]]-E315)/E315,0)</f>
        <v>-5.4590570719602979E-2</v>
      </c>
      <c r="H322" s="282">
        <f>IFERROR((Table3[[#This Row],[Calls Ans]]-F315)/F315,0)</f>
        <v>3.8011695906432746E-2</v>
      </c>
      <c r="I322" s="269">
        <f>Table3[[#This Row],[Calls Off]]+I311</f>
        <v>381</v>
      </c>
      <c r="J322" s="269">
        <f>Table3[[#This Row],[Calls Ans]]+J311</f>
        <v>355</v>
      </c>
      <c r="K322" s="269">
        <f>K321+Table3[[#This Row],[Calls Off]]</f>
        <v>137869</v>
      </c>
      <c r="L322" s="269">
        <f>L321+Table3[[#This Row],[Calls Ans]]</f>
        <v>109428</v>
      </c>
      <c r="M322" s="127">
        <v>0.82</v>
      </c>
      <c r="N322" s="127">
        <v>7.0000000000000007E-2</v>
      </c>
      <c r="O322" s="127">
        <v>0.93</v>
      </c>
      <c r="P322" s="127">
        <v>0.61</v>
      </c>
      <c r="Q322" s="283">
        <v>0.97</v>
      </c>
      <c r="R322" s="300">
        <v>189</v>
      </c>
      <c r="S322" s="301">
        <v>3.8194444444444441E-2</v>
      </c>
      <c r="T322" s="286">
        <v>4</v>
      </c>
      <c r="U322" s="127" t="str">
        <f t="shared" si="20"/>
        <v>Normal</v>
      </c>
      <c r="V322" s="127" t="str">
        <f t="shared" si="21"/>
        <v>Normal</v>
      </c>
      <c r="W322" s="87">
        <f t="shared" si="22"/>
        <v>-5.4590570719602979E-2</v>
      </c>
      <c r="X322" s="87">
        <f t="shared" si="23"/>
        <v>3.8011695906432746E-2</v>
      </c>
      <c r="Y322" s="273"/>
      <c r="Z322" s="273"/>
      <c r="AA322" s="273"/>
      <c r="AB322" s="273"/>
      <c r="AC322" s="273"/>
      <c r="AD322" s="273"/>
      <c r="AE322" s="273"/>
      <c r="AF322" s="273"/>
      <c r="AG322" s="273"/>
      <c r="AH322" s="273"/>
      <c r="AI322" s="273"/>
      <c r="AJ322" s="273"/>
      <c r="AK322" s="273"/>
      <c r="AT322">
        <f>MINUTE(Table3[[#This Row],[AHT]])</f>
        <v>0</v>
      </c>
      <c r="AU322">
        <f>SECOND(Table3[[#This Row],[AHT]])</f>
        <v>0</v>
      </c>
      <c r="AX322">
        <v>189</v>
      </c>
    </row>
    <row r="323" spans="1:50">
      <c r="A323" s="287">
        <v>44973</v>
      </c>
      <c r="B323" s="315">
        <f>IF(YEAR(Table9[[#This Row],[Date]]) = 2022, WEEKNUM(Table9[[#This Row],[Date]])-13, WEEKNUM(Table9[[#This Row],[Date]])+40)</f>
        <v>47</v>
      </c>
      <c r="C323" s="255" t="s">
        <v>51</v>
      </c>
      <c r="D323" s="65" t="s">
        <v>59</v>
      </c>
      <c r="E323" s="269">
        <v>325</v>
      </c>
      <c r="F323" s="269">
        <v>308</v>
      </c>
      <c r="G323" s="282">
        <f>IFERROR((Table3[[#This Row],[Calls Off]]-E316)/E316,0)</f>
        <v>-0.22434367541766109</v>
      </c>
      <c r="H323" s="282">
        <f>IFERROR((Table3[[#This Row],[Calls Ans]]-F316)/F316,0)</f>
        <v>6.5743944636678195E-2</v>
      </c>
      <c r="I323" s="269">
        <f>Table3[[#This Row],[Calls Off]]+I322</f>
        <v>706</v>
      </c>
      <c r="J323" s="269">
        <f>Table3[[#This Row],[Calls Ans]]+J322</f>
        <v>663</v>
      </c>
      <c r="K323" s="269">
        <f>K322+Table3[[#This Row],[Calls Off]]</f>
        <v>138194</v>
      </c>
      <c r="L323" s="269">
        <f>L322+Table3[[#This Row],[Calls Ans]]</f>
        <v>109736</v>
      </c>
      <c r="M323" s="127">
        <v>0.86</v>
      </c>
      <c r="N323" s="127">
        <v>0.05</v>
      </c>
      <c r="O323" s="127">
        <v>0.95</v>
      </c>
      <c r="P323" s="127">
        <v>0.42</v>
      </c>
      <c r="Q323" s="283">
        <v>0.96</v>
      </c>
      <c r="R323" s="300">
        <v>186</v>
      </c>
      <c r="S323" s="301">
        <v>2.2222222222222223E-2</v>
      </c>
      <c r="T323" s="286">
        <v>5</v>
      </c>
      <c r="U323" s="127" t="str">
        <f t="shared" ref="U323:U366" si="24">IF(OR(G323&lt;$AA$5,G323&gt;$AB$5), "Outlier", "Normal")</f>
        <v>Normal</v>
      </c>
      <c r="V323" s="127" t="str">
        <f t="shared" ref="V323:V366" si="25">IF(OR(H323&lt;$AA$6,H323&gt;$AB$6), "Outlier", "Normal")</f>
        <v>Normal</v>
      </c>
      <c r="W323" s="87">
        <f t="shared" ref="W323:W366" si="26">IF(U323="Normal",$G323,IF($G323&lt;150%, $G323, $AA$9))</f>
        <v>-0.22434367541766109</v>
      </c>
      <c r="X323" s="87">
        <f t="shared" ref="X323:X366" si="27">IF(V323="Normal",$H323,IF($H323&lt;150%, $H323, $AE$9))</f>
        <v>6.5743944636678195E-2</v>
      </c>
      <c r="Y323" s="273"/>
      <c r="Z323" s="273"/>
      <c r="AA323" s="273"/>
      <c r="AB323" s="273"/>
      <c r="AC323" s="273"/>
      <c r="AD323" s="273"/>
      <c r="AE323" s="273"/>
      <c r="AF323" s="273"/>
      <c r="AG323" s="273"/>
      <c r="AH323" s="273"/>
      <c r="AI323" s="273"/>
      <c r="AJ323" s="273"/>
      <c r="AK323" s="273"/>
      <c r="AT323">
        <f>MINUTE(Table3[[#This Row],[AHT]])</f>
        <v>0</v>
      </c>
      <c r="AU323">
        <f>SECOND(Table3[[#This Row],[AHT]])</f>
        <v>0</v>
      </c>
      <c r="AX323">
        <v>186</v>
      </c>
    </row>
    <row r="324" spans="1:50">
      <c r="A324" s="287">
        <v>44974</v>
      </c>
      <c r="B324" s="315">
        <f>IF(YEAR(Table9[[#This Row],[Date]]) = 2022, WEEKNUM(Table9[[#This Row],[Date]])-13, WEEKNUM(Table9[[#This Row],[Date]])+40)</f>
        <v>47</v>
      </c>
      <c r="C324" s="255" t="s">
        <v>52</v>
      </c>
      <c r="D324" s="65" t="s">
        <v>59</v>
      </c>
      <c r="E324" s="269">
        <v>416</v>
      </c>
      <c r="F324" s="269">
        <v>360</v>
      </c>
      <c r="G324" s="282">
        <f>IFERROR((Table3[[#This Row],[Calls Off]]-E317)/E317,0)</f>
        <v>-2.3980815347721821E-3</v>
      </c>
      <c r="H324" s="282">
        <f>IFERROR((Table3[[#This Row],[Calls Ans]]-F317)/F317,0)</f>
        <v>2.2727272727272728E-2</v>
      </c>
      <c r="I324" s="269">
        <f>Table3[[#This Row],[Calls Off]]+I323</f>
        <v>1122</v>
      </c>
      <c r="J324" s="269">
        <f>Table3[[#This Row],[Calls Ans]]+J323</f>
        <v>1023</v>
      </c>
      <c r="K324" s="269">
        <f>K323+Table3[[#This Row],[Calls Off]]</f>
        <v>138610</v>
      </c>
      <c r="L324" s="269">
        <f>L323+Table3[[#This Row],[Calls Ans]]</f>
        <v>110096</v>
      </c>
      <c r="M324" s="127">
        <v>0.65</v>
      </c>
      <c r="N324" s="127">
        <v>0.13</v>
      </c>
      <c r="O324" s="127">
        <v>0.87</v>
      </c>
      <c r="P324" s="127">
        <v>0.5</v>
      </c>
      <c r="Q324" s="283">
        <v>0.97</v>
      </c>
      <c r="R324" s="300">
        <v>202</v>
      </c>
      <c r="S324" s="301">
        <v>8.9583333333333334E-2</v>
      </c>
      <c r="T324" s="286">
        <v>5</v>
      </c>
      <c r="U324" s="127" t="str">
        <f t="shared" si="24"/>
        <v>Normal</v>
      </c>
      <c r="V324" s="127" t="str">
        <f t="shared" si="25"/>
        <v>Normal</v>
      </c>
      <c r="W324" s="87">
        <f t="shared" si="26"/>
        <v>-2.3980815347721821E-3</v>
      </c>
      <c r="X324" s="87">
        <f t="shared" si="27"/>
        <v>2.2727272727272728E-2</v>
      </c>
      <c r="Y324" s="273"/>
      <c r="Z324" s="273"/>
      <c r="AA324" s="273"/>
      <c r="AB324" s="273"/>
      <c r="AC324" s="273"/>
      <c r="AD324" s="273"/>
      <c r="AE324" s="273"/>
      <c r="AF324" s="273"/>
      <c r="AG324" s="273"/>
      <c r="AH324" s="273"/>
      <c r="AI324" s="273"/>
      <c r="AJ324" s="273"/>
      <c r="AK324" s="273"/>
      <c r="AT324">
        <f>MINUTE(Table3[[#This Row],[AHT]])</f>
        <v>0</v>
      </c>
      <c r="AU324">
        <f>SECOND(Table3[[#This Row],[AHT]])</f>
        <v>0</v>
      </c>
      <c r="AX324">
        <v>202</v>
      </c>
    </row>
    <row r="325" spans="1:50">
      <c r="A325" s="287">
        <v>44975</v>
      </c>
      <c r="B325" s="315">
        <f>IF(YEAR(Table9[[#This Row],[Date]]) = 2022, WEEKNUM(Table9[[#This Row],[Date]])-13, WEEKNUM(Table9[[#This Row],[Date]])+40)</f>
        <v>47</v>
      </c>
      <c r="C325" s="255" t="s">
        <v>53</v>
      </c>
      <c r="D325" s="65" t="s">
        <v>59</v>
      </c>
      <c r="E325" s="269">
        <v>260</v>
      </c>
      <c r="F325" s="269">
        <v>231</v>
      </c>
      <c r="G325" s="282">
        <f>IFERROR((Table3[[#This Row],[Calls Off]]-E318)/E318,0)</f>
        <v>3.5856573705179286E-2</v>
      </c>
      <c r="H325" s="282">
        <f>IFERROR((Table3[[#This Row],[Calls Ans]]-F318)/F318,0)</f>
        <v>4.3478260869565218E-3</v>
      </c>
      <c r="I325" s="269">
        <f>Table3[[#This Row],[Calls Off]]+I324</f>
        <v>1382</v>
      </c>
      <c r="J325" s="269">
        <f>Table3[[#This Row],[Calls Ans]]+J324</f>
        <v>1254</v>
      </c>
      <c r="K325" s="269">
        <f>K324+Table3[[#This Row],[Calls Off]]</f>
        <v>138870</v>
      </c>
      <c r="L325" s="269">
        <f>L324+Table3[[#This Row],[Calls Ans]]</f>
        <v>110327</v>
      </c>
      <c r="M325" s="127">
        <v>0.7</v>
      </c>
      <c r="N325" s="127">
        <v>0.11</v>
      </c>
      <c r="O325" s="127">
        <v>0.89</v>
      </c>
      <c r="P325" s="127">
        <v>0.53</v>
      </c>
      <c r="Q325" s="283">
        <v>0.97</v>
      </c>
      <c r="R325" s="300">
        <v>149</v>
      </c>
      <c r="S325" s="301">
        <v>6.7361111111111108E-2</v>
      </c>
      <c r="T325" s="286">
        <v>3</v>
      </c>
      <c r="U325" s="127" t="str">
        <f t="shared" si="24"/>
        <v>Normal</v>
      </c>
      <c r="V325" s="127" t="str">
        <f t="shared" si="25"/>
        <v>Normal</v>
      </c>
      <c r="W325" s="87">
        <f t="shared" si="26"/>
        <v>3.5856573705179286E-2</v>
      </c>
      <c r="X325" s="87">
        <f t="shared" si="27"/>
        <v>4.3478260869565218E-3</v>
      </c>
      <c r="Y325" s="273"/>
      <c r="Z325" s="273"/>
      <c r="AA325" s="273"/>
      <c r="AB325" s="273"/>
      <c r="AC325" s="273"/>
      <c r="AD325" s="273"/>
      <c r="AE325" s="273"/>
      <c r="AF325" s="273"/>
      <c r="AG325" s="273"/>
      <c r="AH325" s="273"/>
      <c r="AI325" s="273"/>
      <c r="AJ325" s="273"/>
      <c r="AK325" s="273"/>
      <c r="AT325">
        <f>MINUTE(Table3[[#This Row],[AHT]])</f>
        <v>0</v>
      </c>
      <c r="AU325">
        <f>SECOND(Table3[[#This Row],[AHT]])</f>
        <v>0</v>
      </c>
      <c r="AX325">
        <v>149</v>
      </c>
    </row>
    <row r="326" spans="1:50">
      <c r="A326" s="287">
        <v>44976</v>
      </c>
      <c r="B326" s="315">
        <f>IF(YEAR(Table9[[#This Row],[Date]]) = 2022, WEEKNUM(Table9[[#This Row],[Date]])-13, WEEKNUM(Table9[[#This Row],[Date]])+40)</f>
        <v>48</v>
      </c>
      <c r="C326" s="255" t="s">
        <v>47</v>
      </c>
      <c r="D326" s="65" t="s">
        <v>59</v>
      </c>
      <c r="E326" s="269">
        <v>0</v>
      </c>
      <c r="F326" s="269">
        <v>0</v>
      </c>
      <c r="G326" s="282">
        <v>0</v>
      </c>
      <c r="H326" s="282">
        <v>0</v>
      </c>
      <c r="I326" s="269">
        <v>0</v>
      </c>
      <c r="J326" s="269">
        <v>0</v>
      </c>
      <c r="K326" s="269">
        <v>0</v>
      </c>
      <c r="L326" s="269">
        <v>0</v>
      </c>
      <c r="M326" s="127">
        <v>0</v>
      </c>
      <c r="N326" s="127">
        <v>0</v>
      </c>
      <c r="O326" s="127">
        <v>0</v>
      </c>
      <c r="P326" s="127">
        <v>0</v>
      </c>
      <c r="Q326" s="283">
        <v>0</v>
      </c>
      <c r="R326" s="300">
        <v>0</v>
      </c>
      <c r="S326" s="301">
        <v>0</v>
      </c>
      <c r="T326" s="286">
        <v>0</v>
      </c>
      <c r="U326" s="127" t="str">
        <f t="shared" si="24"/>
        <v>Normal</v>
      </c>
      <c r="V326" s="127" t="str">
        <f t="shared" si="25"/>
        <v>Normal</v>
      </c>
      <c r="W326" s="87">
        <f t="shared" si="26"/>
        <v>0</v>
      </c>
      <c r="X326" s="87">
        <f t="shared" si="27"/>
        <v>0</v>
      </c>
      <c r="Y326" s="273"/>
      <c r="Z326" s="273"/>
      <c r="AA326" s="273"/>
      <c r="AB326" s="273"/>
      <c r="AC326" s="273"/>
      <c r="AD326" s="273"/>
      <c r="AE326" s="273"/>
      <c r="AF326" s="273"/>
      <c r="AG326" s="273"/>
      <c r="AH326" s="273"/>
      <c r="AI326" s="273"/>
      <c r="AJ326" s="273"/>
      <c r="AK326" s="273"/>
      <c r="AT326">
        <f>MINUTE(Table3[[#This Row],[AHT]])</f>
        <v>0</v>
      </c>
      <c r="AU326">
        <f>SECOND(Table3[[#This Row],[AHT]])</f>
        <v>0</v>
      </c>
      <c r="AX326">
        <v>0</v>
      </c>
    </row>
    <row r="327" spans="1:50">
      <c r="A327" s="287">
        <v>44977</v>
      </c>
      <c r="B327" s="315">
        <f>IF(YEAR(Table9[[#This Row],[Date]]) = 2022, WEEKNUM(Table9[[#This Row],[Date]])-13, WEEKNUM(Table9[[#This Row],[Date]])+40)</f>
        <v>48</v>
      </c>
      <c r="C327" s="255" t="s">
        <v>48</v>
      </c>
      <c r="D327" s="65" t="s">
        <v>59</v>
      </c>
      <c r="E327" s="269">
        <v>395</v>
      </c>
      <c r="F327" s="269">
        <v>368</v>
      </c>
      <c r="G327" s="282">
        <f>IFERROR((Table3[[#This Row],[Calls Off]]-E320)/E320,0)</f>
        <v>-0.25189393939393939</v>
      </c>
      <c r="H327" s="282">
        <f>IFERROR((Table3[[#This Row],[Calls Ans]]-F320)/F320,0)</f>
        <v>0</v>
      </c>
      <c r="I327" s="269">
        <f>Table3[[#This Row],[Calls Off]]+I325</f>
        <v>1777</v>
      </c>
      <c r="J327" s="269">
        <f>Table3[[#This Row],[Calls Ans]]+J325</f>
        <v>1622</v>
      </c>
      <c r="K327" s="269">
        <f>K325+Table3[[#This Row],[Calls Off]]</f>
        <v>139265</v>
      </c>
      <c r="L327" s="269">
        <f>L325+Table3[[#This Row],[Calls Ans]]</f>
        <v>110695</v>
      </c>
      <c r="M327" s="127">
        <v>0.84</v>
      </c>
      <c r="N327" s="127">
        <v>7.0000000000000007E-2</v>
      </c>
      <c r="O327" s="127">
        <v>0.93</v>
      </c>
      <c r="P327" s="127">
        <v>0.48</v>
      </c>
      <c r="Q327" s="283">
        <v>0.95</v>
      </c>
      <c r="R327" s="300">
        <v>188</v>
      </c>
      <c r="S327" s="301">
        <v>3.3333333333333333E-2</v>
      </c>
      <c r="T327" s="286">
        <v>7</v>
      </c>
      <c r="U327" s="127" t="str">
        <f t="shared" si="24"/>
        <v>Normal</v>
      </c>
      <c r="V327" s="127" t="str">
        <f t="shared" si="25"/>
        <v>Normal</v>
      </c>
      <c r="W327" s="87">
        <f t="shared" si="26"/>
        <v>-0.25189393939393939</v>
      </c>
      <c r="X327" s="87">
        <f t="shared" si="27"/>
        <v>0</v>
      </c>
      <c r="Y327" s="273"/>
      <c r="Z327" s="273"/>
      <c r="AA327" s="273"/>
      <c r="AB327" s="273"/>
      <c r="AC327" s="273"/>
      <c r="AD327" s="273"/>
      <c r="AE327" s="273"/>
      <c r="AF327" s="273"/>
      <c r="AG327" s="273"/>
      <c r="AH327" s="273"/>
      <c r="AI327" s="273"/>
      <c r="AJ327" s="273"/>
      <c r="AK327" s="273"/>
      <c r="AT327">
        <f>MINUTE(Table3[[#This Row],[AHT]])</f>
        <v>0</v>
      </c>
      <c r="AU327">
        <f>SECOND(Table3[[#This Row],[AHT]])</f>
        <v>0</v>
      </c>
      <c r="AX327">
        <v>188</v>
      </c>
    </row>
    <row r="328" spans="1:50">
      <c r="A328" s="287">
        <v>44978</v>
      </c>
      <c r="B328" s="315">
        <f>IF(YEAR(Table9[[#This Row],[Date]]) = 2022, WEEKNUM(Table9[[#This Row],[Date]])-13, WEEKNUM(Table9[[#This Row],[Date]])+40)</f>
        <v>48</v>
      </c>
      <c r="C328" s="255" t="s">
        <v>49</v>
      </c>
      <c r="D328" s="65" t="s">
        <v>59</v>
      </c>
      <c r="E328" s="269">
        <v>435</v>
      </c>
      <c r="F328" s="269">
        <v>393</v>
      </c>
      <c r="G328" s="282">
        <f>IFERROR((Table3[[#This Row],[Calls Off]]-E321)/E321,0)</f>
        <v>0.19178082191780821</v>
      </c>
      <c r="H328" s="282">
        <f>IFERROR((Table3[[#This Row],[Calls Ans]]-F321)/F321,0)</f>
        <v>0.19817073170731708</v>
      </c>
      <c r="I328" s="269">
        <f>Table3[[#This Row],[Calls Off]]+I327</f>
        <v>2212</v>
      </c>
      <c r="J328" s="269">
        <f>Table3[[#This Row],[Calls Ans]]+J327</f>
        <v>2015</v>
      </c>
      <c r="K328" s="269">
        <f>K327+Table3[[#This Row],[Calls Off]]</f>
        <v>139700</v>
      </c>
      <c r="L328" s="269">
        <f>L327+Table3[[#This Row],[Calls Ans]]</f>
        <v>111088</v>
      </c>
      <c r="M328" s="127">
        <v>0.72</v>
      </c>
      <c r="N328" s="127">
        <v>0.1</v>
      </c>
      <c r="O328" s="127">
        <v>0.9</v>
      </c>
      <c r="P328" s="127">
        <v>0.45</v>
      </c>
      <c r="Q328" s="283">
        <v>0.96</v>
      </c>
      <c r="R328" s="300">
        <v>176</v>
      </c>
      <c r="S328" s="301">
        <v>5.486111111111111E-2</v>
      </c>
      <c r="T328" s="286">
        <v>6</v>
      </c>
      <c r="U328" s="127" t="str">
        <f t="shared" si="24"/>
        <v>Normal</v>
      </c>
      <c r="V328" s="127" t="str">
        <f t="shared" si="25"/>
        <v>Normal</v>
      </c>
      <c r="W328" s="87">
        <f t="shared" si="26"/>
        <v>0.19178082191780821</v>
      </c>
      <c r="X328" s="87">
        <f t="shared" si="27"/>
        <v>0.19817073170731708</v>
      </c>
      <c r="Y328" s="273"/>
      <c r="Z328" s="273"/>
      <c r="AA328" s="273"/>
      <c r="AB328" s="273"/>
      <c r="AC328" s="273"/>
      <c r="AD328" s="273"/>
      <c r="AE328" s="273"/>
      <c r="AF328" s="273"/>
      <c r="AG328" s="273"/>
      <c r="AH328" s="273"/>
      <c r="AI328" s="273"/>
      <c r="AJ328" s="273"/>
      <c r="AK328" s="273"/>
      <c r="AT328">
        <f>MINUTE(Table3[[#This Row],[AHT]])</f>
        <v>0</v>
      </c>
      <c r="AU328">
        <f>SECOND(Table3[[#This Row],[AHT]])</f>
        <v>0</v>
      </c>
      <c r="AX328">
        <v>176</v>
      </c>
    </row>
    <row r="329" spans="1:50">
      <c r="A329" s="287">
        <v>44979</v>
      </c>
      <c r="B329" s="315">
        <f>IF(YEAR(Table9[[#This Row],[Date]]) = 2022, WEEKNUM(Table9[[#This Row],[Date]])-13, WEEKNUM(Table9[[#This Row],[Date]])+40)</f>
        <v>48</v>
      </c>
      <c r="C329" s="255" t="s">
        <v>50</v>
      </c>
      <c r="D329" s="65" t="s">
        <v>59</v>
      </c>
      <c r="E329" s="269">
        <v>403</v>
      </c>
      <c r="F329" s="269">
        <v>367</v>
      </c>
      <c r="G329" s="282">
        <f>IFERROR((Table3[[#This Row],[Calls Off]]-E322)/E322,0)</f>
        <v>5.774278215223097E-2</v>
      </c>
      <c r="H329" s="282">
        <f>IFERROR((Table3[[#This Row],[Calls Ans]]-F322)/F322,0)</f>
        <v>3.3802816901408447E-2</v>
      </c>
      <c r="I329" s="269">
        <f>Table3[[#This Row],[Calls Off]]+I328</f>
        <v>2615</v>
      </c>
      <c r="J329" s="269">
        <f>Table3[[#This Row],[Calls Ans]]+J328</f>
        <v>2382</v>
      </c>
      <c r="K329" s="269">
        <f>K328+Table3[[#This Row],[Calls Off]]</f>
        <v>140103</v>
      </c>
      <c r="L329" s="269">
        <f>L328+Table3[[#This Row],[Calls Ans]]</f>
        <v>111455</v>
      </c>
      <c r="M329" s="127">
        <v>0.76</v>
      </c>
      <c r="N329" s="127">
        <v>0.09</v>
      </c>
      <c r="O329" s="127">
        <v>0.91</v>
      </c>
      <c r="P329" s="127">
        <v>0.51</v>
      </c>
      <c r="Q329" s="283">
        <v>0.96</v>
      </c>
      <c r="R329" s="300">
        <v>168</v>
      </c>
      <c r="S329" s="301">
        <v>5.4166666666666669E-2</v>
      </c>
      <c r="T329" s="286">
        <v>5</v>
      </c>
      <c r="U329" s="127" t="str">
        <f t="shared" si="24"/>
        <v>Normal</v>
      </c>
      <c r="V329" s="127" t="str">
        <f t="shared" si="25"/>
        <v>Normal</v>
      </c>
      <c r="W329" s="87">
        <f t="shared" si="26"/>
        <v>5.774278215223097E-2</v>
      </c>
      <c r="X329" s="87">
        <f t="shared" si="27"/>
        <v>3.3802816901408447E-2</v>
      </c>
      <c r="Y329" s="273"/>
      <c r="Z329" s="273"/>
      <c r="AA329" s="273"/>
      <c r="AB329" s="273"/>
      <c r="AC329" s="273"/>
      <c r="AD329" s="273"/>
      <c r="AE329" s="273"/>
      <c r="AF329" s="273"/>
      <c r="AG329" s="273"/>
      <c r="AH329" s="273"/>
      <c r="AI329" s="273"/>
      <c r="AJ329" s="273"/>
      <c r="AK329" s="273"/>
      <c r="AT329">
        <f>MINUTE(Table3[[#This Row],[AHT]])</f>
        <v>0</v>
      </c>
      <c r="AU329">
        <f>SECOND(Table3[[#This Row],[AHT]])</f>
        <v>0</v>
      </c>
      <c r="AX329">
        <v>168</v>
      </c>
    </row>
    <row r="330" spans="1:50">
      <c r="A330" s="287">
        <v>44980</v>
      </c>
      <c r="B330" s="315">
        <f>IF(YEAR(Table9[[#This Row],[Date]]) = 2022, WEEKNUM(Table9[[#This Row],[Date]])-13, WEEKNUM(Table9[[#This Row],[Date]])+40)</f>
        <v>48</v>
      </c>
      <c r="C330" s="255" t="s">
        <v>51</v>
      </c>
      <c r="D330" s="65" t="s">
        <v>59</v>
      </c>
      <c r="E330" s="269">
        <v>409</v>
      </c>
      <c r="F330" s="269">
        <v>384</v>
      </c>
      <c r="G330" s="282">
        <f>IFERROR((Table3[[#This Row],[Calls Off]]-E323)/E323,0)</f>
        <v>0.25846153846153846</v>
      </c>
      <c r="H330" s="282">
        <f>IFERROR((Table3[[#This Row],[Calls Ans]]-F323)/F323,0)</f>
        <v>0.24675324675324675</v>
      </c>
      <c r="I330" s="269">
        <f>Table3[[#This Row],[Calls Off]]+I329</f>
        <v>3024</v>
      </c>
      <c r="J330" s="269">
        <f>Table3[[#This Row],[Calls Ans]]+J329</f>
        <v>2766</v>
      </c>
      <c r="K330" s="269">
        <f>K329+Table3[[#This Row],[Calls Off]]</f>
        <v>140512</v>
      </c>
      <c r="L330" s="269">
        <f>L329+Table3[[#This Row],[Calls Ans]]</f>
        <v>111839</v>
      </c>
      <c r="M330" s="127">
        <v>0.8</v>
      </c>
      <c r="N330" s="127">
        <v>0.06</v>
      </c>
      <c r="O330" s="127">
        <v>0.94</v>
      </c>
      <c r="P330" s="127">
        <v>0.44</v>
      </c>
      <c r="Q330" s="283">
        <v>0.95</v>
      </c>
      <c r="R330" s="300">
        <v>156</v>
      </c>
      <c r="S330" s="301">
        <v>5.0694444444444452E-2</v>
      </c>
      <c r="T330" s="286">
        <v>6</v>
      </c>
      <c r="U330" s="127" t="str">
        <f t="shared" si="24"/>
        <v>Normal</v>
      </c>
      <c r="V330" s="127" t="str">
        <f t="shared" si="25"/>
        <v>Normal</v>
      </c>
      <c r="W330" s="87">
        <f t="shared" si="26"/>
        <v>0.25846153846153846</v>
      </c>
      <c r="X330" s="87">
        <f t="shared" si="27"/>
        <v>0.24675324675324675</v>
      </c>
      <c r="Y330" s="273"/>
      <c r="Z330" s="273"/>
      <c r="AA330" s="273"/>
      <c r="AB330" s="273"/>
      <c r="AC330" s="273"/>
      <c r="AD330" s="273"/>
      <c r="AE330" s="273"/>
      <c r="AF330" s="273"/>
      <c r="AG330" s="273"/>
      <c r="AH330" s="273"/>
      <c r="AI330" s="273"/>
      <c r="AJ330" s="273"/>
      <c r="AK330" s="273"/>
      <c r="AT330">
        <f>MINUTE(Table3[[#This Row],[AHT]])</f>
        <v>0</v>
      </c>
      <c r="AU330">
        <f>SECOND(Table3[[#This Row],[AHT]])</f>
        <v>0</v>
      </c>
      <c r="AX330">
        <v>156</v>
      </c>
    </row>
    <row r="331" spans="1:50">
      <c r="A331" s="287">
        <v>44981</v>
      </c>
      <c r="B331" s="315">
        <f>IF(YEAR(Table9[[#This Row],[Date]]) = 2022, WEEKNUM(Table9[[#This Row],[Date]])-13, WEEKNUM(Table9[[#This Row],[Date]])+40)</f>
        <v>48</v>
      </c>
      <c r="C331" s="255" t="s">
        <v>52</v>
      </c>
      <c r="D331" s="65" t="s">
        <v>59</v>
      </c>
      <c r="E331" s="269">
        <v>365</v>
      </c>
      <c r="F331" s="269">
        <v>344</v>
      </c>
      <c r="G331" s="282">
        <f>IFERROR((Table3[[#This Row],[Calls Off]]-E324)/E324,0)</f>
        <v>-0.12259615384615384</v>
      </c>
      <c r="H331" s="282">
        <f>IFERROR((Table3[[#This Row],[Calls Ans]]-F324)/F324,0)</f>
        <v>-4.4444444444444446E-2</v>
      </c>
      <c r="I331" s="269">
        <f>Table3[[#This Row],[Calls Off]]+I330</f>
        <v>3389</v>
      </c>
      <c r="J331" s="269">
        <f>Table3[[#This Row],[Calls Ans]]+J330</f>
        <v>3110</v>
      </c>
      <c r="K331" s="269">
        <f>K330+Table3[[#This Row],[Calls Off]]</f>
        <v>140877</v>
      </c>
      <c r="L331" s="269">
        <f>L330+Table3[[#This Row],[Calls Ans]]</f>
        <v>112183</v>
      </c>
      <c r="M331" s="127">
        <v>0.8</v>
      </c>
      <c r="N331" s="127">
        <v>0.06</v>
      </c>
      <c r="O331" s="127">
        <v>0.94</v>
      </c>
      <c r="P331" s="127">
        <v>0.47</v>
      </c>
      <c r="Q331" s="283">
        <v>0.96</v>
      </c>
      <c r="R331" s="300">
        <v>187</v>
      </c>
      <c r="S331" s="301">
        <v>5.4166666666666669E-2</v>
      </c>
      <c r="T331" s="286">
        <v>5</v>
      </c>
      <c r="U331" s="127" t="str">
        <f t="shared" si="24"/>
        <v>Normal</v>
      </c>
      <c r="V331" s="127" t="str">
        <f t="shared" si="25"/>
        <v>Normal</v>
      </c>
      <c r="W331" s="87">
        <f t="shared" si="26"/>
        <v>-0.12259615384615384</v>
      </c>
      <c r="X331" s="87">
        <f t="shared" si="27"/>
        <v>-4.4444444444444446E-2</v>
      </c>
      <c r="Y331" s="273"/>
      <c r="Z331" s="273"/>
      <c r="AA331" s="273"/>
      <c r="AB331" s="273"/>
      <c r="AC331" s="273"/>
      <c r="AD331" s="273"/>
      <c r="AE331" s="273"/>
      <c r="AF331" s="273"/>
      <c r="AG331" s="273"/>
      <c r="AH331" s="273"/>
      <c r="AI331" s="273"/>
      <c r="AJ331" s="273"/>
      <c r="AK331" s="273"/>
      <c r="AT331">
        <f>MINUTE(Table3[[#This Row],[AHT]])</f>
        <v>0</v>
      </c>
      <c r="AU331">
        <f>SECOND(Table3[[#This Row],[AHT]])</f>
        <v>0</v>
      </c>
      <c r="AX331">
        <v>187</v>
      </c>
    </row>
    <row r="332" spans="1:50">
      <c r="A332" s="287">
        <v>44982</v>
      </c>
      <c r="B332" s="315">
        <f>IF(YEAR(Table9[[#This Row],[Date]]) = 2022, WEEKNUM(Table9[[#This Row],[Date]])-13, WEEKNUM(Table9[[#This Row],[Date]])+40)</f>
        <v>48</v>
      </c>
      <c r="C332" s="255" t="s">
        <v>53</v>
      </c>
      <c r="D332" s="65" t="s">
        <v>59</v>
      </c>
      <c r="E332" s="269">
        <v>217</v>
      </c>
      <c r="F332" s="269">
        <v>189</v>
      </c>
      <c r="G332" s="282">
        <f>IFERROR((Table3[[#This Row],[Calls Off]]-E325)/E325,0)</f>
        <v>-0.16538461538461538</v>
      </c>
      <c r="H332" s="282">
        <f>IFERROR((Table3[[#This Row],[Calls Ans]]-F325)/F325,0)</f>
        <v>-0.18181818181818182</v>
      </c>
      <c r="I332" s="269">
        <f>Table3[[#This Row],[Calls Off]]+I331</f>
        <v>3606</v>
      </c>
      <c r="J332" s="269">
        <f>Table3[[#This Row],[Calls Ans]]+J331</f>
        <v>3299</v>
      </c>
      <c r="K332" s="269">
        <f>K331+Table3[[#This Row],[Calls Off]]</f>
        <v>141094</v>
      </c>
      <c r="L332" s="269">
        <f>L331+Table3[[#This Row],[Calls Ans]]</f>
        <v>112372</v>
      </c>
      <c r="M332" s="127">
        <v>0.62</v>
      </c>
      <c r="N332" s="127">
        <v>0.12</v>
      </c>
      <c r="O332" s="127">
        <v>0.88</v>
      </c>
      <c r="P332" s="127">
        <v>0.43</v>
      </c>
      <c r="Q332" s="283">
        <v>0.96</v>
      </c>
      <c r="R332" s="300">
        <v>178</v>
      </c>
      <c r="S332" s="301">
        <v>0.15347222222222223</v>
      </c>
      <c r="T332" s="286">
        <v>3</v>
      </c>
      <c r="U332" s="127" t="str">
        <f t="shared" si="24"/>
        <v>Normal</v>
      </c>
      <c r="V332" s="127" t="str">
        <f t="shared" si="25"/>
        <v>Normal</v>
      </c>
      <c r="W332" s="87">
        <f t="shared" si="26"/>
        <v>-0.16538461538461538</v>
      </c>
      <c r="X332" s="87">
        <f t="shared" si="27"/>
        <v>-0.18181818181818182</v>
      </c>
      <c r="Y332" s="273"/>
      <c r="Z332" s="273"/>
      <c r="AA332" s="273"/>
      <c r="AB332" s="273"/>
      <c r="AC332" s="273"/>
      <c r="AD332" s="273"/>
      <c r="AE332" s="273"/>
      <c r="AF332" s="273"/>
      <c r="AG332" s="273"/>
      <c r="AH332" s="273"/>
      <c r="AI332" s="273"/>
      <c r="AJ332" s="273"/>
      <c r="AK332" s="273"/>
      <c r="AT332">
        <f>MINUTE(Table3[[#This Row],[AHT]])</f>
        <v>0</v>
      </c>
      <c r="AU332">
        <f>SECOND(Table3[[#This Row],[AHT]])</f>
        <v>0</v>
      </c>
      <c r="AX332">
        <v>178</v>
      </c>
    </row>
    <row r="333" spans="1:50">
      <c r="A333" s="287">
        <v>44983</v>
      </c>
      <c r="B333" s="315">
        <f>IF(YEAR(Table9[[#This Row],[Date]]) = 2022, WEEKNUM(Table9[[#This Row],[Date]])-13, WEEKNUM(Table9[[#This Row],[Date]])+40)</f>
        <v>49</v>
      </c>
      <c r="C333" s="255" t="s">
        <v>47</v>
      </c>
      <c r="D333" s="65" t="s">
        <v>59</v>
      </c>
      <c r="E333" s="269">
        <v>0</v>
      </c>
      <c r="F333" s="269">
        <v>0</v>
      </c>
      <c r="G333" s="282">
        <f>IFERROR((Table3[[#This Row],[Calls Off]]-E326)/E326,0)</f>
        <v>0</v>
      </c>
      <c r="H333" s="282">
        <f>IFERROR((Table3[[#This Row],[Calls Ans]]-F326)/F326,0)</f>
        <v>0</v>
      </c>
      <c r="I333" s="269">
        <v>0</v>
      </c>
      <c r="J333" s="269">
        <v>0</v>
      </c>
      <c r="K333" s="269">
        <v>0</v>
      </c>
      <c r="L333" s="269">
        <v>0</v>
      </c>
      <c r="M333" s="127">
        <v>0</v>
      </c>
      <c r="N333" s="127">
        <v>0</v>
      </c>
      <c r="O333" s="127">
        <v>0</v>
      </c>
      <c r="P333" s="127">
        <v>0</v>
      </c>
      <c r="Q333" s="283">
        <v>0</v>
      </c>
      <c r="R333" s="300">
        <v>0</v>
      </c>
      <c r="S333" s="301">
        <v>0</v>
      </c>
      <c r="T333" s="286">
        <v>0</v>
      </c>
      <c r="U333" s="127" t="str">
        <f t="shared" si="24"/>
        <v>Normal</v>
      </c>
      <c r="V333" s="127" t="str">
        <f t="shared" si="25"/>
        <v>Normal</v>
      </c>
      <c r="W333" s="87">
        <f t="shared" si="26"/>
        <v>0</v>
      </c>
      <c r="X333" s="87">
        <f t="shared" si="27"/>
        <v>0</v>
      </c>
      <c r="Y333" s="273"/>
      <c r="Z333" s="273"/>
      <c r="AA333" s="273"/>
      <c r="AB333" s="273"/>
      <c r="AC333" s="273"/>
      <c r="AD333" s="273"/>
      <c r="AE333" s="273"/>
      <c r="AF333" s="273"/>
      <c r="AG333" s="273"/>
      <c r="AH333" s="273"/>
      <c r="AI333" s="273"/>
      <c r="AJ333" s="273"/>
      <c r="AK333" s="273"/>
      <c r="AT333">
        <f>MINUTE(Table3[[#This Row],[AHT]])</f>
        <v>0</v>
      </c>
      <c r="AU333">
        <f>SECOND(Table3[[#This Row],[AHT]])</f>
        <v>0</v>
      </c>
      <c r="AX333">
        <v>0</v>
      </c>
    </row>
    <row r="334" spans="1:50">
      <c r="A334" s="287">
        <v>44984</v>
      </c>
      <c r="B334" s="315">
        <f>IF(YEAR(Table9[[#This Row],[Date]]) = 2022, WEEKNUM(Table9[[#This Row],[Date]])-13, WEEKNUM(Table9[[#This Row],[Date]])+40)</f>
        <v>49</v>
      </c>
      <c r="C334" s="255" t="s">
        <v>48</v>
      </c>
      <c r="D334" s="65" t="s">
        <v>59</v>
      </c>
      <c r="E334" s="269">
        <v>445</v>
      </c>
      <c r="F334" s="269">
        <v>414</v>
      </c>
      <c r="G334" s="282">
        <f>IFERROR((Table3[[#This Row],[Calls Off]]-E327)/E327,0)</f>
        <v>0.12658227848101267</v>
      </c>
      <c r="H334" s="282">
        <f>IFERROR((Table3[[#This Row],[Calls Ans]]-F327)/F327,0)</f>
        <v>0.125</v>
      </c>
      <c r="I334" s="269">
        <f>Table3[[#This Row],[Calls Off]]+I332</f>
        <v>4051</v>
      </c>
      <c r="J334" s="269">
        <f>Table3[[#This Row],[Calls Ans]]+J332</f>
        <v>3713</v>
      </c>
      <c r="K334" s="269">
        <f>K332+Table3[[#This Row],[Calls Off]]</f>
        <v>141539</v>
      </c>
      <c r="L334" s="269">
        <f>L332+Table3[[#This Row],[Calls Ans]]</f>
        <v>112786</v>
      </c>
      <c r="M334" s="127">
        <v>0.87</v>
      </c>
      <c r="N334" s="127">
        <v>7.0000000000000007E-2</v>
      </c>
      <c r="O334" s="127">
        <v>0.93</v>
      </c>
      <c r="P334" s="127">
        <v>0.41</v>
      </c>
      <c r="Q334" s="283">
        <v>0.95</v>
      </c>
      <c r="R334" s="300">
        <v>147</v>
      </c>
      <c r="S334" s="301">
        <v>3.6111111111111115E-2</v>
      </c>
      <c r="T334" s="286">
        <v>7</v>
      </c>
      <c r="U334" s="127" t="str">
        <f t="shared" si="24"/>
        <v>Normal</v>
      </c>
      <c r="V334" s="127" t="str">
        <f t="shared" si="25"/>
        <v>Normal</v>
      </c>
      <c r="W334" s="87">
        <f t="shared" si="26"/>
        <v>0.12658227848101267</v>
      </c>
      <c r="X334" s="87">
        <f t="shared" si="27"/>
        <v>0.125</v>
      </c>
      <c r="Y334" s="273"/>
      <c r="Z334" s="273"/>
      <c r="AA334" s="273"/>
      <c r="AB334" s="273"/>
      <c r="AC334" s="273"/>
      <c r="AD334" s="273"/>
      <c r="AE334" s="273"/>
      <c r="AF334" s="273"/>
      <c r="AG334" s="273"/>
      <c r="AH334" s="273"/>
      <c r="AI334" s="273"/>
      <c r="AJ334" s="273"/>
      <c r="AK334" s="273"/>
      <c r="AT334">
        <f>MINUTE(Table3[[#This Row],[AHT]])</f>
        <v>0</v>
      </c>
      <c r="AU334">
        <f>SECOND(Table3[[#This Row],[AHT]])</f>
        <v>0</v>
      </c>
      <c r="AX334">
        <v>147</v>
      </c>
    </row>
    <row r="335" spans="1:50">
      <c r="A335" s="287">
        <v>44985</v>
      </c>
      <c r="B335" s="315">
        <f>IF(YEAR(Table9[[#This Row],[Date]]) = 2022, WEEKNUM(Table9[[#This Row],[Date]])-13, WEEKNUM(Table9[[#This Row],[Date]])+40)</f>
        <v>49</v>
      </c>
      <c r="C335" s="255" t="s">
        <v>49</v>
      </c>
      <c r="D335" s="65" t="s">
        <v>59</v>
      </c>
      <c r="E335" s="269">
        <v>446</v>
      </c>
      <c r="F335" s="269">
        <v>391</v>
      </c>
      <c r="G335" s="282">
        <f>IFERROR((Table3[[#This Row],[Calls Off]]-E328)/E328,0)</f>
        <v>2.528735632183908E-2</v>
      </c>
      <c r="H335" s="282">
        <f>IFERROR((Table3[[#This Row],[Calls Ans]]-F328)/F328,0)</f>
        <v>-5.0890585241730284E-3</v>
      </c>
      <c r="I335" s="269">
        <f>Table3[[#This Row],[Calls Off]]+I334</f>
        <v>4497</v>
      </c>
      <c r="J335" s="269">
        <f>Table3[[#This Row],[Calls Ans]]+J334</f>
        <v>4104</v>
      </c>
      <c r="K335" s="269">
        <f>K334+Table3[[#This Row],[Calls Off]]</f>
        <v>141985</v>
      </c>
      <c r="L335" s="269">
        <f>L334+Table3[[#This Row],[Calls Ans]]</f>
        <v>113177</v>
      </c>
      <c r="M335" s="127">
        <v>0.69</v>
      </c>
      <c r="N335" s="127">
        <v>0.12</v>
      </c>
      <c r="O335" s="127">
        <v>0.88</v>
      </c>
      <c r="P335" s="127">
        <v>0.59</v>
      </c>
      <c r="Q335" s="283">
        <v>0.95</v>
      </c>
      <c r="R335" s="300">
        <v>142</v>
      </c>
      <c r="S335" s="301">
        <v>0.11666666666666665</v>
      </c>
      <c r="T335" s="286">
        <v>6</v>
      </c>
      <c r="U335" s="127" t="str">
        <f t="shared" si="24"/>
        <v>Normal</v>
      </c>
      <c r="V335" s="127" t="str">
        <f t="shared" si="25"/>
        <v>Normal</v>
      </c>
      <c r="W335" s="87">
        <f t="shared" si="26"/>
        <v>2.528735632183908E-2</v>
      </c>
      <c r="X335" s="87">
        <f t="shared" si="27"/>
        <v>-5.0890585241730284E-3</v>
      </c>
      <c r="Y335" s="273"/>
      <c r="Z335" s="273"/>
      <c r="AA335" s="273"/>
      <c r="AB335" s="273"/>
      <c r="AC335" s="273"/>
      <c r="AD335" s="273"/>
      <c r="AE335" s="273"/>
      <c r="AF335" s="273"/>
      <c r="AG335" s="273"/>
      <c r="AH335" s="273"/>
      <c r="AI335" s="273"/>
      <c r="AJ335" s="273"/>
      <c r="AK335" s="273"/>
      <c r="AT335">
        <f>MINUTE(Table3[[#This Row],[AHT]])</f>
        <v>0</v>
      </c>
      <c r="AU335">
        <f>SECOND(Table3[[#This Row],[AHT]])</f>
        <v>0</v>
      </c>
      <c r="AX335">
        <v>142</v>
      </c>
    </row>
    <row r="336" spans="1:50" s="50" customFormat="1">
      <c r="A336" s="287">
        <v>44986</v>
      </c>
      <c r="B336" s="315">
        <f>IF(YEAR(Table9[[#This Row],[Date]]) = 2022, WEEKNUM(Table9[[#This Row],[Date]])-13, WEEKNUM(Table9[[#This Row],[Date]])+40)</f>
        <v>49</v>
      </c>
      <c r="C336" s="255" t="s">
        <v>50</v>
      </c>
      <c r="D336" s="65" t="s">
        <v>59</v>
      </c>
      <c r="E336" s="269">
        <v>415</v>
      </c>
      <c r="F336" s="269">
        <v>352</v>
      </c>
      <c r="G336" s="282">
        <f>IFERROR((Table3[[#This Row],[Calls Off]]-E329)/E329,0)</f>
        <v>2.9776674937965261E-2</v>
      </c>
      <c r="H336" s="282">
        <f>IFERROR((Table3[[#This Row],[Calls Ans]]-F329)/F329,0)</f>
        <v>-4.0871934604904632E-2</v>
      </c>
      <c r="I336" s="269">
        <f>Table3[[#This Row],[Calls Off]]</f>
        <v>415</v>
      </c>
      <c r="J336" s="269">
        <f>Table3[[#This Row],[Calls Ans]]</f>
        <v>352</v>
      </c>
      <c r="K336" s="269">
        <f>K335+Table3[[#This Row],[Calls Off]]</f>
        <v>142400</v>
      </c>
      <c r="L336" s="269">
        <f>L335+Table3[[#This Row],[Calls Ans]]</f>
        <v>113529</v>
      </c>
      <c r="M336" s="127">
        <v>0.63</v>
      </c>
      <c r="N336" s="127">
        <v>0.15</v>
      </c>
      <c r="O336" s="127">
        <v>0.85</v>
      </c>
      <c r="P336" s="127">
        <v>0.49</v>
      </c>
      <c r="Q336" s="283">
        <v>0.98</v>
      </c>
      <c r="R336" s="300">
        <v>153</v>
      </c>
      <c r="S336" s="301">
        <v>5.8333333333333327E-2</v>
      </c>
      <c r="T336" s="286">
        <v>5</v>
      </c>
      <c r="U336" s="127" t="str">
        <f t="shared" si="24"/>
        <v>Normal</v>
      </c>
      <c r="V336" s="127" t="str">
        <f t="shared" si="25"/>
        <v>Normal</v>
      </c>
      <c r="W336" s="87">
        <f t="shared" si="26"/>
        <v>2.9776674937965261E-2</v>
      </c>
      <c r="X336" s="87">
        <f t="shared" si="27"/>
        <v>-4.0871934604904632E-2</v>
      </c>
      <c r="Y336" s="280"/>
      <c r="Z336" s="280"/>
      <c r="AA336" s="280"/>
      <c r="AB336" s="280"/>
      <c r="AC336" s="280"/>
      <c r="AD336" s="280"/>
      <c r="AE336" s="280"/>
      <c r="AF336" s="280"/>
      <c r="AG336" s="280"/>
      <c r="AH336" s="280"/>
      <c r="AI336" s="280"/>
      <c r="AJ336" s="280"/>
      <c r="AK336" s="280"/>
      <c r="AM336"/>
      <c r="AN336"/>
      <c r="AO336"/>
      <c r="AT336">
        <f>MINUTE(Table3[[#This Row],[AHT]])</f>
        <v>0</v>
      </c>
      <c r="AU336">
        <f>SECOND(Table3[[#This Row],[AHT]])</f>
        <v>0</v>
      </c>
      <c r="AX336">
        <v>153</v>
      </c>
    </row>
    <row r="337" spans="1:50">
      <c r="A337" s="287">
        <v>44987</v>
      </c>
      <c r="B337" s="315">
        <f>IF(YEAR(Table9[[#This Row],[Date]]) = 2022, WEEKNUM(Table9[[#This Row],[Date]])-13, WEEKNUM(Table9[[#This Row],[Date]])+40)</f>
        <v>49</v>
      </c>
      <c r="C337" s="255" t="s">
        <v>51</v>
      </c>
      <c r="D337" s="65" t="s">
        <v>59</v>
      </c>
      <c r="E337" s="269">
        <v>442</v>
      </c>
      <c r="F337" s="269">
        <v>416</v>
      </c>
      <c r="G337" s="282">
        <f>IFERROR((Table3[[#This Row],[Calls Off]]-E330)/E330,0)</f>
        <v>8.0684596577017112E-2</v>
      </c>
      <c r="H337" s="282">
        <f>IFERROR((Table3[[#This Row],[Calls Ans]]-F330)/F330,0)</f>
        <v>8.3333333333333329E-2</v>
      </c>
      <c r="I337" s="269">
        <f>Table3[[#This Row],[Calls Off]]+I336</f>
        <v>857</v>
      </c>
      <c r="J337" s="269">
        <f>Table3[[#This Row],[Calls Ans]]+J336</f>
        <v>768</v>
      </c>
      <c r="K337" s="269">
        <f>K336+Table3[[#This Row],[Calls Off]]</f>
        <v>142842</v>
      </c>
      <c r="L337" s="269">
        <f>L336+Table3[[#This Row],[Calls Ans]]</f>
        <v>113945</v>
      </c>
      <c r="M337" s="127">
        <v>0.84</v>
      </c>
      <c r="N337" s="127">
        <v>0.05</v>
      </c>
      <c r="O337" s="127">
        <v>0.95</v>
      </c>
      <c r="P337" s="127">
        <v>0.48</v>
      </c>
      <c r="Q337" s="283">
        <v>0.97</v>
      </c>
      <c r="R337" s="300">
        <v>150</v>
      </c>
      <c r="S337" s="301">
        <v>2.9166666666666664E-2</v>
      </c>
      <c r="T337" s="286">
        <v>6</v>
      </c>
      <c r="U337" s="127" t="str">
        <f t="shared" si="24"/>
        <v>Normal</v>
      </c>
      <c r="V337" s="127" t="str">
        <f t="shared" si="25"/>
        <v>Normal</v>
      </c>
      <c r="W337" s="87">
        <f t="shared" si="26"/>
        <v>8.0684596577017112E-2</v>
      </c>
      <c r="X337" s="87">
        <f t="shared" si="27"/>
        <v>8.3333333333333329E-2</v>
      </c>
      <c r="Y337" s="273"/>
      <c r="Z337" s="273"/>
      <c r="AA337" s="273"/>
      <c r="AB337" s="273"/>
      <c r="AC337" s="273"/>
      <c r="AD337" s="273"/>
      <c r="AE337" s="273"/>
      <c r="AF337" s="273"/>
      <c r="AG337" s="273"/>
      <c r="AH337" s="273"/>
      <c r="AI337" s="273"/>
      <c r="AJ337" s="273"/>
      <c r="AK337" s="273"/>
      <c r="AT337">
        <f>MINUTE(Table3[[#This Row],[AHT]])</f>
        <v>0</v>
      </c>
      <c r="AU337">
        <f>SECOND(Table3[[#This Row],[AHT]])</f>
        <v>0</v>
      </c>
      <c r="AX337">
        <v>150</v>
      </c>
    </row>
    <row r="338" spans="1:50">
      <c r="A338" s="287">
        <v>44988</v>
      </c>
      <c r="B338" s="315">
        <f>IF(YEAR(Table9[[#This Row],[Date]]) = 2022, WEEKNUM(Table9[[#This Row],[Date]])-13, WEEKNUM(Table9[[#This Row],[Date]])+40)</f>
        <v>49</v>
      </c>
      <c r="C338" s="255" t="s">
        <v>52</v>
      </c>
      <c r="D338" s="65" t="s">
        <v>59</v>
      </c>
      <c r="E338" s="269">
        <v>311</v>
      </c>
      <c r="F338" s="269">
        <v>297</v>
      </c>
      <c r="G338" s="282">
        <f>IFERROR((Table3[[#This Row],[Calls Off]]-E331)/E331,0)</f>
        <v>-0.14794520547945206</v>
      </c>
      <c r="H338" s="282">
        <f>IFERROR((Table3[[#This Row],[Calls Ans]]-F331)/F331,0)</f>
        <v>-0.13662790697674418</v>
      </c>
      <c r="I338" s="269">
        <f>Table3[[#This Row],[Calls Off]]+I337</f>
        <v>1168</v>
      </c>
      <c r="J338" s="269">
        <f>Table3[[#This Row],[Calls Ans]]+J337</f>
        <v>1065</v>
      </c>
      <c r="K338" s="269">
        <f>K337+Table3[[#This Row],[Calls Off]]</f>
        <v>143153</v>
      </c>
      <c r="L338" s="269">
        <f>L337+Table3[[#This Row],[Calls Ans]]</f>
        <v>114242</v>
      </c>
      <c r="M338" s="127">
        <v>0.9</v>
      </c>
      <c r="N338" s="127">
        <v>0.04</v>
      </c>
      <c r="O338" s="127">
        <v>0.96</v>
      </c>
      <c r="P338" s="127">
        <v>0.51</v>
      </c>
      <c r="Q338" s="283">
        <v>0.96</v>
      </c>
      <c r="R338" s="300">
        <v>163</v>
      </c>
      <c r="S338" s="301">
        <v>2.013888888888889E-2</v>
      </c>
      <c r="T338" s="286">
        <v>5</v>
      </c>
      <c r="U338" s="127" t="str">
        <f t="shared" si="24"/>
        <v>Normal</v>
      </c>
      <c r="V338" s="127" t="str">
        <f t="shared" si="25"/>
        <v>Normal</v>
      </c>
      <c r="W338" s="87">
        <f t="shared" si="26"/>
        <v>-0.14794520547945206</v>
      </c>
      <c r="X338" s="87">
        <f t="shared" si="27"/>
        <v>-0.13662790697674418</v>
      </c>
      <c r="Y338" s="273"/>
      <c r="Z338" s="273"/>
      <c r="AA338" s="273"/>
      <c r="AB338" s="273"/>
      <c r="AC338" s="273"/>
      <c r="AD338" s="273"/>
      <c r="AE338" s="273"/>
      <c r="AF338" s="273"/>
      <c r="AG338" s="273"/>
      <c r="AH338" s="273"/>
      <c r="AI338" s="273"/>
      <c r="AJ338" s="273"/>
      <c r="AK338" s="273"/>
      <c r="AT338">
        <f>MINUTE(Table3[[#This Row],[AHT]])</f>
        <v>0</v>
      </c>
      <c r="AU338">
        <f>SECOND(Table3[[#This Row],[AHT]])</f>
        <v>0</v>
      </c>
      <c r="AX338">
        <v>163</v>
      </c>
    </row>
    <row r="339" spans="1:50">
      <c r="A339" s="287">
        <v>44989</v>
      </c>
      <c r="B339" s="315">
        <f>IF(YEAR(Table9[[#This Row],[Date]]) = 2022, WEEKNUM(Table9[[#This Row],[Date]])-13, WEEKNUM(Table9[[#This Row],[Date]])+40)</f>
        <v>49</v>
      </c>
      <c r="C339" s="255" t="s">
        <v>53</v>
      </c>
      <c r="D339" s="65" t="s">
        <v>59</v>
      </c>
      <c r="E339" s="269">
        <v>230</v>
      </c>
      <c r="F339" s="269">
        <v>219</v>
      </c>
      <c r="G339" s="282">
        <f>IFERROR((Table3[[#This Row],[Calls Off]]-E332)/E332,0)</f>
        <v>5.9907834101382486E-2</v>
      </c>
      <c r="H339" s="282">
        <f>IFERROR((Table3[[#This Row],[Calls Ans]]-F332)/F332,0)</f>
        <v>0.15873015873015872</v>
      </c>
      <c r="I339" s="269">
        <f>Table3[[#This Row],[Calls Off]]+I338</f>
        <v>1398</v>
      </c>
      <c r="J339" s="269">
        <f>Table3[[#This Row],[Calls Ans]]+J338</f>
        <v>1284</v>
      </c>
      <c r="K339" s="269">
        <f>K338+Table3[[#This Row],[Calls Off]]</f>
        <v>143383</v>
      </c>
      <c r="L339" s="269">
        <f>L338+Table3[[#This Row],[Calls Ans]]</f>
        <v>114461</v>
      </c>
      <c r="M339" s="127">
        <v>0.89</v>
      </c>
      <c r="N339" s="127">
        <v>0.04</v>
      </c>
      <c r="O339" s="127">
        <v>0.96</v>
      </c>
      <c r="P339" s="127">
        <v>0.47</v>
      </c>
      <c r="Q339" s="283">
        <v>0.97</v>
      </c>
      <c r="R339" s="300">
        <v>128</v>
      </c>
      <c r="S339" s="301">
        <v>3.6111111111111115E-2</v>
      </c>
      <c r="T339" s="286">
        <v>3</v>
      </c>
      <c r="U339" s="127" t="str">
        <f t="shared" si="24"/>
        <v>Normal</v>
      </c>
      <c r="V339" s="127" t="str">
        <f t="shared" si="25"/>
        <v>Normal</v>
      </c>
      <c r="W339" s="87">
        <f t="shared" si="26"/>
        <v>5.9907834101382486E-2</v>
      </c>
      <c r="X339" s="87">
        <f t="shared" si="27"/>
        <v>0.15873015873015872</v>
      </c>
      <c r="Y339" s="273"/>
      <c r="Z339" s="273"/>
      <c r="AA339" s="273"/>
      <c r="AB339" s="273"/>
      <c r="AC339" s="273"/>
      <c r="AD339" s="273"/>
      <c r="AE339" s="273"/>
      <c r="AF339" s="273"/>
      <c r="AG339" s="273"/>
      <c r="AH339" s="273"/>
      <c r="AI339" s="273"/>
      <c r="AJ339" s="273"/>
      <c r="AK339" s="273"/>
      <c r="AT339">
        <f>MINUTE(Table3[[#This Row],[AHT]])</f>
        <v>0</v>
      </c>
      <c r="AU339">
        <f>SECOND(Table3[[#This Row],[AHT]])</f>
        <v>0</v>
      </c>
      <c r="AX339">
        <v>128</v>
      </c>
    </row>
    <row r="340" spans="1:50">
      <c r="A340" s="287">
        <v>44990</v>
      </c>
      <c r="B340" s="315">
        <f>IF(YEAR(Table9[[#This Row],[Date]]) = 2022, WEEKNUM(Table9[[#This Row],[Date]])-13, WEEKNUM(Table9[[#This Row],[Date]])+40)</f>
        <v>50</v>
      </c>
      <c r="C340" s="255" t="s">
        <v>47</v>
      </c>
      <c r="D340" s="65" t="s">
        <v>59</v>
      </c>
      <c r="E340" s="269">
        <v>0</v>
      </c>
      <c r="F340" s="269">
        <v>0</v>
      </c>
      <c r="G340" s="282">
        <f>IFERROR((Table3[[#This Row],[Calls Off]]-E333)/E333,0)</f>
        <v>0</v>
      </c>
      <c r="H340" s="282">
        <f>IFERROR((Table3[[#This Row],[Calls Ans]]-F333)/F333,0)</f>
        <v>0</v>
      </c>
      <c r="I340" s="269">
        <v>0</v>
      </c>
      <c r="J340" s="269">
        <v>0</v>
      </c>
      <c r="K340" s="269">
        <v>0</v>
      </c>
      <c r="L340" s="269">
        <v>0</v>
      </c>
      <c r="M340" s="127">
        <v>0</v>
      </c>
      <c r="N340" s="127">
        <v>0</v>
      </c>
      <c r="O340" s="127">
        <v>0</v>
      </c>
      <c r="P340" s="127">
        <v>0</v>
      </c>
      <c r="Q340" s="283">
        <v>0</v>
      </c>
      <c r="R340" s="300">
        <v>0</v>
      </c>
      <c r="S340" s="301">
        <v>0</v>
      </c>
      <c r="T340" s="286">
        <v>0</v>
      </c>
      <c r="U340" s="127" t="str">
        <f t="shared" si="24"/>
        <v>Normal</v>
      </c>
      <c r="V340" s="127" t="str">
        <f t="shared" si="25"/>
        <v>Normal</v>
      </c>
      <c r="W340" s="87">
        <f t="shared" si="26"/>
        <v>0</v>
      </c>
      <c r="X340" s="87">
        <f t="shared" si="27"/>
        <v>0</v>
      </c>
      <c r="Y340" s="273"/>
      <c r="Z340" s="273"/>
      <c r="AA340" s="273"/>
      <c r="AB340" s="273"/>
      <c r="AC340" s="273"/>
      <c r="AD340" s="273"/>
      <c r="AE340" s="273"/>
      <c r="AF340" s="273"/>
      <c r="AG340" s="273"/>
      <c r="AH340" s="273"/>
      <c r="AI340" s="273"/>
      <c r="AJ340" s="273"/>
      <c r="AK340" s="273"/>
      <c r="AT340">
        <f>MINUTE(Table3[[#This Row],[AHT]])</f>
        <v>0</v>
      </c>
      <c r="AU340">
        <f>SECOND(Table3[[#This Row],[AHT]])</f>
        <v>0</v>
      </c>
      <c r="AX340">
        <v>0</v>
      </c>
    </row>
    <row r="341" spans="1:50">
      <c r="A341" s="287">
        <v>44991</v>
      </c>
      <c r="B341" s="315">
        <f>IF(YEAR(Table9[[#This Row],[Date]]) = 2022, WEEKNUM(Table9[[#This Row],[Date]])-13, WEEKNUM(Table9[[#This Row],[Date]])+40)</f>
        <v>50</v>
      </c>
      <c r="C341" s="255" t="s">
        <v>48</v>
      </c>
      <c r="D341" s="65" t="s">
        <v>59</v>
      </c>
      <c r="E341" s="269">
        <v>439</v>
      </c>
      <c r="F341" s="269">
        <v>401</v>
      </c>
      <c r="G341" s="282">
        <f>IFERROR((Table3[[#This Row],[Calls Off]]-E334)/E334,0)</f>
        <v>-1.3483146067415731E-2</v>
      </c>
      <c r="H341" s="282">
        <f>IFERROR((Table3[[#This Row],[Calls Ans]]-F334)/F334,0)</f>
        <v>-3.140096618357488E-2</v>
      </c>
      <c r="I341" s="269">
        <f>Table3[[#This Row],[Calls Off]]+I339</f>
        <v>1837</v>
      </c>
      <c r="J341" s="269">
        <f>Table3[[#This Row],[Calls Ans]]+J339</f>
        <v>1685</v>
      </c>
      <c r="K341" s="269">
        <f>K339+Table3[[#This Row],[Calls Off]]</f>
        <v>143822</v>
      </c>
      <c r="L341" s="269">
        <f>L339+Table3[[#This Row],[Calls Ans]]</f>
        <v>114862</v>
      </c>
      <c r="M341" s="127">
        <v>0.75</v>
      </c>
      <c r="N341" s="127">
        <v>0.09</v>
      </c>
      <c r="O341" s="127">
        <v>0.91</v>
      </c>
      <c r="P341" s="127">
        <v>0.53</v>
      </c>
      <c r="Q341" s="283">
        <v>0.98</v>
      </c>
      <c r="R341" s="300">
        <v>181</v>
      </c>
      <c r="S341" s="301">
        <v>3.7499999999999999E-2</v>
      </c>
      <c r="T341" s="286">
        <v>6</v>
      </c>
      <c r="U341" s="127" t="str">
        <f t="shared" si="24"/>
        <v>Normal</v>
      </c>
      <c r="V341" s="127" t="str">
        <f t="shared" si="25"/>
        <v>Normal</v>
      </c>
      <c r="W341" s="87">
        <f t="shared" si="26"/>
        <v>-1.3483146067415731E-2</v>
      </c>
      <c r="X341" s="87">
        <f t="shared" si="27"/>
        <v>-3.140096618357488E-2</v>
      </c>
      <c r="Y341" s="273"/>
      <c r="Z341" s="273"/>
      <c r="AA341" s="273"/>
      <c r="AB341" s="273"/>
      <c r="AC341" s="273"/>
      <c r="AD341" s="273"/>
      <c r="AE341" s="273"/>
      <c r="AF341" s="273"/>
      <c r="AG341" s="273"/>
      <c r="AH341" s="273"/>
      <c r="AI341" s="273"/>
      <c r="AJ341" s="273"/>
      <c r="AK341" s="273"/>
      <c r="AM341" s="50"/>
      <c r="AN341" s="50"/>
      <c r="AO341" s="50"/>
      <c r="AT341">
        <f>MINUTE(Table3[[#This Row],[AHT]])</f>
        <v>0</v>
      </c>
      <c r="AU341">
        <f>SECOND(Table3[[#This Row],[AHT]])</f>
        <v>0</v>
      </c>
      <c r="AX341">
        <v>181</v>
      </c>
    </row>
    <row r="342" spans="1:50">
      <c r="A342" s="287">
        <v>44992</v>
      </c>
      <c r="B342" s="315">
        <f>IF(YEAR(Table9[[#This Row],[Date]]) = 2022, WEEKNUM(Table9[[#This Row],[Date]])-13, WEEKNUM(Table9[[#This Row],[Date]])+40)</f>
        <v>50</v>
      </c>
      <c r="C342" s="255" t="s">
        <v>49</v>
      </c>
      <c r="D342" s="65" t="s">
        <v>59</v>
      </c>
      <c r="E342" s="269">
        <v>402</v>
      </c>
      <c r="F342" s="269">
        <v>380</v>
      </c>
      <c r="G342" s="282">
        <f>IFERROR((Table3[[#This Row],[Calls Off]]-E335)/E335,0)</f>
        <v>-9.8654708520179366E-2</v>
      </c>
      <c r="H342" s="282">
        <f>IFERROR((Table3[[#This Row],[Calls Ans]]-F335)/F335,0)</f>
        <v>-2.8132992327365727E-2</v>
      </c>
      <c r="I342" s="269">
        <f>Table3[[#This Row],[Calls Off]]+I341</f>
        <v>2239</v>
      </c>
      <c r="J342" s="269">
        <f>Table3[[#This Row],[Calls Ans]]+J341</f>
        <v>2065</v>
      </c>
      <c r="K342" s="269">
        <f>K341+Table3[[#This Row],[Calls Off]]</f>
        <v>144224</v>
      </c>
      <c r="L342" s="269">
        <f>L341+Table3[[#This Row],[Calls Ans]]</f>
        <v>115242</v>
      </c>
      <c r="M342" s="127">
        <v>0.89</v>
      </c>
      <c r="N342" s="127">
        <v>0.05</v>
      </c>
      <c r="O342" s="127">
        <v>0.95</v>
      </c>
      <c r="P342" s="127">
        <v>0.44</v>
      </c>
      <c r="Q342" s="283">
        <v>0.97</v>
      </c>
      <c r="R342" s="300">
        <v>177</v>
      </c>
      <c r="S342" s="301">
        <v>2.6388888888888889E-2</v>
      </c>
      <c r="T342" s="286">
        <v>6</v>
      </c>
      <c r="U342" s="127" t="str">
        <f t="shared" si="24"/>
        <v>Normal</v>
      </c>
      <c r="V342" s="127" t="str">
        <f t="shared" si="25"/>
        <v>Normal</v>
      </c>
      <c r="W342" s="87">
        <f t="shared" si="26"/>
        <v>-9.8654708520179366E-2</v>
      </c>
      <c r="X342" s="87">
        <f t="shared" si="27"/>
        <v>-2.8132992327365727E-2</v>
      </c>
      <c r="Y342" s="273"/>
      <c r="Z342" s="273"/>
      <c r="AA342" s="273"/>
      <c r="AB342" s="273"/>
      <c r="AC342" s="273"/>
      <c r="AD342" s="273"/>
      <c r="AE342" s="273"/>
      <c r="AF342" s="273"/>
      <c r="AG342" s="273"/>
      <c r="AH342" s="273"/>
      <c r="AI342" s="273"/>
      <c r="AJ342" s="273"/>
      <c r="AK342" s="273"/>
      <c r="AT342">
        <f>MINUTE(Table3[[#This Row],[AHT]])</f>
        <v>0</v>
      </c>
      <c r="AU342">
        <f>SECOND(Table3[[#This Row],[AHT]])</f>
        <v>0</v>
      </c>
      <c r="AX342">
        <v>177</v>
      </c>
    </row>
    <row r="343" spans="1:50">
      <c r="A343" s="287">
        <v>44993</v>
      </c>
      <c r="B343" s="315">
        <f>IF(YEAR(Table9[[#This Row],[Date]]) = 2022, WEEKNUM(Table9[[#This Row],[Date]])-13, WEEKNUM(Table9[[#This Row],[Date]])+40)</f>
        <v>50</v>
      </c>
      <c r="C343" s="255" t="s">
        <v>50</v>
      </c>
      <c r="D343" s="65" t="s">
        <v>59</v>
      </c>
      <c r="E343" s="269">
        <v>343</v>
      </c>
      <c r="F343" s="269">
        <v>335</v>
      </c>
      <c r="G343" s="282">
        <f>IFERROR((Table3[[#This Row],[Calls Off]]-E336)/E336,0)</f>
        <v>-0.17349397590361446</v>
      </c>
      <c r="H343" s="282">
        <f>IFERROR((Table3[[#This Row],[Calls Ans]]-F336)/F336,0)</f>
        <v>-4.8295454545454544E-2</v>
      </c>
      <c r="I343" s="269">
        <f>Table3[[#This Row],[Calls Off]]+I342</f>
        <v>2582</v>
      </c>
      <c r="J343" s="269">
        <f>Table3[[#This Row],[Calls Ans]]+J342</f>
        <v>2400</v>
      </c>
      <c r="K343" s="269">
        <f>K342+Table3[[#This Row],[Calls Off]]</f>
        <v>144567</v>
      </c>
      <c r="L343" s="269">
        <f>L342+Table3[[#This Row],[Calls Ans]]</f>
        <v>115577</v>
      </c>
      <c r="M343" s="127">
        <v>0.9</v>
      </c>
      <c r="N343" s="127">
        <v>0.02</v>
      </c>
      <c r="O343" s="127">
        <v>0.98</v>
      </c>
      <c r="P343" s="127">
        <v>0.46</v>
      </c>
      <c r="Q343" s="283">
        <v>0.46</v>
      </c>
      <c r="R343" s="300">
        <v>162</v>
      </c>
      <c r="S343" s="301">
        <v>1.7361111111111112E-2</v>
      </c>
      <c r="T343" s="286">
        <v>5</v>
      </c>
      <c r="U343" s="127" t="str">
        <f t="shared" si="24"/>
        <v>Normal</v>
      </c>
      <c r="V343" s="127" t="str">
        <f t="shared" si="25"/>
        <v>Normal</v>
      </c>
      <c r="W343" s="87">
        <f t="shared" si="26"/>
        <v>-0.17349397590361446</v>
      </c>
      <c r="X343" s="87">
        <f t="shared" si="27"/>
        <v>-4.8295454545454544E-2</v>
      </c>
      <c r="Y343" s="273"/>
      <c r="Z343" s="273"/>
      <c r="AA343" s="273"/>
      <c r="AB343" s="273"/>
      <c r="AC343" s="273"/>
      <c r="AD343" s="273"/>
      <c r="AE343" s="273"/>
      <c r="AF343" s="273"/>
      <c r="AG343" s="273"/>
      <c r="AH343" s="273"/>
      <c r="AI343" s="273"/>
      <c r="AJ343" s="273"/>
      <c r="AK343" s="273"/>
      <c r="AT343">
        <f>MINUTE(Table3[[#This Row],[AHT]])</f>
        <v>0</v>
      </c>
      <c r="AU343">
        <f>SECOND(Table3[[#This Row],[AHT]])</f>
        <v>0</v>
      </c>
      <c r="AX343">
        <v>162</v>
      </c>
    </row>
    <row r="344" spans="1:50">
      <c r="A344" s="287">
        <v>44994</v>
      </c>
      <c r="B344" s="315">
        <f>IF(YEAR(Table9[[#This Row],[Date]]) = 2022, WEEKNUM(Table9[[#This Row],[Date]])-13, WEEKNUM(Table9[[#This Row],[Date]])+40)</f>
        <v>50</v>
      </c>
      <c r="C344" s="255" t="s">
        <v>51</v>
      </c>
      <c r="D344" s="65" t="s">
        <v>59</v>
      </c>
      <c r="E344" s="269">
        <v>334</v>
      </c>
      <c r="F344" s="269">
        <v>321</v>
      </c>
      <c r="G344" s="282">
        <f>IFERROR((Table3[[#This Row],[Calls Off]]-E337)/E337,0)</f>
        <v>-0.24434389140271492</v>
      </c>
      <c r="H344" s="282">
        <f>IFERROR((Table3[[#This Row],[Calls Ans]]-F337)/F337,0)</f>
        <v>-0.22836538461538461</v>
      </c>
      <c r="I344" s="269">
        <f>Table3[[#This Row],[Calls Off]]+I343</f>
        <v>2916</v>
      </c>
      <c r="J344" s="269">
        <f>Table3[[#This Row],[Calls Ans]]+J343</f>
        <v>2721</v>
      </c>
      <c r="K344" s="269">
        <f>K343+Table3[[#This Row],[Calls Off]]</f>
        <v>144901</v>
      </c>
      <c r="L344" s="269">
        <f>L343+Table3[[#This Row],[Calls Ans]]</f>
        <v>115898</v>
      </c>
      <c r="M344" s="127">
        <v>0.91</v>
      </c>
      <c r="N344" s="127">
        <v>0.04</v>
      </c>
      <c r="O344" s="127">
        <v>0.96</v>
      </c>
      <c r="P344" s="127">
        <v>0.37</v>
      </c>
      <c r="Q344" s="283">
        <v>0.97</v>
      </c>
      <c r="R344" s="300">
        <v>154</v>
      </c>
      <c r="S344" s="301">
        <v>4.5138888888888888E-2</v>
      </c>
      <c r="T344" s="286">
        <v>6</v>
      </c>
      <c r="U344" s="127" t="str">
        <f t="shared" si="24"/>
        <v>Normal</v>
      </c>
      <c r="V344" s="127" t="str">
        <f t="shared" si="25"/>
        <v>Normal</v>
      </c>
      <c r="W344" s="87">
        <f t="shared" si="26"/>
        <v>-0.24434389140271492</v>
      </c>
      <c r="X344" s="87">
        <f t="shared" si="27"/>
        <v>-0.22836538461538461</v>
      </c>
      <c r="Y344" s="273"/>
      <c r="Z344" s="273"/>
      <c r="AA344" s="273"/>
      <c r="AB344" s="273"/>
      <c r="AC344" s="273"/>
      <c r="AD344" s="273"/>
      <c r="AE344" s="273"/>
      <c r="AF344" s="273"/>
      <c r="AG344" s="273"/>
      <c r="AH344" s="273"/>
      <c r="AI344" s="273"/>
      <c r="AJ344" s="273"/>
      <c r="AK344" s="273"/>
      <c r="AT344">
        <f>MINUTE(Table3[[#This Row],[AHT]])</f>
        <v>0</v>
      </c>
      <c r="AU344">
        <f>SECOND(Table3[[#This Row],[AHT]])</f>
        <v>0</v>
      </c>
      <c r="AX344">
        <v>154</v>
      </c>
    </row>
    <row r="345" spans="1:50">
      <c r="A345" s="287">
        <v>44995</v>
      </c>
      <c r="B345" s="315">
        <f>IF(YEAR(Table9[[#This Row],[Date]]) = 2022, WEEKNUM(Table9[[#This Row],[Date]])-13, WEEKNUM(Table9[[#This Row],[Date]])+40)</f>
        <v>50</v>
      </c>
      <c r="C345" s="255" t="s">
        <v>52</v>
      </c>
      <c r="D345" s="65" t="s">
        <v>59</v>
      </c>
      <c r="E345" s="269">
        <v>395</v>
      </c>
      <c r="F345" s="269">
        <v>380</v>
      </c>
      <c r="G345" s="282">
        <f>IFERROR((Table3[[#This Row],[Calls Off]]-E338)/E338,0)</f>
        <v>0.27009646302250806</v>
      </c>
      <c r="H345" s="282">
        <f>IFERROR((Table3[[#This Row],[Calls Ans]]-F338)/F338,0)</f>
        <v>0.27946127946127947</v>
      </c>
      <c r="I345" s="269">
        <f>Table3[[#This Row],[Calls Off]]+I344</f>
        <v>3311</v>
      </c>
      <c r="J345" s="269">
        <f>Table3[[#This Row],[Calls Ans]]+J344</f>
        <v>3101</v>
      </c>
      <c r="K345" s="269">
        <f>K344+Table3[[#This Row],[Calls Off]]</f>
        <v>145296</v>
      </c>
      <c r="L345" s="269">
        <f>L344+Table3[[#This Row],[Calls Ans]]</f>
        <v>116278</v>
      </c>
      <c r="M345" s="127">
        <v>0.9</v>
      </c>
      <c r="N345" s="127">
        <v>0.04</v>
      </c>
      <c r="O345" s="127">
        <v>0.96</v>
      </c>
      <c r="P345" s="127">
        <v>0.44</v>
      </c>
      <c r="Q345" s="283">
        <v>0.97</v>
      </c>
      <c r="R345" s="300">
        <v>151</v>
      </c>
      <c r="S345" s="301">
        <v>1.6666666666666666E-2</v>
      </c>
      <c r="T345" s="286">
        <v>6</v>
      </c>
      <c r="U345" s="127" t="str">
        <f t="shared" si="24"/>
        <v>Normal</v>
      </c>
      <c r="V345" s="127" t="str">
        <f t="shared" si="25"/>
        <v>Normal</v>
      </c>
      <c r="W345" s="87">
        <f t="shared" si="26"/>
        <v>0.27009646302250806</v>
      </c>
      <c r="X345" s="87">
        <f t="shared" si="27"/>
        <v>0.27946127946127947</v>
      </c>
      <c r="Y345" s="273"/>
      <c r="Z345" s="273"/>
      <c r="AA345" s="273"/>
      <c r="AB345" s="273"/>
      <c r="AC345" s="273"/>
      <c r="AD345" s="273"/>
      <c r="AE345" s="273"/>
      <c r="AF345" s="273"/>
      <c r="AG345" s="273"/>
      <c r="AH345" s="273"/>
      <c r="AI345" s="273"/>
      <c r="AJ345" s="273"/>
      <c r="AK345" s="273"/>
      <c r="AT345">
        <f>MINUTE(Table3[[#This Row],[AHT]])</f>
        <v>0</v>
      </c>
      <c r="AU345">
        <f>SECOND(Table3[[#This Row],[AHT]])</f>
        <v>0</v>
      </c>
      <c r="AX345">
        <v>151</v>
      </c>
    </row>
    <row r="346" spans="1:50">
      <c r="A346" s="287">
        <v>44996</v>
      </c>
      <c r="B346" s="315">
        <f>IF(YEAR(Table9[[#This Row],[Date]]) = 2022, WEEKNUM(Table9[[#This Row],[Date]])-13, WEEKNUM(Table9[[#This Row],[Date]])+40)</f>
        <v>50</v>
      </c>
      <c r="C346" s="255" t="s">
        <v>53</v>
      </c>
      <c r="D346" s="65" t="s">
        <v>59</v>
      </c>
      <c r="E346" s="269">
        <v>175</v>
      </c>
      <c r="F346" s="269">
        <v>166</v>
      </c>
      <c r="G346" s="282">
        <f>IFERROR((Table3[[#This Row],[Calls Off]]-E339)/E339,0)</f>
        <v>-0.2391304347826087</v>
      </c>
      <c r="H346" s="282">
        <f>IFERROR((Table3[[#This Row],[Calls Ans]]-F339)/F339,0)</f>
        <v>-0.24200913242009131</v>
      </c>
      <c r="I346" s="269">
        <f>Table3[[#This Row],[Calls Off]]+I344</f>
        <v>3091</v>
      </c>
      <c r="J346" s="269">
        <f>Table3[[#This Row],[Calls Ans]]+J344</f>
        <v>2887</v>
      </c>
      <c r="K346" s="269">
        <f>K344+Table3[[#This Row],[Calls Off]]</f>
        <v>145076</v>
      </c>
      <c r="L346" s="269">
        <f>L344+Table3[[#This Row],[Calls Ans]]</f>
        <v>116064</v>
      </c>
      <c r="M346" s="127">
        <v>0.87</v>
      </c>
      <c r="N346" s="127">
        <v>0.05</v>
      </c>
      <c r="O346" s="127">
        <v>0.95</v>
      </c>
      <c r="P346" s="127">
        <v>0.5</v>
      </c>
      <c r="Q346" s="283">
        <v>0.96</v>
      </c>
      <c r="R346" s="300">
        <v>166</v>
      </c>
      <c r="S346" s="301">
        <v>3.4722222222222224E-2</v>
      </c>
      <c r="T346" s="286">
        <v>3</v>
      </c>
      <c r="U346" s="127" t="str">
        <f t="shared" si="24"/>
        <v>Normal</v>
      </c>
      <c r="V346" s="127" t="str">
        <f t="shared" si="25"/>
        <v>Normal</v>
      </c>
      <c r="W346" s="87">
        <f t="shared" si="26"/>
        <v>-0.2391304347826087</v>
      </c>
      <c r="X346" s="87">
        <f t="shared" si="27"/>
        <v>-0.24200913242009131</v>
      </c>
      <c r="Y346" s="273"/>
      <c r="Z346" s="273"/>
      <c r="AA346" s="273"/>
      <c r="AB346" s="273"/>
      <c r="AC346" s="273"/>
      <c r="AD346" s="273"/>
      <c r="AE346" s="273"/>
      <c r="AF346" s="273"/>
      <c r="AG346" s="273"/>
      <c r="AH346" s="273"/>
      <c r="AI346" s="273"/>
      <c r="AJ346" s="273"/>
      <c r="AK346" s="273"/>
      <c r="AT346">
        <f>MINUTE(Table3[[#This Row],[AHT]])</f>
        <v>0</v>
      </c>
      <c r="AU346">
        <f>SECOND(Table3[[#This Row],[AHT]])</f>
        <v>0</v>
      </c>
      <c r="AX346">
        <v>166</v>
      </c>
    </row>
    <row r="347" spans="1:50">
      <c r="A347" s="287">
        <v>44997</v>
      </c>
      <c r="B347" s="315">
        <f>IF(YEAR(Table9[[#This Row],[Date]]) = 2022, WEEKNUM(Table9[[#This Row],[Date]])-13, WEEKNUM(Table9[[#This Row],[Date]])+40)</f>
        <v>51</v>
      </c>
      <c r="C347" s="255" t="s">
        <v>47</v>
      </c>
      <c r="D347" s="65" t="s">
        <v>59</v>
      </c>
      <c r="E347" s="269">
        <v>0</v>
      </c>
      <c r="F347" s="269">
        <v>0</v>
      </c>
      <c r="G347" s="282">
        <v>0</v>
      </c>
      <c r="H347" s="282">
        <v>0</v>
      </c>
      <c r="I347" s="269">
        <v>0</v>
      </c>
      <c r="J347" s="269">
        <v>0</v>
      </c>
      <c r="K347" s="269">
        <v>0</v>
      </c>
      <c r="L347" s="269">
        <v>0</v>
      </c>
      <c r="M347" s="127">
        <v>0</v>
      </c>
      <c r="N347" s="127">
        <v>0</v>
      </c>
      <c r="O347" s="127">
        <v>0</v>
      </c>
      <c r="P347" s="127">
        <v>0</v>
      </c>
      <c r="Q347" s="283">
        <v>0</v>
      </c>
      <c r="R347" s="300">
        <v>0</v>
      </c>
      <c r="S347" s="301">
        <v>0</v>
      </c>
      <c r="T347" s="286">
        <v>0</v>
      </c>
      <c r="U347" s="127" t="str">
        <f t="shared" si="24"/>
        <v>Normal</v>
      </c>
      <c r="V347" s="127" t="str">
        <f t="shared" si="25"/>
        <v>Normal</v>
      </c>
      <c r="W347" s="87">
        <f t="shared" si="26"/>
        <v>0</v>
      </c>
      <c r="X347" s="87">
        <f t="shared" si="27"/>
        <v>0</v>
      </c>
      <c r="Y347" s="273"/>
      <c r="Z347" s="273"/>
      <c r="AA347" s="273"/>
      <c r="AB347" s="273"/>
      <c r="AC347" s="273"/>
      <c r="AD347" s="273"/>
      <c r="AE347" s="273"/>
      <c r="AF347" s="273"/>
      <c r="AG347" s="273"/>
      <c r="AH347" s="273"/>
      <c r="AI347" s="273"/>
      <c r="AJ347" s="273"/>
      <c r="AK347" s="273"/>
      <c r="AT347">
        <f>MINUTE(Table3[[#This Row],[AHT]])</f>
        <v>0</v>
      </c>
      <c r="AU347">
        <f>SECOND(Table3[[#This Row],[AHT]])</f>
        <v>0</v>
      </c>
      <c r="AX347">
        <v>0</v>
      </c>
    </row>
    <row r="348" spans="1:50">
      <c r="A348" s="287">
        <v>44998</v>
      </c>
      <c r="B348" s="315">
        <f>IF(YEAR(Table9[[#This Row],[Date]]) = 2022, WEEKNUM(Table9[[#This Row],[Date]])-13, WEEKNUM(Table9[[#This Row],[Date]])+40)</f>
        <v>51</v>
      </c>
      <c r="C348" s="255" t="s">
        <v>48</v>
      </c>
      <c r="D348" s="65" t="s">
        <v>59</v>
      </c>
      <c r="E348" s="269">
        <v>434</v>
      </c>
      <c r="F348" s="269">
        <v>382</v>
      </c>
      <c r="G348" s="282">
        <f>IFERROR((Table3[[#This Row],[Calls Off]]-E341)/E341,0)</f>
        <v>-1.1389521640091117E-2</v>
      </c>
      <c r="H348" s="282">
        <f>IFERROR((Table3[[#This Row],[Calls Ans]]-F341)/F341,0)</f>
        <v>-4.738154613466334E-2</v>
      </c>
      <c r="I348" s="269">
        <f>Table3[[#This Row],[Calls Off]]+I346</f>
        <v>3525</v>
      </c>
      <c r="J348" s="269">
        <f>Table3[[#This Row],[Calls Ans]]+J346</f>
        <v>3269</v>
      </c>
      <c r="K348" s="269">
        <f>K346+Table3[[#This Row],[Calls Off]]</f>
        <v>145510</v>
      </c>
      <c r="L348" s="269">
        <f>L346+Table3[[#This Row],[Calls Ans]]</f>
        <v>116446</v>
      </c>
      <c r="M348" s="127">
        <v>0.66</v>
      </c>
      <c r="N348" s="127">
        <v>0.12</v>
      </c>
      <c r="O348" s="127">
        <v>0.88</v>
      </c>
      <c r="P348" s="127">
        <v>0.57999999999999996</v>
      </c>
      <c r="Q348" s="283">
        <v>0.96</v>
      </c>
      <c r="R348" s="300">
        <v>174</v>
      </c>
      <c r="S348" s="301">
        <v>7.8472222222222221E-2</v>
      </c>
      <c r="T348" s="286">
        <v>6</v>
      </c>
      <c r="U348" s="127" t="str">
        <f t="shared" si="24"/>
        <v>Normal</v>
      </c>
      <c r="V348" s="127" t="str">
        <f t="shared" si="25"/>
        <v>Normal</v>
      </c>
      <c r="W348" s="87">
        <f t="shared" si="26"/>
        <v>-1.1389521640091117E-2</v>
      </c>
      <c r="X348" s="87">
        <f t="shared" si="27"/>
        <v>-4.738154613466334E-2</v>
      </c>
      <c r="Y348" s="273"/>
      <c r="Z348" s="273"/>
      <c r="AA348" s="273"/>
      <c r="AB348" s="273"/>
      <c r="AC348" s="273"/>
      <c r="AD348" s="273"/>
      <c r="AE348" s="273"/>
      <c r="AF348" s="273"/>
      <c r="AG348" s="273"/>
      <c r="AH348" s="273"/>
      <c r="AI348" s="273"/>
      <c r="AJ348" s="273"/>
      <c r="AK348" s="273"/>
      <c r="AT348">
        <f>MINUTE(Table3[[#This Row],[AHT]])</f>
        <v>0</v>
      </c>
      <c r="AU348">
        <f>SECOND(Table3[[#This Row],[AHT]])</f>
        <v>0</v>
      </c>
      <c r="AX348">
        <v>174</v>
      </c>
    </row>
    <row r="349" spans="1:50">
      <c r="A349" s="287">
        <v>44999</v>
      </c>
      <c r="B349" s="315">
        <f>IF(YEAR(Table9[[#This Row],[Date]]) = 2022, WEEKNUM(Table9[[#This Row],[Date]])-13, WEEKNUM(Table9[[#This Row],[Date]])+40)</f>
        <v>51</v>
      </c>
      <c r="C349" s="255" t="s">
        <v>49</v>
      </c>
      <c r="D349" s="65" t="s">
        <v>59</v>
      </c>
      <c r="E349" s="269">
        <v>415</v>
      </c>
      <c r="F349" s="269">
        <v>353</v>
      </c>
      <c r="G349" s="282">
        <f>IFERROR((Table3[[#This Row],[Calls Off]]-E342)/E342,0)</f>
        <v>3.2338308457711441E-2</v>
      </c>
      <c r="H349" s="282">
        <f>IFERROR((Table3[[#This Row],[Calls Ans]]-F342)/F342,0)</f>
        <v>-7.1052631578947367E-2</v>
      </c>
      <c r="I349" s="269">
        <f>Table3[[#This Row],[Calls Off]]+I348</f>
        <v>3940</v>
      </c>
      <c r="J349" s="269">
        <f>Table3[[#This Row],[Calls Ans]]+J348</f>
        <v>3622</v>
      </c>
      <c r="K349" s="269">
        <f>K348+Table3[[#This Row],[Calls Off]]</f>
        <v>145925</v>
      </c>
      <c r="L349" s="269">
        <f>L348+Table3[[#This Row],[Calls Ans]]</f>
        <v>116799</v>
      </c>
      <c r="M349" s="127">
        <v>0.6</v>
      </c>
      <c r="N349" s="127">
        <v>0.15</v>
      </c>
      <c r="O349" s="127">
        <v>0.85</v>
      </c>
      <c r="P349" s="127">
        <v>0.61</v>
      </c>
      <c r="Q349" s="283">
        <v>0.97</v>
      </c>
      <c r="R349" s="300">
        <v>175</v>
      </c>
      <c r="S349" s="301">
        <v>9.7916666666666666E-2</v>
      </c>
      <c r="T349" s="286">
        <v>4</v>
      </c>
      <c r="U349" s="127" t="str">
        <f t="shared" si="24"/>
        <v>Normal</v>
      </c>
      <c r="V349" s="127" t="str">
        <f t="shared" si="25"/>
        <v>Normal</v>
      </c>
      <c r="W349" s="87">
        <f t="shared" si="26"/>
        <v>3.2338308457711441E-2</v>
      </c>
      <c r="X349" s="87">
        <f t="shared" si="27"/>
        <v>-7.1052631578947367E-2</v>
      </c>
      <c r="Y349" s="273"/>
      <c r="Z349" s="273"/>
      <c r="AA349" s="273"/>
      <c r="AB349" s="273"/>
      <c r="AC349" s="273"/>
      <c r="AD349" s="273"/>
      <c r="AE349" s="273"/>
      <c r="AF349" s="273"/>
      <c r="AG349" s="273"/>
      <c r="AH349" s="273"/>
      <c r="AI349" s="273"/>
      <c r="AJ349" s="273"/>
      <c r="AK349" s="273"/>
      <c r="AT349">
        <f>MINUTE(Table3[[#This Row],[AHT]])</f>
        <v>0</v>
      </c>
      <c r="AU349">
        <f>SECOND(Table3[[#This Row],[AHT]])</f>
        <v>0</v>
      </c>
      <c r="AX349">
        <v>175</v>
      </c>
    </row>
    <row r="350" spans="1:50">
      <c r="A350" s="287">
        <v>45000</v>
      </c>
      <c r="B350" s="315">
        <f>IF(YEAR(Table9[[#This Row],[Date]]) = 2022, WEEKNUM(Table9[[#This Row],[Date]])-13, WEEKNUM(Table9[[#This Row],[Date]])+40)</f>
        <v>51</v>
      </c>
      <c r="C350" s="255" t="s">
        <v>50</v>
      </c>
      <c r="D350" s="65" t="s">
        <v>59</v>
      </c>
      <c r="E350" s="269">
        <v>438</v>
      </c>
      <c r="F350" s="269">
        <v>406</v>
      </c>
      <c r="G350" s="282">
        <f>IFERROR((Table3[[#This Row],[Calls Off]]-E343)/E343,0)</f>
        <v>0.27696793002915454</v>
      </c>
      <c r="H350" s="282">
        <f>IFERROR((Table3[[#This Row],[Calls Ans]]-F343)/F343,0)</f>
        <v>0.21194029850746268</v>
      </c>
      <c r="I350" s="269">
        <f>Table3[[#This Row],[Calls Off]]+I349</f>
        <v>4378</v>
      </c>
      <c r="J350" s="269">
        <f>Table3[[#This Row],[Calls Ans]]+J349</f>
        <v>4028</v>
      </c>
      <c r="K350" s="269">
        <f>K349+Table3[[#This Row],[Calls Off]]</f>
        <v>146363</v>
      </c>
      <c r="L350" s="269">
        <f>L349+Table3[[#This Row],[Calls Ans]]</f>
        <v>117205</v>
      </c>
      <c r="M350" s="127">
        <v>0.77</v>
      </c>
      <c r="N350" s="127">
        <v>7.0000000000000007E-2</v>
      </c>
      <c r="O350" s="127">
        <v>0.93</v>
      </c>
      <c r="P350" s="127">
        <v>0.7</v>
      </c>
      <c r="Q350" s="283">
        <v>0.97</v>
      </c>
      <c r="R350" s="300">
        <v>155</v>
      </c>
      <c r="S350" s="301">
        <v>4.9305555555555554E-2</v>
      </c>
      <c r="T350" s="286">
        <v>4</v>
      </c>
      <c r="U350" s="127" t="str">
        <f t="shared" si="24"/>
        <v>Normal</v>
      </c>
      <c r="V350" s="127" t="str">
        <f t="shared" si="25"/>
        <v>Normal</v>
      </c>
      <c r="W350" s="87">
        <f t="shared" si="26"/>
        <v>0.27696793002915454</v>
      </c>
      <c r="X350" s="87">
        <f t="shared" si="27"/>
        <v>0.21194029850746268</v>
      </c>
      <c r="Y350" s="273"/>
      <c r="Z350" s="273"/>
      <c r="AA350" s="273"/>
      <c r="AB350" s="273"/>
      <c r="AC350" s="273"/>
      <c r="AD350" s="273"/>
      <c r="AE350" s="273"/>
      <c r="AF350" s="273"/>
      <c r="AG350" s="273"/>
      <c r="AH350" s="273"/>
      <c r="AI350" s="273"/>
      <c r="AJ350" s="273"/>
      <c r="AK350" s="273"/>
      <c r="AT350">
        <f>MINUTE(Table3[[#This Row],[AHT]])</f>
        <v>0</v>
      </c>
      <c r="AU350">
        <f>SECOND(Table3[[#This Row],[AHT]])</f>
        <v>0</v>
      </c>
      <c r="AX350">
        <v>155</v>
      </c>
    </row>
    <row r="351" spans="1:50">
      <c r="A351" s="287">
        <v>45001</v>
      </c>
      <c r="B351" s="315">
        <f>IF(YEAR(Table9[[#This Row],[Date]]) = 2022, WEEKNUM(Table9[[#This Row],[Date]])-13, WEEKNUM(Table9[[#This Row],[Date]])+40)</f>
        <v>51</v>
      </c>
      <c r="C351" s="255" t="s">
        <v>51</v>
      </c>
      <c r="D351" s="65" t="s">
        <v>59</v>
      </c>
      <c r="E351" s="269">
        <v>424</v>
      </c>
      <c r="F351" s="269">
        <v>405</v>
      </c>
      <c r="G351" s="282">
        <f>IFERROR((Table3[[#This Row],[Calls Off]]-E344)/E344,0)</f>
        <v>0.26946107784431139</v>
      </c>
      <c r="H351" s="282">
        <f>IFERROR((Table3[[#This Row],[Calls Ans]]-F344)/F344,0)</f>
        <v>0.26168224299065418</v>
      </c>
      <c r="I351" s="269">
        <f>Table3[[#This Row],[Calls Off]]+I350</f>
        <v>4802</v>
      </c>
      <c r="J351" s="269">
        <f>Table3[[#This Row],[Calls Ans]]+J350</f>
        <v>4433</v>
      </c>
      <c r="K351" s="269">
        <f>K350+Table3[[#This Row],[Calls Off]]</f>
        <v>146787</v>
      </c>
      <c r="L351" s="269">
        <f>L350+Table3[[#This Row],[Calls Ans]]</f>
        <v>117610</v>
      </c>
      <c r="M351" s="127">
        <v>0.89</v>
      </c>
      <c r="N351" s="127">
        <v>0.04</v>
      </c>
      <c r="O351" s="127">
        <v>0.96</v>
      </c>
      <c r="P351" s="127">
        <v>0.7</v>
      </c>
      <c r="Q351" s="283">
        <v>0.96</v>
      </c>
      <c r="R351" s="300">
        <v>126</v>
      </c>
      <c r="S351" s="301">
        <v>1.8749999999999999E-2</v>
      </c>
      <c r="T351" s="286">
        <v>4</v>
      </c>
      <c r="U351" s="127" t="str">
        <f t="shared" si="24"/>
        <v>Normal</v>
      </c>
      <c r="V351" s="127" t="str">
        <f t="shared" si="25"/>
        <v>Normal</v>
      </c>
      <c r="W351" s="87">
        <f t="shared" si="26"/>
        <v>0.26946107784431139</v>
      </c>
      <c r="X351" s="87">
        <f t="shared" si="27"/>
        <v>0.26168224299065418</v>
      </c>
      <c r="Y351" s="273"/>
      <c r="Z351" s="273"/>
      <c r="AA351" s="273"/>
      <c r="AB351" s="273"/>
      <c r="AC351" s="273"/>
      <c r="AD351" s="273"/>
      <c r="AE351" s="273"/>
      <c r="AF351" s="273"/>
      <c r="AG351" s="273"/>
      <c r="AH351" s="273"/>
      <c r="AI351" s="273"/>
      <c r="AJ351" s="273"/>
      <c r="AK351" s="273"/>
      <c r="AT351">
        <f>MINUTE(Table3[[#This Row],[AHT]])</f>
        <v>0</v>
      </c>
      <c r="AU351">
        <f>SECOND(Table3[[#This Row],[AHT]])</f>
        <v>0</v>
      </c>
      <c r="AX351">
        <v>126</v>
      </c>
    </row>
    <row r="352" spans="1:50">
      <c r="A352" s="287">
        <v>45002</v>
      </c>
      <c r="B352" s="315">
        <f>IF(YEAR(Table9[[#This Row],[Date]]) = 2022, WEEKNUM(Table9[[#This Row],[Date]])-13, WEEKNUM(Table9[[#This Row],[Date]])+40)</f>
        <v>51</v>
      </c>
      <c r="C352" s="255" t="s">
        <v>52</v>
      </c>
      <c r="D352" s="65" t="s">
        <v>59</v>
      </c>
      <c r="E352" s="269">
        <v>400</v>
      </c>
      <c r="F352" s="269">
        <v>381</v>
      </c>
      <c r="G352" s="282">
        <f>IFERROR((Table3[[#This Row],[Calls Off]]-E345)/E345,0)</f>
        <v>1.2658227848101266E-2</v>
      </c>
      <c r="H352" s="282">
        <f>IFERROR((Table3[[#This Row],[Calls Ans]]-F345)/F345,0)</f>
        <v>2.631578947368421E-3</v>
      </c>
      <c r="I352" s="269">
        <f>Table3[[#This Row],[Calls Off]]+I351</f>
        <v>5202</v>
      </c>
      <c r="J352" s="269">
        <f>Table3[[#This Row],[Calls Ans]]+J351</f>
        <v>4814</v>
      </c>
      <c r="K352" s="269">
        <f>K351+Table3[[#This Row],[Calls Off]]</f>
        <v>147187</v>
      </c>
      <c r="L352" s="269">
        <f>L351+Table3[[#This Row],[Calls Ans]]</f>
        <v>117991</v>
      </c>
      <c r="M352" s="127">
        <v>0.85</v>
      </c>
      <c r="N352" s="127">
        <v>0.05</v>
      </c>
      <c r="O352" s="127">
        <v>0.95</v>
      </c>
      <c r="P352" s="127">
        <v>0.69</v>
      </c>
      <c r="Q352" s="283">
        <v>0.96</v>
      </c>
      <c r="R352" s="300">
        <v>161</v>
      </c>
      <c r="S352" s="301">
        <v>2.6388888888888889E-2</v>
      </c>
      <c r="T352" s="286">
        <v>5</v>
      </c>
      <c r="U352" s="127" t="str">
        <f t="shared" si="24"/>
        <v>Normal</v>
      </c>
      <c r="V352" s="127" t="str">
        <f t="shared" si="25"/>
        <v>Normal</v>
      </c>
      <c r="W352" s="87">
        <f t="shared" si="26"/>
        <v>1.2658227848101266E-2</v>
      </c>
      <c r="X352" s="87">
        <f t="shared" si="27"/>
        <v>2.631578947368421E-3</v>
      </c>
      <c r="Y352" s="273"/>
      <c r="Z352" s="273"/>
      <c r="AA352" s="273"/>
      <c r="AB352" s="273"/>
      <c r="AC352" s="273"/>
      <c r="AD352" s="273"/>
      <c r="AE352" s="273"/>
      <c r="AF352" s="273"/>
      <c r="AG352" s="273"/>
      <c r="AH352" s="273"/>
      <c r="AI352" s="273"/>
      <c r="AJ352" s="273"/>
      <c r="AK352" s="273"/>
      <c r="AT352">
        <f>MINUTE(Table3[[#This Row],[AHT]])</f>
        <v>0</v>
      </c>
      <c r="AU352">
        <f>SECOND(Table3[[#This Row],[AHT]])</f>
        <v>0</v>
      </c>
      <c r="AX352">
        <v>161</v>
      </c>
    </row>
    <row r="353" spans="1:50">
      <c r="A353" s="287">
        <v>45003</v>
      </c>
      <c r="B353" s="315">
        <f>IF(YEAR(Table9[[#This Row],[Date]]) = 2022, WEEKNUM(Table9[[#This Row],[Date]])-13, WEEKNUM(Table9[[#This Row],[Date]])+40)</f>
        <v>51</v>
      </c>
      <c r="C353" s="255" t="s">
        <v>53</v>
      </c>
      <c r="D353" s="65" t="s">
        <v>59</v>
      </c>
      <c r="E353" s="269">
        <v>255</v>
      </c>
      <c r="F353" s="269">
        <v>231</v>
      </c>
      <c r="G353" s="282">
        <f>IFERROR((Table3[[#This Row],[Calls Off]]-E346)/E346,0)</f>
        <v>0.45714285714285713</v>
      </c>
      <c r="H353" s="282">
        <f>IFERROR((Table3[[#This Row],[Calls Ans]]-F346)/F346,0)</f>
        <v>0.39156626506024095</v>
      </c>
      <c r="I353" s="269">
        <f>Table3[[#This Row],[Calls Off]]+I351</f>
        <v>5057</v>
      </c>
      <c r="J353" s="269">
        <f>Table3[[#This Row],[Calls Ans]]+J351</f>
        <v>4664</v>
      </c>
      <c r="K353" s="269">
        <f>K351+Table3[[#This Row],[Calls Off]]</f>
        <v>147042</v>
      </c>
      <c r="L353" s="269">
        <f>L351+Table3[[#This Row],[Calls Ans]]</f>
        <v>117841</v>
      </c>
      <c r="M353" s="127">
        <v>0.73</v>
      </c>
      <c r="N353" s="127">
        <v>0.09</v>
      </c>
      <c r="O353" s="127">
        <v>0.91</v>
      </c>
      <c r="P353" s="127">
        <v>0.57999999999999996</v>
      </c>
      <c r="Q353" s="283">
        <v>0.96</v>
      </c>
      <c r="R353" s="300">
        <v>139</v>
      </c>
      <c r="S353" s="301">
        <v>9.4444444444444442E-2</v>
      </c>
      <c r="T353" s="286">
        <v>4</v>
      </c>
      <c r="U353" s="127" t="str">
        <f t="shared" si="24"/>
        <v>Outlier</v>
      </c>
      <c r="V353" s="127" t="str">
        <f t="shared" si="25"/>
        <v>Outlier</v>
      </c>
      <c r="W353" s="87">
        <f t="shared" si="26"/>
        <v>0.45714285714285713</v>
      </c>
      <c r="X353" s="87">
        <f t="shared" si="27"/>
        <v>0.39156626506024095</v>
      </c>
      <c r="Y353" s="273"/>
      <c r="Z353" s="273"/>
      <c r="AA353" s="273"/>
      <c r="AB353" s="273"/>
      <c r="AC353" s="273"/>
      <c r="AD353" s="273"/>
      <c r="AE353" s="273"/>
      <c r="AF353" s="273"/>
      <c r="AG353" s="273"/>
      <c r="AH353" s="273"/>
      <c r="AI353" s="273"/>
      <c r="AJ353" s="273"/>
      <c r="AK353" s="273"/>
      <c r="AT353">
        <f>MINUTE(Table3[[#This Row],[AHT]])</f>
        <v>0</v>
      </c>
      <c r="AU353">
        <f>SECOND(Table3[[#This Row],[AHT]])</f>
        <v>0</v>
      </c>
      <c r="AX353">
        <v>139</v>
      </c>
    </row>
    <row r="354" spans="1:50">
      <c r="A354" s="287">
        <v>45004</v>
      </c>
      <c r="B354" s="315">
        <f>IF(YEAR(Table9[[#This Row],[Date]]) = 2022, WEEKNUM(Table9[[#This Row],[Date]])-13, WEEKNUM(Table9[[#This Row],[Date]])+40)</f>
        <v>52</v>
      </c>
      <c r="C354" s="255" t="s">
        <v>47</v>
      </c>
      <c r="D354" s="65" t="s">
        <v>59</v>
      </c>
      <c r="E354" s="269">
        <v>0</v>
      </c>
      <c r="F354" s="269">
        <v>0</v>
      </c>
      <c r="G354" s="282">
        <v>0</v>
      </c>
      <c r="H354" s="282">
        <v>0</v>
      </c>
      <c r="I354" s="269">
        <v>0</v>
      </c>
      <c r="J354" s="269">
        <v>0</v>
      </c>
      <c r="K354" s="269">
        <v>0</v>
      </c>
      <c r="L354" s="269">
        <v>0</v>
      </c>
      <c r="M354" s="127">
        <v>0</v>
      </c>
      <c r="N354" s="127">
        <v>0</v>
      </c>
      <c r="O354" s="127">
        <v>0</v>
      </c>
      <c r="P354" s="127">
        <v>0</v>
      </c>
      <c r="Q354" s="283">
        <v>0</v>
      </c>
      <c r="R354" s="300">
        <v>0</v>
      </c>
      <c r="S354" s="301">
        <v>0</v>
      </c>
      <c r="T354" s="286">
        <v>0</v>
      </c>
      <c r="U354" s="127" t="str">
        <f t="shared" si="24"/>
        <v>Normal</v>
      </c>
      <c r="V354" s="127" t="str">
        <f t="shared" si="25"/>
        <v>Normal</v>
      </c>
      <c r="W354" s="87">
        <f t="shared" si="26"/>
        <v>0</v>
      </c>
      <c r="X354" s="87">
        <f t="shared" si="27"/>
        <v>0</v>
      </c>
      <c r="Y354" s="273"/>
      <c r="Z354" s="273"/>
      <c r="AA354" s="273"/>
      <c r="AB354" s="273"/>
      <c r="AC354" s="273"/>
      <c r="AD354" s="273"/>
      <c r="AE354" s="273"/>
      <c r="AF354" s="273"/>
      <c r="AG354" s="273"/>
      <c r="AH354" s="273"/>
      <c r="AI354" s="273"/>
      <c r="AJ354" s="273"/>
      <c r="AK354" s="273"/>
      <c r="AT354">
        <f>MINUTE(Table3[[#This Row],[AHT]])</f>
        <v>0</v>
      </c>
      <c r="AU354">
        <f>SECOND(Table3[[#This Row],[AHT]])</f>
        <v>0</v>
      </c>
      <c r="AX354">
        <v>0</v>
      </c>
    </row>
    <row r="355" spans="1:50">
      <c r="A355" s="287">
        <v>45005</v>
      </c>
      <c r="B355" s="315">
        <f>IF(YEAR(Table9[[#This Row],[Date]]) = 2022, WEEKNUM(Table9[[#This Row],[Date]])-13, WEEKNUM(Table9[[#This Row],[Date]])+40)</f>
        <v>52</v>
      </c>
      <c r="C355" s="255" t="s">
        <v>48</v>
      </c>
      <c r="D355" s="65" t="s">
        <v>59</v>
      </c>
      <c r="E355" s="269">
        <v>374</v>
      </c>
      <c r="F355" s="269">
        <v>310</v>
      </c>
      <c r="G355" s="282">
        <f>IFERROR((Table3[[#This Row],[Calls Off]]-E348)/E348,0)</f>
        <v>-0.13824884792626729</v>
      </c>
      <c r="H355" s="282">
        <f>IFERROR((Table3[[#This Row],[Calls Ans]]-F348)/F348,0)</f>
        <v>-0.18848167539267016</v>
      </c>
      <c r="I355" s="269">
        <f>Table3[[#This Row],[Calls Off]]+I353</f>
        <v>5431</v>
      </c>
      <c r="J355" s="269">
        <f>Table3[[#This Row],[Calls Ans]]+J353</f>
        <v>4974</v>
      </c>
      <c r="K355" s="269">
        <f>K353+Table3[[#This Row],[Calls Off]]</f>
        <v>147416</v>
      </c>
      <c r="L355" s="269">
        <f>L353+Table3[[#This Row],[Calls Ans]]</f>
        <v>118151</v>
      </c>
      <c r="M355" s="127">
        <v>0.66</v>
      </c>
      <c r="N355" s="127">
        <v>0.17</v>
      </c>
      <c r="O355" s="127">
        <v>0.83</v>
      </c>
      <c r="P355" s="127">
        <v>0.43</v>
      </c>
      <c r="Q355" s="283">
        <v>0.98</v>
      </c>
      <c r="R355" s="300">
        <v>176</v>
      </c>
      <c r="S355" s="301">
        <v>0.26111111111111113</v>
      </c>
      <c r="T355" s="286">
        <v>5</v>
      </c>
      <c r="U355" s="127" t="str">
        <f t="shared" si="24"/>
        <v>Normal</v>
      </c>
      <c r="V355" s="127" t="str">
        <f t="shared" si="25"/>
        <v>Normal</v>
      </c>
      <c r="W355" s="87">
        <f t="shared" si="26"/>
        <v>-0.13824884792626729</v>
      </c>
      <c r="X355" s="87">
        <f t="shared" si="27"/>
        <v>-0.18848167539267016</v>
      </c>
      <c r="Y355" s="273"/>
      <c r="Z355" s="273"/>
      <c r="AA355" s="273"/>
      <c r="AB355" s="273"/>
      <c r="AC355" s="273"/>
      <c r="AD355" s="273"/>
      <c r="AE355" s="273"/>
      <c r="AF355" s="273"/>
      <c r="AG355" s="273"/>
      <c r="AH355" s="273"/>
      <c r="AI355" s="273"/>
      <c r="AJ355" s="273"/>
      <c r="AK355" s="273"/>
      <c r="AT355">
        <f>MINUTE(Table3[[#This Row],[AHT]])</f>
        <v>0</v>
      </c>
      <c r="AU355">
        <f>SECOND(Table3[[#This Row],[AHT]])</f>
        <v>0</v>
      </c>
      <c r="AX355">
        <v>176</v>
      </c>
    </row>
    <row r="356" spans="1:50">
      <c r="A356" s="287">
        <v>45006</v>
      </c>
      <c r="B356" s="315">
        <f>IF(YEAR(Table9[[#This Row],[Date]]) = 2022, WEEKNUM(Table9[[#This Row],[Date]])-13, WEEKNUM(Table9[[#This Row],[Date]])+40)</f>
        <v>52</v>
      </c>
      <c r="C356" s="255" t="s">
        <v>49</v>
      </c>
      <c r="D356" s="65" t="s">
        <v>59</v>
      </c>
      <c r="E356" s="269">
        <v>333</v>
      </c>
      <c r="F356" s="269">
        <v>322</v>
      </c>
      <c r="G356" s="282">
        <f>IFERROR((Table3[[#This Row],[Calls Off]]-E349)/E349,0)</f>
        <v>-0.19759036144578312</v>
      </c>
      <c r="H356" s="282">
        <f>IFERROR((Table3[[#This Row],[Calls Ans]]-F349)/F349,0)</f>
        <v>-8.7818696883852687E-2</v>
      </c>
      <c r="I356" s="269">
        <f>Table3[[#This Row],[Calls Off]]+I355</f>
        <v>5764</v>
      </c>
      <c r="J356" s="269">
        <f>Table3[[#This Row],[Calls Ans]]+J355</f>
        <v>5296</v>
      </c>
      <c r="K356" s="269">
        <f>K355+Table3[[#This Row],[Calls Off]]</f>
        <v>147749</v>
      </c>
      <c r="L356" s="269">
        <f>L355+Table3[[#This Row],[Calls Ans]]</f>
        <v>118473</v>
      </c>
      <c r="M356" s="127">
        <v>0.89</v>
      </c>
      <c r="N356" s="127">
        <v>0.03</v>
      </c>
      <c r="O356" s="127">
        <v>0.97</v>
      </c>
      <c r="P356" s="127">
        <v>0.56000000000000005</v>
      </c>
      <c r="Q356" s="283">
        <v>0.97</v>
      </c>
      <c r="R356" s="300">
        <v>162</v>
      </c>
      <c r="S356" s="301">
        <v>2.2222222222222223E-2</v>
      </c>
      <c r="T356" s="286">
        <v>4</v>
      </c>
      <c r="U356" s="127" t="str">
        <f t="shared" si="24"/>
        <v>Normal</v>
      </c>
      <c r="V356" s="127" t="str">
        <f t="shared" si="25"/>
        <v>Normal</v>
      </c>
      <c r="W356" s="87">
        <f t="shared" si="26"/>
        <v>-0.19759036144578312</v>
      </c>
      <c r="X356" s="87">
        <f t="shared" si="27"/>
        <v>-8.7818696883852687E-2</v>
      </c>
      <c r="Y356" s="273"/>
      <c r="Z356" s="273"/>
      <c r="AA356" s="273"/>
      <c r="AB356" s="273"/>
      <c r="AC356" s="273"/>
      <c r="AD356" s="273"/>
      <c r="AE356" s="273"/>
      <c r="AF356" s="273"/>
      <c r="AG356" s="273"/>
      <c r="AH356" s="273"/>
      <c r="AI356" s="273"/>
      <c r="AJ356" s="273"/>
      <c r="AK356" s="273"/>
      <c r="AT356">
        <f>MINUTE(Table3[[#This Row],[AHT]])</f>
        <v>0</v>
      </c>
      <c r="AU356">
        <f>SECOND(Table3[[#This Row],[AHT]])</f>
        <v>0</v>
      </c>
      <c r="AX356">
        <v>162</v>
      </c>
    </row>
    <row r="357" spans="1:50">
      <c r="A357" s="287">
        <v>45007</v>
      </c>
      <c r="B357" s="315">
        <f>IF(YEAR(Table9[[#This Row],[Date]]) = 2022, WEEKNUM(Table9[[#This Row],[Date]])-13, WEEKNUM(Table9[[#This Row],[Date]])+40)</f>
        <v>52</v>
      </c>
      <c r="C357" s="255" t="s">
        <v>50</v>
      </c>
      <c r="D357" s="65" t="s">
        <v>59</v>
      </c>
      <c r="E357" s="269">
        <v>471</v>
      </c>
      <c r="F357" s="269">
        <v>431</v>
      </c>
      <c r="G357" s="282">
        <f>IFERROR((Table3[[#This Row],[Calls Off]]-E350)/E350,0)</f>
        <v>7.5342465753424653E-2</v>
      </c>
      <c r="H357" s="282">
        <f>IFERROR((Table3[[#This Row],[Calls Ans]]-F350)/F350,0)</f>
        <v>6.1576354679802957E-2</v>
      </c>
      <c r="I357" s="269">
        <f>Table3[[#This Row],[Calls Off]]+I356</f>
        <v>6235</v>
      </c>
      <c r="J357" s="269">
        <f>Table3[[#This Row],[Calls Ans]]+J356</f>
        <v>5727</v>
      </c>
      <c r="K357" s="269">
        <f>K356+Table3[[#This Row],[Calls Off]]</f>
        <v>148220</v>
      </c>
      <c r="L357" s="269">
        <f>L356+Table3[[#This Row],[Calls Ans]]</f>
        <v>118904</v>
      </c>
      <c r="M357" s="127">
        <v>0.75</v>
      </c>
      <c r="N357" s="127">
        <v>0.08</v>
      </c>
      <c r="O357" s="127">
        <v>0.92</v>
      </c>
      <c r="P357" s="127">
        <v>0.74</v>
      </c>
      <c r="Q357" s="283">
        <v>0.96</v>
      </c>
      <c r="R357" s="300">
        <v>166</v>
      </c>
      <c r="S357" s="301">
        <v>5.347222222222222E-2</v>
      </c>
      <c r="T357" s="286">
        <v>4</v>
      </c>
      <c r="U357" s="127" t="str">
        <f t="shared" si="24"/>
        <v>Normal</v>
      </c>
      <c r="V357" s="127" t="str">
        <f t="shared" si="25"/>
        <v>Normal</v>
      </c>
      <c r="W357" s="87">
        <f t="shared" si="26"/>
        <v>7.5342465753424653E-2</v>
      </c>
      <c r="X357" s="87">
        <f t="shared" si="27"/>
        <v>6.1576354679802957E-2</v>
      </c>
      <c r="Y357" s="273"/>
      <c r="Z357" s="273"/>
      <c r="AA357" s="273"/>
      <c r="AB357" s="273"/>
      <c r="AC357" s="273"/>
      <c r="AD357" s="273"/>
      <c r="AE357" s="273"/>
      <c r="AF357" s="273"/>
      <c r="AG357" s="273"/>
      <c r="AH357" s="273"/>
      <c r="AI357" s="273"/>
      <c r="AJ357" s="273"/>
      <c r="AK357" s="273"/>
      <c r="AT357">
        <f>MINUTE(Table3[[#This Row],[AHT]])</f>
        <v>0</v>
      </c>
      <c r="AU357">
        <f>SECOND(Table3[[#This Row],[AHT]])</f>
        <v>0</v>
      </c>
      <c r="AX357">
        <v>166</v>
      </c>
    </row>
    <row r="358" spans="1:50">
      <c r="A358" s="287">
        <v>45008</v>
      </c>
      <c r="B358" s="315">
        <f>IF(YEAR(Table9[[#This Row],[Date]]) = 2022, WEEKNUM(Table9[[#This Row],[Date]])-13, WEEKNUM(Table9[[#This Row],[Date]])+40)</f>
        <v>52</v>
      </c>
      <c r="C358" s="255" t="s">
        <v>51</v>
      </c>
      <c r="D358" s="65" t="s">
        <v>59</v>
      </c>
      <c r="E358" s="269">
        <v>355</v>
      </c>
      <c r="F358" s="269">
        <v>340</v>
      </c>
      <c r="G358" s="282">
        <f>IFERROR((Table3[[#This Row],[Calls Off]]-E351)/E351,0)</f>
        <v>-0.16273584905660377</v>
      </c>
      <c r="H358" s="282">
        <f>IFERROR((Table3[[#This Row],[Calls Ans]]-F351)/F351,0)</f>
        <v>-0.16049382716049382</v>
      </c>
      <c r="I358" s="269">
        <f>Table3[[#This Row],[Calls Off]]+I357</f>
        <v>6590</v>
      </c>
      <c r="J358" s="269">
        <f>Table3[[#This Row],[Calls Ans]]+J357</f>
        <v>6067</v>
      </c>
      <c r="K358" s="269">
        <f>K357+Table3[[#This Row],[Calls Off]]</f>
        <v>148575</v>
      </c>
      <c r="L358" s="269">
        <f>L357+Table3[[#This Row],[Calls Ans]]</f>
        <v>119244</v>
      </c>
      <c r="M358" s="127">
        <v>0.85</v>
      </c>
      <c r="N358" s="127">
        <v>0.04</v>
      </c>
      <c r="O358" s="127">
        <v>0.96</v>
      </c>
      <c r="P358" s="127">
        <v>0.59</v>
      </c>
      <c r="Q358" s="283">
        <v>0.99</v>
      </c>
      <c r="R358" s="300">
        <v>179</v>
      </c>
      <c r="S358" s="301">
        <v>2.7777777777777776E-2</v>
      </c>
      <c r="T358" s="286">
        <v>4</v>
      </c>
      <c r="U358" s="127" t="str">
        <f t="shared" si="24"/>
        <v>Normal</v>
      </c>
      <c r="V358" s="127" t="str">
        <f t="shared" si="25"/>
        <v>Normal</v>
      </c>
      <c r="W358" s="87">
        <f t="shared" si="26"/>
        <v>-0.16273584905660377</v>
      </c>
      <c r="X358" s="87">
        <f t="shared" si="27"/>
        <v>-0.16049382716049382</v>
      </c>
      <c r="Y358" s="273"/>
      <c r="Z358" s="273"/>
      <c r="AA358" s="273"/>
      <c r="AB358" s="273"/>
      <c r="AC358" s="273"/>
      <c r="AD358" s="273"/>
      <c r="AE358" s="273"/>
      <c r="AF358" s="273"/>
      <c r="AG358" s="273"/>
      <c r="AH358" s="273"/>
      <c r="AI358" s="273"/>
      <c r="AJ358" s="273"/>
      <c r="AK358" s="273"/>
      <c r="AT358">
        <f>MINUTE(Table3[[#This Row],[AHT]])</f>
        <v>0</v>
      </c>
      <c r="AU358">
        <f>SECOND(Table3[[#This Row],[AHT]])</f>
        <v>0</v>
      </c>
      <c r="AX358">
        <v>179</v>
      </c>
    </row>
    <row r="359" spans="1:50">
      <c r="A359" s="287">
        <v>45009</v>
      </c>
      <c r="B359" s="315">
        <f>IF(YEAR(Table9[[#This Row],[Date]]) = 2022, WEEKNUM(Table9[[#This Row],[Date]])-13, WEEKNUM(Table9[[#This Row],[Date]])+40)</f>
        <v>52</v>
      </c>
      <c r="C359" s="255" t="s">
        <v>52</v>
      </c>
      <c r="D359" s="65" t="s">
        <v>59</v>
      </c>
      <c r="E359" s="269">
        <v>328</v>
      </c>
      <c r="F359" s="269">
        <v>313</v>
      </c>
      <c r="G359" s="282">
        <f>IFERROR((Table3[[#This Row],[Calls Off]]-E352)/E352,0)</f>
        <v>-0.18</v>
      </c>
      <c r="H359" s="282">
        <f>IFERROR((Table3[[#This Row],[Calls Ans]]-F352)/F352,0)</f>
        <v>-0.17847769028871391</v>
      </c>
      <c r="I359" s="269">
        <f>Table3[[#This Row],[Calls Off]]+I358</f>
        <v>6918</v>
      </c>
      <c r="J359" s="269">
        <f>Table3[[#This Row],[Calls Ans]]+J358</f>
        <v>6380</v>
      </c>
      <c r="K359" s="269">
        <f>K358+Table3[[#This Row],[Calls Off]]</f>
        <v>148903</v>
      </c>
      <c r="L359" s="269">
        <f>L358+Table3[[#This Row],[Calls Ans]]</f>
        <v>119557</v>
      </c>
      <c r="M359" s="127">
        <v>0.92</v>
      </c>
      <c r="N359" s="127">
        <v>0.04</v>
      </c>
      <c r="O359" s="127">
        <v>0.96</v>
      </c>
      <c r="P359" s="127">
        <v>0.43</v>
      </c>
      <c r="Q359" s="283">
        <v>0.95</v>
      </c>
      <c r="R359" s="300">
        <v>177</v>
      </c>
      <c r="S359" s="301">
        <v>5.8333333333333327E-2</v>
      </c>
      <c r="T359" s="286">
        <v>5</v>
      </c>
      <c r="U359" s="127" t="str">
        <f t="shared" si="24"/>
        <v>Normal</v>
      </c>
      <c r="V359" s="127" t="str">
        <f t="shared" si="25"/>
        <v>Normal</v>
      </c>
      <c r="W359" s="87">
        <f t="shared" si="26"/>
        <v>-0.18</v>
      </c>
      <c r="X359" s="87">
        <f t="shared" si="27"/>
        <v>-0.17847769028871391</v>
      </c>
      <c r="Y359" s="273"/>
      <c r="Z359" s="273"/>
      <c r="AA359" s="273"/>
      <c r="AB359" s="273"/>
      <c r="AC359" s="273"/>
      <c r="AD359" s="273"/>
      <c r="AE359" s="273"/>
      <c r="AF359" s="273"/>
      <c r="AG359" s="273"/>
      <c r="AH359" s="273"/>
      <c r="AI359" s="273"/>
      <c r="AJ359" s="273"/>
      <c r="AK359" s="273"/>
      <c r="AT359">
        <f>MINUTE(Table3[[#This Row],[AHT]])</f>
        <v>0</v>
      </c>
      <c r="AU359">
        <f>SECOND(Table3[[#This Row],[AHT]])</f>
        <v>0</v>
      </c>
      <c r="AX359">
        <v>177</v>
      </c>
    </row>
    <row r="360" spans="1:50">
      <c r="A360" s="287">
        <v>45010</v>
      </c>
      <c r="B360" s="315">
        <f>IF(YEAR(Table9[[#This Row],[Date]]) = 2022, WEEKNUM(Table9[[#This Row],[Date]])-13, WEEKNUM(Table9[[#This Row],[Date]])+40)</f>
        <v>52</v>
      </c>
      <c r="C360" s="255" t="s">
        <v>53</v>
      </c>
      <c r="D360" s="65" t="s">
        <v>59</v>
      </c>
      <c r="E360" s="269">
        <v>297</v>
      </c>
      <c r="F360" s="269">
        <v>247</v>
      </c>
      <c r="G360" s="282">
        <f>IFERROR((Table3[[#This Row],[Calls Off]]-E353)/E353,0)</f>
        <v>0.16470588235294117</v>
      </c>
      <c r="H360" s="282">
        <f>IFERROR((Table3[[#This Row],[Calls Ans]]-F353)/F353,0)</f>
        <v>6.9264069264069264E-2</v>
      </c>
      <c r="I360" s="269">
        <f>Table3[[#This Row],[Calls Off]]+I358</f>
        <v>6887</v>
      </c>
      <c r="J360" s="269">
        <f>Table3[[#This Row],[Calls Ans]]+J358</f>
        <v>6314</v>
      </c>
      <c r="K360" s="269">
        <f>K358+Table3[[#This Row],[Calls Off]]</f>
        <v>148872</v>
      </c>
      <c r="L360" s="269">
        <f>L358+Table3[[#This Row],[Calls Ans]]</f>
        <v>119491</v>
      </c>
      <c r="M360" s="127">
        <v>0.56000000000000005</v>
      </c>
      <c r="N360" s="127">
        <v>0.17</v>
      </c>
      <c r="O360" s="127">
        <v>0.83</v>
      </c>
      <c r="P360" s="127">
        <v>0.56999999999999995</v>
      </c>
      <c r="Q360" s="283">
        <v>0.96</v>
      </c>
      <c r="R360" s="300">
        <v>167</v>
      </c>
      <c r="S360" s="301">
        <v>0.11388888888888889</v>
      </c>
      <c r="T360" s="286">
        <v>3</v>
      </c>
      <c r="U360" s="127" t="str">
        <f t="shared" si="24"/>
        <v>Normal</v>
      </c>
      <c r="V360" s="127" t="str">
        <f t="shared" si="25"/>
        <v>Normal</v>
      </c>
      <c r="W360" s="87">
        <f t="shared" si="26"/>
        <v>0.16470588235294117</v>
      </c>
      <c r="X360" s="87">
        <f t="shared" si="27"/>
        <v>6.9264069264069264E-2</v>
      </c>
      <c r="Y360" s="273"/>
      <c r="Z360" s="273"/>
      <c r="AA360" s="273"/>
      <c r="AB360" s="273"/>
      <c r="AC360" s="273"/>
      <c r="AD360" s="273"/>
      <c r="AE360" s="273"/>
      <c r="AF360" s="273"/>
      <c r="AG360" s="273"/>
      <c r="AH360" s="273"/>
      <c r="AI360" s="273"/>
      <c r="AJ360" s="273"/>
      <c r="AK360" s="273"/>
      <c r="AT360">
        <f>MINUTE(Table3[[#This Row],[AHT]])</f>
        <v>0</v>
      </c>
      <c r="AU360">
        <f>SECOND(Table3[[#This Row],[AHT]])</f>
        <v>0</v>
      </c>
      <c r="AX360">
        <v>167</v>
      </c>
    </row>
    <row r="361" spans="1:50">
      <c r="A361" s="287">
        <v>45011</v>
      </c>
      <c r="B361" s="315">
        <f>IF(YEAR(Table9[[#This Row],[Date]]) = 2022, WEEKNUM(Table9[[#This Row],[Date]])-13, WEEKNUM(Table9[[#This Row],[Date]])+40)</f>
        <v>53</v>
      </c>
      <c r="C361" s="255" t="s">
        <v>47</v>
      </c>
      <c r="D361" s="65" t="s">
        <v>59</v>
      </c>
      <c r="E361" s="269">
        <v>0</v>
      </c>
      <c r="F361" s="269">
        <v>0</v>
      </c>
      <c r="G361" s="282">
        <v>0</v>
      </c>
      <c r="H361" s="282">
        <v>0</v>
      </c>
      <c r="I361" s="269">
        <v>0</v>
      </c>
      <c r="J361" s="269">
        <v>0</v>
      </c>
      <c r="K361" s="269">
        <v>0</v>
      </c>
      <c r="L361" s="269">
        <v>0</v>
      </c>
      <c r="M361" s="127">
        <v>0</v>
      </c>
      <c r="N361" s="127">
        <v>0</v>
      </c>
      <c r="O361" s="127">
        <v>0</v>
      </c>
      <c r="P361" s="127">
        <v>0</v>
      </c>
      <c r="Q361" s="283">
        <v>0</v>
      </c>
      <c r="R361" s="300">
        <v>0</v>
      </c>
      <c r="S361" s="301">
        <v>0</v>
      </c>
      <c r="T361" s="286">
        <v>0</v>
      </c>
      <c r="U361" s="127" t="str">
        <f t="shared" si="24"/>
        <v>Normal</v>
      </c>
      <c r="V361" s="127" t="str">
        <f t="shared" si="25"/>
        <v>Normal</v>
      </c>
      <c r="W361" s="87">
        <f t="shared" si="26"/>
        <v>0</v>
      </c>
      <c r="X361" s="87">
        <f t="shared" si="27"/>
        <v>0</v>
      </c>
      <c r="Y361" s="273"/>
      <c r="Z361" s="273"/>
      <c r="AA361" s="273"/>
      <c r="AB361" s="273"/>
      <c r="AC361" s="273"/>
      <c r="AD361" s="273"/>
      <c r="AE361" s="273"/>
      <c r="AF361" s="273"/>
      <c r="AG361" s="273"/>
      <c r="AH361" s="273"/>
      <c r="AI361" s="273"/>
      <c r="AJ361" s="273"/>
      <c r="AK361" s="273"/>
      <c r="AT361">
        <f>MINUTE(Table3[[#This Row],[AHT]])</f>
        <v>0</v>
      </c>
      <c r="AU361">
        <f>SECOND(Table3[[#This Row],[AHT]])</f>
        <v>0</v>
      </c>
      <c r="AX361">
        <v>0</v>
      </c>
    </row>
    <row r="362" spans="1:50">
      <c r="A362" s="287">
        <v>45012</v>
      </c>
      <c r="B362" s="315">
        <f>IF(YEAR(Table9[[#This Row],[Date]]) = 2022, WEEKNUM(Table9[[#This Row],[Date]])-13, WEEKNUM(Table9[[#This Row],[Date]])+40)</f>
        <v>53</v>
      </c>
      <c r="C362" s="255" t="s">
        <v>48</v>
      </c>
      <c r="D362" s="65" t="s">
        <v>59</v>
      </c>
      <c r="E362" s="269">
        <v>450</v>
      </c>
      <c r="F362" s="269">
        <v>406</v>
      </c>
      <c r="G362" s="282">
        <f>IFERROR((Table3[[#This Row],[Calls Off]]-E355)/E355,0)</f>
        <v>0.20320855614973263</v>
      </c>
      <c r="H362" s="282">
        <f>IFERROR((Table3[[#This Row],[Calls Ans]]-F355)/F355,0)</f>
        <v>0.30967741935483872</v>
      </c>
      <c r="I362" s="269">
        <f>Table3[[#This Row],[Calls Off]]+I360</f>
        <v>7337</v>
      </c>
      <c r="J362" s="269">
        <f>Table3[[#This Row],[Calls Ans]]+J360</f>
        <v>6720</v>
      </c>
      <c r="K362" s="269">
        <f>K360+Table3[[#This Row],[Calls Off]]</f>
        <v>149322</v>
      </c>
      <c r="L362" s="269">
        <f>L360+Table3[[#This Row],[Calls Ans]]</f>
        <v>119897</v>
      </c>
      <c r="M362" s="127">
        <v>0.82</v>
      </c>
      <c r="N362" s="127">
        <v>0.1</v>
      </c>
      <c r="O362" s="127">
        <v>0.9</v>
      </c>
      <c r="P362" s="127">
        <v>0.47</v>
      </c>
      <c r="Q362" s="283">
        <v>0.96</v>
      </c>
      <c r="R362" s="300">
        <v>182</v>
      </c>
      <c r="S362" s="301">
        <v>6.0416666666666667E-2</v>
      </c>
      <c r="T362" s="286">
        <v>6</v>
      </c>
      <c r="U362" s="127" t="str">
        <f t="shared" si="24"/>
        <v>Normal</v>
      </c>
      <c r="V362" s="127" t="str">
        <f t="shared" si="25"/>
        <v>Normal</v>
      </c>
      <c r="W362" s="87">
        <f t="shared" si="26"/>
        <v>0.20320855614973263</v>
      </c>
      <c r="X362" s="87">
        <f t="shared" si="27"/>
        <v>0.30967741935483872</v>
      </c>
      <c r="Y362" s="273"/>
      <c r="Z362" s="273"/>
      <c r="AA362" s="273"/>
      <c r="AB362" s="273"/>
      <c r="AC362" s="273"/>
      <c r="AD362" s="273"/>
      <c r="AE362" s="273"/>
      <c r="AF362" s="273"/>
      <c r="AG362" s="273"/>
      <c r="AH362" s="273"/>
      <c r="AI362" s="273"/>
      <c r="AJ362" s="273"/>
      <c r="AK362" s="273"/>
      <c r="AT362">
        <f>MINUTE(Table3[[#This Row],[AHT]])</f>
        <v>0</v>
      </c>
      <c r="AU362">
        <f>SECOND(Table3[[#This Row],[AHT]])</f>
        <v>0</v>
      </c>
      <c r="AX362">
        <v>182</v>
      </c>
    </row>
    <row r="363" spans="1:50">
      <c r="A363" s="287">
        <v>45013</v>
      </c>
      <c r="B363" s="315">
        <f>IF(YEAR(Table9[[#This Row],[Date]]) = 2022, WEEKNUM(Table9[[#This Row],[Date]])-13, WEEKNUM(Table9[[#This Row],[Date]])+40)</f>
        <v>53</v>
      </c>
      <c r="C363" s="255" t="s">
        <v>49</v>
      </c>
      <c r="D363" s="65" t="s">
        <v>59</v>
      </c>
      <c r="E363" s="269">
        <v>420</v>
      </c>
      <c r="F363" s="269">
        <v>395</v>
      </c>
      <c r="G363" s="282">
        <f>IFERROR((Table3[[#This Row],[Calls Off]]-E356)/E356,0)</f>
        <v>0.26126126126126126</v>
      </c>
      <c r="H363" s="282">
        <f>IFERROR((Table3[[#This Row],[Calls Ans]]-F356)/F356,0)</f>
        <v>0.2267080745341615</v>
      </c>
      <c r="I363" s="269">
        <f>Table3[[#This Row],[Calls Off]]+I362</f>
        <v>7757</v>
      </c>
      <c r="J363" s="269">
        <f>Table3[[#This Row],[Calls Ans]]+J362</f>
        <v>7115</v>
      </c>
      <c r="K363" s="269">
        <f>K362+Table3[[#This Row],[Calls Off]]</f>
        <v>149742</v>
      </c>
      <c r="L363" s="269">
        <f>L362+Table3[[#This Row],[Calls Ans]]</f>
        <v>120292</v>
      </c>
      <c r="M363" s="127">
        <v>0.78</v>
      </c>
      <c r="N363" s="127">
        <v>0.06</v>
      </c>
      <c r="O363" s="127">
        <v>0.94</v>
      </c>
      <c r="P363" s="127">
        <v>0.68</v>
      </c>
      <c r="Q363" s="283">
        <v>0.98</v>
      </c>
      <c r="R363" s="300">
        <v>171</v>
      </c>
      <c r="S363" s="301">
        <v>6.6666666666666666E-2</v>
      </c>
      <c r="T363" s="286">
        <v>4</v>
      </c>
      <c r="U363" s="127" t="str">
        <f t="shared" si="24"/>
        <v>Normal</v>
      </c>
      <c r="V363" s="127" t="str">
        <f t="shared" si="25"/>
        <v>Normal</v>
      </c>
      <c r="W363" s="87">
        <f t="shared" si="26"/>
        <v>0.26126126126126126</v>
      </c>
      <c r="X363" s="87">
        <f t="shared" si="27"/>
        <v>0.2267080745341615</v>
      </c>
      <c r="Y363" s="273"/>
      <c r="Z363" s="273"/>
      <c r="AA363" s="273"/>
      <c r="AB363" s="273"/>
      <c r="AC363" s="273"/>
      <c r="AD363" s="273"/>
      <c r="AE363" s="273"/>
      <c r="AF363" s="273"/>
      <c r="AG363" s="273"/>
      <c r="AH363" s="273"/>
      <c r="AI363" s="273"/>
      <c r="AJ363" s="273"/>
      <c r="AK363" s="273"/>
      <c r="AT363">
        <f>MINUTE(Table3[[#This Row],[AHT]])</f>
        <v>0</v>
      </c>
      <c r="AU363">
        <f>SECOND(Table3[[#This Row],[AHT]])</f>
        <v>0</v>
      </c>
      <c r="AX363">
        <v>171</v>
      </c>
    </row>
    <row r="364" spans="1:50">
      <c r="A364" s="287">
        <v>45014</v>
      </c>
      <c r="B364" s="315">
        <f>IF(YEAR(Table9[[#This Row],[Date]]) = 2022, WEEKNUM(Table9[[#This Row],[Date]])-13, WEEKNUM(Table9[[#This Row],[Date]])+40)</f>
        <v>53</v>
      </c>
      <c r="C364" s="255" t="s">
        <v>50</v>
      </c>
      <c r="D364" s="65" t="s">
        <v>59</v>
      </c>
      <c r="E364" s="269">
        <v>416</v>
      </c>
      <c r="F364" s="269">
        <v>388</v>
      </c>
      <c r="G364" s="282">
        <f>IFERROR((Table3[[#This Row],[Calls Off]]-E357)/E357,0)</f>
        <v>-0.11677282377919321</v>
      </c>
      <c r="H364" s="282">
        <f>IFERROR((Table3[[#This Row],[Calls Ans]]-F357)/F357,0)</f>
        <v>-9.9767981438515077E-2</v>
      </c>
      <c r="I364" s="269">
        <f>Table3[[#This Row],[Calls Off]]+I363</f>
        <v>8173</v>
      </c>
      <c r="J364" s="269">
        <f>Table3[[#This Row],[Calls Ans]]+J363</f>
        <v>7503</v>
      </c>
      <c r="K364" s="269">
        <f>K363+Table3[[#This Row],[Calls Off]]</f>
        <v>150158</v>
      </c>
      <c r="L364" s="269">
        <f>L363+Table3[[#This Row],[Calls Ans]]</f>
        <v>120680</v>
      </c>
      <c r="M364" s="127">
        <v>0.79</v>
      </c>
      <c r="N364" s="127">
        <v>0.06</v>
      </c>
      <c r="O364" s="127">
        <v>0.94</v>
      </c>
      <c r="P364" s="127">
        <v>0.67</v>
      </c>
      <c r="Q364" s="283">
        <v>0.97</v>
      </c>
      <c r="R364" s="300">
        <v>171</v>
      </c>
      <c r="S364" s="301">
        <v>3.888888888888889E-2</v>
      </c>
      <c r="T364" s="286">
        <v>4</v>
      </c>
      <c r="U364" s="127" t="str">
        <f t="shared" si="24"/>
        <v>Normal</v>
      </c>
      <c r="V364" s="127" t="str">
        <f t="shared" si="25"/>
        <v>Normal</v>
      </c>
      <c r="W364" s="87">
        <f t="shared" si="26"/>
        <v>-0.11677282377919321</v>
      </c>
      <c r="X364" s="87">
        <f t="shared" si="27"/>
        <v>-9.9767981438515077E-2</v>
      </c>
      <c r="Y364" s="273"/>
      <c r="Z364" s="273"/>
      <c r="AA364" s="273"/>
      <c r="AB364" s="273"/>
      <c r="AC364" s="273"/>
      <c r="AD364" s="273"/>
      <c r="AE364" s="273"/>
      <c r="AF364" s="273"/>
      <c r="AG364" s="273"/>
      <c r="AH364" s="273"/>
      <c r="AI364" s="273"/>
      <c r="AJ364" s="273"/>
      <c r="AK364" s="273"/>
      <c r="AT364">
        <f>MINUTE(Table3[[#This Row],[AHT]])</f>
        <v>0</v>
      </c>
      <c r="AU364">
        <f>SECOND(Table3[[#This Row],[AHT]])</f>
        <v>0</v>
      </c>
      <c r="AX364">
        <v>171</v>
      </c>
    </row>
    <row r="365" spans="1:50">
      <c r="A365" s="287">
        <v>45015</v>
      </c>
      <c r="B365" s="315">
        <f>IF(YEAR(Table9[[#This Row],[Date]]) = 2022, WEEKNUM(Table9[[#This Row],[Date]])-13, WEEKNUM(Table9[[#This Row],[Date]])+40)</f>
        <v>53</v>
      </c>
      <c r="C365" s="255" t="s">
        <v>51</v>
      </c>
      <c r="D365" s="65" t="s">
        <v>59</v>
      </c>
      <c r="E365" s="269">
        <v>341</v>
      </c>
      <c r="F365" s="269">
        <v>328</v>
      </c>
      <c r="G365" s="282">
        <f>IFERROR((Table3[[#This Row],[Calls Off]]-E358)/E358,0)</f>
        <v>-3.9436619718309862E-2</v>
      </c>
      <c r="H365" s="282">
        <f>IFERROR((Table3[[#This Row],[Calls Ans]]-F358)/F358,0)</f>
        <v>-3.5294117647058823E-2</v>
      </c>
      <c r="I365" s="269">
        <f>Table3[[#This Row],[Calls Off]]+I364</f>
        <v>8514</v>
      </c>
      <c r="J365" s="269">
        <f>Table3[[#This Row],[Calls Ans]]+J364</f>
        <v>7831</v>
      </c>
      <c r="K365" s="269">
        <f>K364+Table3[[#This Row],[Calls Off]]</f>
        <v>150499</v>
      </c>
      <c r="L365" s="269">
        <f>L364+Table3[[#This Row],[Calls Ans]]</f>
        <v>121008</v>
      </c>
      <c r="M365" s="127">
        <v>0.89</v>
      </c>
      <c r="N365" s="127">
        <v>0.04</v>
      </c>
      <c r="O365" s="127">
        <v>0.96</v>
      </c>
      <c r="P365" s="127">
        <v>0.45</v>
      </c>
      <c r="Q365" s="283">
        <v>0.96</v>
      </c>
      <c r="R365" s="300">
        <v>174</v>
      </c>
      <c r="S365" s="301">
        <v>2.7083333333333334E-2</v>
      </c>
      <c r="T365" s="286">
        <v>5</v>
      </c>
      <c r="U365" s="127" t="str">
        <f t="shared" si="24"/>
        <v>Normal</v>
      </c>
      <c r="V365" s="127" t="str">
        <f t="shared" si="25"/>
        <v>Normal</v>
      </c>
      <c r="W365" s="87">
        <f t="shared" si="26"/>
        <v>-3.9436619718309862E-2</v>
      </c>
      <c r="X365" s="87">
        <f t="shared" si="27"/>
        <v>-3.5294117647058823E-2</v>
      </c>
      <c r="Y365" s="273"/>
      <c r="Z365" s="273"/>
      <c r="AA365" s="273"/>
      <c r="AB365" s="273"/>
      <c r="AC365" s="273"/>
      <c r="AD365" s="273"/>
      <c r="AE365" s="273"/>
      <c r="AF365" s="273"/>
      <c r="AG365" s="273"/>
      <c r="AH365" s="273"/>
      <c r="AI365" s="273"/>
      <c r="AJ365" s="273"/>
      <c r="AK365" s="273"/>
      <c r="AT365">
        <f>MINUTE(Table3[[#This Row],[AHT]])</f>
        <v>0</v>
      </c>
      <c r="AU365">
        <f>SECOND(Table3[[#This Row],[AHT]])</f>
        <v>0</v>
      </c>
      <c r="AX365">
        <v>174</v>
      </c>
    </row>
    <row r="366" spans="1:50">
      <c r="A366" s="287">
        <v>45016</v>
      </c>
      <c r="B366" s="315">
        <f>IF(YEAR(Table9[[#This Row],[Date]]) = 2022, WEEKNUM(Table9[[#This Row],[Date]])-13, WEEKNUM(Table9[[#This Row],[Date]])+40)</f>
        <v>53</v>
      </c>
      <c r="C366" s="255" t="s">
        <v>52</v>
      </c>
      <c r="D366" s="65" t="s">
        <v>59</v>
      </c>
      <c r="E366" s="269">
        <v>278</v>
      </c>
      <c r="F366" s="269">
        <v>273</v>
      </c>
      <c r="G366" s="282">
        <f>IFERROR((Table3[[#This Row],[Calls Off]]-E359)/E359,0)</f>
        <v>-0.1524390243902439</v>
      </c>
      <c r="H366" s="282">
        <f>IFERROR((Table3[[#This Row],[Calls Ans]]-F359)/F359,0)</f>
        <v>-0.12779552715654952</v>
      </c>
      <c r="I366" s="269">
        <f>Table3[[#This Row],[Calls Off]]+I365</f>
        <v>8792</v>
      </c>
      <c r="J366" s="269">
        <f>Table3[[#This Row],[Calls Ans]]+J365</f>
        <v>8104</v>
      </c>
      <c r="K366" s="269">
        <f>K365+Table3[[#This Row],[Calls Off]]</f>
        <v>150777</v>
      </c>
      <c r="L366" s="269">
        <f>L365+Table3[[#This Row],[Calls Ans]]</f>
        <v>121281</v>
      </c>
      <c r="M366" s="127">
        <v>0.96</v>
      </c>
      <c r="N366" s="127">
        <v>0.02</v>
      </c>
      <c r="O366" s="127">
        <v>0.98</v>
      </c>
      <c r="P366" s="127">
        <v>0.38</v>
      </c>
      <c r="Q366" s="283">
        <v>0.96</v>
      </c>
      <c r="R366" s="300">
        <v>149</v>
      </c>
      <c r="S366" s="301">
        <v>1.3194444444444444E-2</v>
      </c>
      <c r="T366" s="286">
        <v>5</v>
      </c>
      <c r="U366" s="127" t="str">
        <f t="shared" si="24"/>
        <v>Normal</v>
      </c>
      <c r="V366" s="127" t="str">
        <f t="shared" si="25"/>
        <v>Normal</v>
      </c>
      <c r="W366" s="87">
        <f t="shared" si="26"/>
        <v>-0.1524390243902439</v>
      </c>
      <c r="X366" s="87">
        <f t="shared" si="27"/>
        <v>-0.12779552715654952</v>
      </c>
      <c r="Y366" s="273"/>
      <c r="Z366" s="273"/>
      <c r="AA366" s="273"/>
      <c r="AB366" s="273"/>
      <c r="AC366" s="273"/>
      <c r="AD366" s="273"/>
      <c r="AE366" s="273"/>
      <c r="AF366" s="273"/>
      <c r="AG366" s="273"/>
      <c r="AH366" s="273"/>
      <c r="AI366" s="273"/>
      <c r="AJ366" s="273"/>
      <c r="AK366" s="273"/>
      <c r="AT366">
        <f>MINUTE(Table3[[#This Row],[AHT]])</f>
        <v>0</v>
      </c>
      <c r="AU366">
        <f>SECOND(Table3[[#This Row],[AHT]])</f>
        <v>0</v>
      </c>
      <c r="AX366">
        <v>149</v>
      </c>
    </row>
  </sheetData>
  <mergeCells count="6">
    <mergeCell ref="AN153:AO153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N111:AN112" xr:uid="{950C7D0C-962F-4C65-9342-74196066FA34}">
      <formula1>period_BAR</formula1>
    </dataValidation>
    <dataValidation type="list" allowBlank="1" showInputMessage="1" showErrorMessage="1" sqref="AX3:AX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/>
  <sheetData>
    <row r="1" spans="5:13" s="156" customFormat="1" ht="14.5" customHeight="1">
      <c r="E1" s="331" t="s">
        <v>84</v>
      </c>
      <c r="F1" s="331"/>
      <c r="G1" s="331"/>
      <c r="H1" s="331"/>
      <c r="I1" s="331"/>
      <c r="J1" s="331"/>
      <c r="K1" s="331"/>
      <c r="L1" s="331"/>
      <c r="M1" s="331"/>
    </row>
    <row r="2" spans="5:13" s="156" customFormat="1" ht="14.5" customHeight="1">
      <c r="E2" s="331"/>
      <c r="F2" s="331"/>
      <c r="G2" s="331"/>
      <c r="H2" s="331"/>
      <c r="I2" s="331"/>
      <c r="J2" s="331"/>
      <c r="K2" s="331"/>
      <c r="L2" s="331"/>
      <c r="M2" s="331"/>
    </row>
    <row r="3" spans="5:13" s="156" customFormat="1" ht="14.5" customHeight="1">
      <c r="E3" s="331"/>
      <c r="F3" s="331"/>
      <c r="G3" s="331"/>
      <c r="H3" s="331"/>
      <c r="I3" s="331"/>
      <c r="J3" s="331"/>
      <c r="K3" s="331"/>
      <c r="L3" s="331"/>
      <c r="M3" s="331"/>
    </row>
  </sheetData>
  <mergeCells count="1">
    <mergeCell ref="E1:M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/>
  <cols>
    <col min="1" max="1" width="18.1796875" bestFit="1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11</v>
      </c>
    </row>
    <row r="6" spans="1:1">
      <c r="A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7F9-F37D-4B78-8486-8214A2C4AEFA}">
  <sheetPr codeName="Sheet12"/>
  <dimension ref="B2:O21"/>
  <sheetViews>
    <sheetView topLeftCell="A14" workbookViewId="0">
      <selection activeCell="J17" sqref="J17"/>
    </sheetView>
  </sheetViews>
  <sheetFormatPr defaultRowHeight="14.5"/>
  <cols>
    <col min="2" max="2" width="18.1796875" bestFit="1" customWidth="1"/>
    <col min="3" max="3" width="13.81640625" bestFit="1" customWidth="1"/>
    <col min="7" max="7" width="6.26953125" customWidth="1"/>
    <col min="8" max="8" width="16.36328125" customWidth="1"/>
    <col min="9" max="9" width="13.453125" bestFit="1" customWidth="1"/>
    <col min="10" max="10" width="12.90625" bestFit="1" customWidth="1"/>
    <col min="11" max="11" width="10.6328125" bestFit="1" customWidth="1"/>
    <col min="12" max="12" width="11" customWidth="1"/>
    <col min="13" max="13" width="9" bestFit="1" customWidth="1"/>
    <col min="14" max="15" width="12.90625" bestFit="1" customWidth="1"/>
  </cols>
  <sheetData>
    <row r="2" spans="2:15" ht="15" thickBot="1"/>
    <row r="3" spans="2:15" ht="30.5" customHeight="1" thickBot="1">
      <c r="B3" s="157" t="s">
        <v>85</v>
      </c>
      <c r="C3" s="158" t="s">
        <v>93</v>
      </c>
      <c r="H3" s="332" t="s">
        <v>141</v>
      </c>
      <c r="I3" s="332"/>
      <c r="J3" s="332"/>
      <c r="K3" s="332"/>
      <c r="L3" s="332"/>
      <c r="M3" s="332"/>
    </row>
    <row r="4" spans="2:15" ht="15" thickBot="1">
      <c r="B4" s="159" t="s">
        <v>86</v>
      </c>
      <c r="C4" s="160">
        <v>444</v>
      </c>
      <c r="H4" s="175" t="s">
        <v>85</v>
      </c>
      <c r="I4" s="175" t="s">
        <v>3</v>
      </c>
      <c r="J4" s="175" t="s">
        <v>4</v>
      </c>
      <c r="K4" s="175" t="s">
        <v>5</v>
      </c>
      <c r="L4" s="175" t="s">
        <v>6</v>
      </c>
      <c r="M4" s="175" t="s">
        <v>7</v>
      </c>
    </row>
    <row r="5" spans="2:15" ht="15" thickBot="1">
      <c r="B5" s="161" t="s">
        <v>45</v>
      </c>
      <c r="C5" s="162">
        <v>639</v>
      </c>
      <c r="H5" s="175" t="s">
        <v>8</v>
      </c>
      <c r="I5" s="176">
        <v>0.86</v>
      </c>
      <c r="J5" s="176">
        <v>0.94</v>
      </c>
      <c r="K5" s="176">
        <v>0.06</v>
      </c>
      <c r="L5" s="176">
        <v>0.65</v>
      </c>
      <c r="M5" s="176">
        <v>0.95</v>
      </c>
    </row>
    <row r="6" spans="2:15" ht="15" thickBot="1">
      <c r="B6" s="159" t="s">
        <v>30</v>
      </c>
      <c r="C6" s="160">
        <v>1233</v>
      </c>
      <c r="H6" s="1" t="s">
        <v>9</v>
      </c>
      <c r="I6" s="177">
        <v>0.48</v>
      </c>
      <c r="J6" s="177">
        <v>0.74</v>
      </c>
      <c r="K6" s="177">
        <v>0.26</v>
      </c>
      <c r="L6" s="177">
        <v>0.6</v>
      </c>
      <c r="M6" s="177">
        <v>0.75</v>
      </c>
    </row>
    <row r="7" spans="2:15" ht="15" thickBot="1">
      <c r="B7" s="161" t="s">
        <v>87</v>
      </c>
      <c r="C7" s="162">
        <v>490</v>
      </c>
      <c r="H7" s="1" t="s">
        <v>142</v>
      </c>
      <c r="I7" s="177">
        <v>0.52</v>
      </c>
      <c r="J7" s="177">
        <v>0.79</v>
      </c>
      <c r="K7" s="177">
        <v>0.21</v>
      </c>
      <c r="L7" s="177">
        <v>0.73</v>
      </c>
      <c r="M7" s="173" t="s">
        <v>16</v>
      </c>
    </row>
    <row r="8" spans="2:15" ht="15" thickBot="1">
      <c r="B8" s="159" t="s">
        <v>88</v>
      </c>
      <c r="C8" s="160">
        <v>444</v>
      </c>
      <c r="H8" s="1" t="s">
        <v>11</v>
      </c>
      <c r="I8" s="177">
        <v>0.82</v>
      </c>
      <c r="J8" s="178">
        <v>0.94</v>
      </c>
      <c r="K8" s="178">
        <v>0.06</v>
      </c>
      <c r="L8" s="177">
        <v>0.62</v>
      </c>
      <c r="M8" s="178">
        <v>1</v>
      </c>
    </row>
    <row r="9" spans="2:15" ht="15" thickBot="1">
      <c r="B9" s="161" t="s">
        <v>89</v>
      </c>
      <c r="C9" s="162">
        <v>465</v>
      </c>
      <c r="H9" s="1" t="s">
        <v>13</v>
      </c>
      <c r="I9" s="177">
        <v>0.61</v>
      </c>
      <c r="J9" s="177">
        <v>0.83</v>
      </c>
      <c r="K9" s="177">
        <v>0.17</v>
      </c>
      <c r="L9" s="177">
        <v>0.64</v>
      </c>
      <c r="M9" s="178">
        <v>0.96</v>
      </c>
    </row>
    <row r="10" spans="2:15" ht="15" thickBot="1">
      <c r="B10" s="159" t="s">
        <v>46</v>
      </c>
      <c r="C10" s="160">
        <v>1281</v>
      </c>
      <c r="E10" t="s">
        <v>94</v>
      </c>
      <c r="H10" s="1" t="s">
        <v>10</v>
      </c>
      <c r="I10" s="177">
        <v>0.72</v>
      </c>
      <c r="J10" s="177">
        <v>0.93</v>
      </c>
      <c r="K10" s="177">
        <v>7.0000000000000007E-2</v>
      </c>
      <c r="L10" s="178">
        <v>0.77</v>
      </c>
      <c r="M10" s="178">
        <v>1</v>
      </c>
    </row>
    <row r="11" spans="2:15" ht="15" thickBot="1">
      <c r="B11" s="161" t="s">
        <v>44</v>
      </c>
      <c r="C11" s="162">
        <v>936</v>
      </c>
      <c r="H11" s="1" t="s">
        <v>143</v>
      </c>
      <c r="I11" s="174"/>
      <c r="J11" s="174"/>
      <c r="K11" s="174"/>
      <c r="L11" s="174"/>
      <c r="M11" s="174"/>
    </row>
    <row r="12" spans="2:15" ht="15" thickBot="1">
      <c r="B12" s="159" t="s">
        <v>90</v>
      </c>
      <c r="C12" s="160">
        <v>494</v>
      </c>
      <c r="H12" s="1" t="s">
        <v>0</v>
      </c>
      <c r="I12" s="179">
        <f>AVERAGE(I6:I10)</f>
        <v>0.62999999999999989</v>
      </c>
      <c r="J12" s="179">
        <f t="shared" ref="J12:M12" si="0">AVERAGE(J6:J10)</f>
        <v>0.84599999999999986</v>
      </c>
      <c r="K12" s="179">
        <f t="shared" si="0"/>
        <v>0.154</v>
      </c>
      <c r="L12" s="180">
        <f t="shared" si="0"/>
        <v>0.67200000000000004</v>
      </c>
      <c r="M12" s="179">
        <f t="shared" si="0"/>
        <v>0.92749999999999999</v>
      </c>
    </row>
    <row r="13" spans="2:15" ht="15" thickBot="1">
      <c r="B13" s="161" t="s">
        <v>91</v>
      </c>
      <c r="C13" s="162">
        <v>447</v>
      </c>
    </row>
    <row r="14" spans="2:15" ht="15" thickBot="1">
      <c r="B14" s="159" t="s">
        <v>92</v>
      </c>
      <c r="C14" s="160">
        <v>385</v>
      </c>
    </row>
    <row r="15" spans="2:15" ht="15" thickBot="1">
      <c r="B15" s="161" t="s">
        <v>43</v>
      </c>
      <c r="C15" s="162">
        <v>1311</v>
      </c>
    </row>
    <row r="16" spans="2:15" ht="15" thickBot="1">
      <c r="H16" s="333" t="s">
        <v>150</v>
      </c>
      <c r="I16" s="334"/>
      <c r="J16" s="334"/>
      <c r="K16" s="334"/>
      <c r="L16" s="334"/>
      <c r="M16" s="334"/>
      <c r="N16" s="334"/>
      <c r="O16" s="335"/>
    </row>
    <row r="17" spans="8:15" ht="31.5" thickBot="1">
      <c r="H17" s="181" t="s">
        <v>144</v>
      </c>
      <c r="I17" s="182" t="s">
        <v>145</v>
      </c>
      <c r="J17" s="182" t="s">
        <v>44</v>
      </c>
      <c r="K17" s="182" t="s">
        <v>11</v>
      </c>
      <c r="L17" s="182" t="s">
        <v>45</v>
      </c>
      <c r="M17" s="182" t="s">
        <v>30</v>
      </c>
      <c r="N17" s="182" t="s">
        <v>46</v>
      </c>
      <c r="O17" s="182" t="s">
        <v>0</v>
      </c>
    </row>
    <row r="18" spans="8:15" ht="16" thickBot="1">
      <c r="H18" s="183"/>
      <c r="I18" s="184" t="s">
        <v>146</v>
      </c>
      <c r="J18" s="184" t="s">
        <v>146</v>
      </c>
      <c r="K18" s="184" t="s">
        <v>146</v>
      </c>
      <c r="L18" s="184" t="s">
        <v>146</v>
      </c>
      <c r="M18" s="184" t="s">
        <v>146</v>
      </c>
      <c r="N18" s="184" t="s">
        <v>146</v>
      </c>
      <c r="O18" s="184" t="s">
        <v>146</v>
      </c>
    </row>
    <row r="19" spans="8:15" ht="16" thickBot="1">
      <c r="H19" s="185" t="s">
        <v>147</v>
      </c>
      <c r="I19" s="186"/>
      <c r="J19" s="186">
        <f>114000000/150.986</f>
        <v>755036.89083756111</v>
      </c>
      <c r="K19" s="186">
        <f>6116000/2.7</f>
        <v>2265185.1851851852</v>
      </c>
      <c r="L19" s="186"/>
      <c r="M19" s="186"/>
      <c r="N19" s="186"/>
      <c r="O19" s="186"/>
    </row>
    <row r="20" spans="8:15" ht="16" thickBot="1">
      <c r="H20" s="187" t="s">
        <v>148</v>
      </c>
      <c r="I20" s="191">
        <f>3261930.64/7.165</f>
        <v>455258.98674110259</v>
      </c>
      <c r="J20" s="188">
        <f>(106783009.78+19850522.73+19023249.48+12194156.65+8945027)/150.986</f>
        <v>1104711.4675532833</v>
      </c>
      <c r="K20" s="188">
        <f>7589198/2.7</f>
        <v>2810814.0740740737</v>
      </c>
      <c r="L20" s="188">
        <f>(379251-24164.58)/2</f>
        <v>177543.21</v>
      </c>
      <c r="M20" s="188">
        <f>(560236.49-12845.4+6551.81-59.33)/2.015</f>
        <v>274880.1836228288</v>
      </c>
      <c r="N20" s="188">
        <f>(324945766-39338326)/211.171</f>
        <v>1352493.6662704633</v>
      </c>
      <c r="O20" s="188">
        <f>SUM(I20:N20)</f>
        <v>6175701.5882617515</v>
      </c>
    </row>
    <row r="21" spans="8:15" ht="16" thickBot="1">
      <c r="H21" s="189" t="s">
        <v>149</v>
      </c>
      <c r="I21" s="190"/>
      <c r="J21" s="190">
        <f>J20/J19</f>
        <v>1.4631225056140353</v>
      </c>
      <c r="K21" s="190">
        <f>K20/K19</f>
        <v>1.2408760627861346</v>
      </c>
      <c r="L21" s="190"/>
      <c r="M21" s="190"/>
      <c r="N21" s="190"/>
      <c r="O21" s="190"/>
    </row>
  </sheetData>
  <mergeCells count="2">
    <mergeCell ref="H3:M3"/>
    <mergeCell ref="H16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108</vt:i4>
      </vt:variant>
    </vt:vector>
  </HeadingPairs>
  <TitlesOfParts>
    <vt:vector size="120" baseType="lpstr">
      <vt:lpstr>Live Chat KPIs - Weekly</vt:lpstr>
      <vt:lpstr>Live Chat KPIs - Monthly</vt:lpstr>
      <vt:lpstr>Weekly_Regional</vt:lpstr>
      <vt:lpstr>Monthly_Regional</vt:lpstr>
      <vt:lpstr>Guyana</vt:lpstr>
      <vt:lpstr>OECS</vt:lpstr>
      <vt:lpstr>Jamaica</vt:lpstr>
      <vt:lpstr>Trinidad and Tobago</vt:lpstr>
      <vt:lpstr>Barbados</vt:lpstr>
      <vt:lpstr>Dashboard</vt:lpstr>
      <vt:lpstr>Country_List</vt:lpstr>
      <vt:lpstr>Sheet1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period_OECS_WF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  <vt:lpstr>'Live Chat KPIs - Monthly'!WoW_calls_ans</vt:lpstr>
      <vt:lpstr>WoW_calls_ans</vt:lpstr>
      <vt:lpstr>'Live Chat KPIs - Monthly'!WoW_calls_off</vt:lpstr>
      <vt:lpstr>WoW_calls_off</vt:lpstr>
      <vt:lpstr>'Live Chat KPIs - Monthly'!WoW_dates_BAR</vt:lpstr>
      <vt:lpstr>WoW_dates_BAR</vt:lpstr>
      <vt:lpstr>'Live Chat KPIs - Monthly'!WoW_dates_GUY</vt:lpstr>
      <vt:lpstr>WoW_dates_GUY</vt:lpstr>
      <vt:lpstr>'Live Chat KPIs - Monthly'!WoW_dates_JAM</vt:lpstr>
      <vt:lpstr>WoW_dates_JAM</vt:lpstr>
      <vt:lpstr>'Live Chat KPIs - Monthly'!WoW_dates_OECS</vt:lpstr>
      <vt:lpstr>WoW_dates_OECS</vt:lpstr>
      <vt:lpstr>'Live Chat KPIs - Monthly'!WoW_dates_TT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2024-08-15T14:36:15Z</dcterms:modified>
</cp:coreProperties>
</file>