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OneDrive - Grupo Unicomer Unicomer Group\Work_Files_optional_recreation\Completed Reports\CC KPI_and_Live Chat\"/>
    </mc:Choice>
  </mc:AlternateContent>
  <xr:revisionPtr revIDLastSave="6313" documentId="102_{0DCA3205-B903-4B3C-BE1E-38433A76990B}" xr6:coauthVersionLast="36" xr6:coauthVersionMax="47" xr10:uidLastSave="{DC40C7AE-EBAE-4435-A8F6-A97F31B39924}"/>
  <bookViews>
    <workbookView xWindow="530" yWindow="670" windowWidth="13310" windowHeight="5480" firstSheet="2" activeTab="7" xr2:uid="{83609B99-848E-40A6-A0EE-BB7496E8433D}"/>
  </bookViews>
  <sheets>
    <sheet name="Live Chat KPIs - Weekly" sheetId="2" r:id="rId1"/>
    <sheet name="Live Chat KPIs - Monthly" sheetId="16" r:id="rId2"/>
    <sheet name="Jamaica" sheetId="9" r:id="rId3"/>
    <sheet name="Trinidad and Tobago" sheetId="8" r:id="rId4"/>
    <sheet name="Belize" sheetId="18" r:id="rId5"/>
    <sheet name="Barbados" sheetId="10" r:id="rId6"/>
    <sheet name="OECS" sheetId="12" r:id="rId7"/>
    <sheet name="Guyana" sheetId="11" r:id="rId8"/>
    <sheet name="Weekly_Regional" sheetId="13" r:id="rId9"/>
    <sheet name="Monthly_Regional" sheetId="15" r:id="rId10"/>
    <sheet name="Q1_Regional" sheetId="21" r:id="rId11"/>
    <sheet name="Annual_Regional" sheetId="20" r:id="rId12"/>
  </sheets>
  <definedNames>
    <definedName name="_xlnm._FilterDatabase" localSheetId="5" hidden="1">Barbados!$A$1:$Q$96</definedName>
    <definedName name="_xlnm._FilterDatabase" localSheetId="4" hidden="1">Belize!$A$1:$T$366</definedName>
    <definedName name="ABR_BAR" localSheetId="1">Table3[ABR]</definedName>
    <definedName name="ABR_BAR">Table3[ABR]</definedName>
    <definedName name="ABR_GUY" localSheetId="1">Table9[ABR]</definedName>
    <definedName name="ABR_GUY">Table9[ABR]</definedName>
    <definedName name="ABR_JAM" localSheetId="1">Table6[ABR]</definedName>
    <definedName name="ABR_JAM">Table6[ABR]</definedName>
    <definedName name="ABR_OECS" localSheetId="1">Table2[ABR]</definedName>
    <definedName name="ABR_OECS">Table2[ABR]</definedName>
    <definedName name="ABR_TT" localSheetId="1">Table7[ABR]</definedName>
    <definedName name="ABR_TT">Table7[ABR]</definedName>
    <definedName name="ATT_BAR">Table3[AHT]</definedName>
    <definedName name="ATT_GUY">Table9[AHT]</definedName>
    <definedName name="ATT_JAM">Table6[AHT]</definedName>
    <definedName name="ATT_OECS">Table2[AHT]</definedName>
    <definedName name="ATT_TT">Table7[AHT]</definedName>
    <definedName name="AU_BAR" localSheetId="1">Table3[AU]</definedName>
    <definedName name="AU_BAR">Table3[AU]</definedName>
    <definedName name="AU_GUY" localSheetId="1">Table9[AU]</definedName>
    <definedName name="AU_GUY">Table9[AU]</definedName>
    <definedName name="AU_JAM" localSheetId="1">Table6[AU]</definedName>
    <definedName name="AU_JAM">Table6[AU]</definedName>
    <definedName name="AU_OECS" localSheetId="1">Table2[AU]</definedName>
    <definedName name="AU_OECS">Table2[AU]</definedName>
    <definedName name="AU_TT" localSheetId="1">Table7[AU]</definedName>
    <definedName name="AU_TT">Table7[AU]</definedName>
    <definedName name="avg_chart_ATT_JAM">AVG([0]!chart_ATT_JAM)</definedName>
    <definedName name="calls_ans_BAR" localSheetId="1">Table3[Calls Ans]</definedName>
    <definedName name="calls_ans_BAR">Table3[Calls Ans]</definedName>
    <definedName name="calls_ans_GUY" localSheetId="1">Table9[Calls Ans]</definedName>
    <definedName name="calls_ans_GUY">Table9[Calls Ans]</definedName>
    <definedName name="calls_ans_JAM" localSheetId="1">Table6[Calls Ans]</definedName>
    <definedName name="calls_ans_JAM">Table6[Calls Ans]</definedName>
    <definedName name="calls_ans_OECS" localSheetId="1">Table2[Calls Ans]</definedName>
    <definedName name="calls_ans_OECS">Table2[Calls Ans]</definedName>
    <definedName name="calls_ans_TT" localSheetId="1">Table7[Calls Ans]</definedName>
    <definedName name="calls_ans_TT">Table7[Calls Ans]</definedName>
    <definedName name="calls_off_BAR" localSheetId="1">Table3[Calls Off]</definedName>
    <definedName name="calls_off_BAR">Table3[Calls Off]</definedName>
    <definedName name="calls_off_GUY" localSheetId="1">Table9[Calls Off]</definedName>
    <definedName name="calls_off_GUY">Table9[Calls Off]</definedName>
    <definedName name="calls_off_JAM" localSheetId="1">Table6[Calls Off]</definedName>
    <definedName name="calls_off_JAM">Table6[Calls Off]</definedName>
    <definedName name="calls_off_OECS" localSheetId="1">Table2[Calls Off]</definedName>
    <definedName name="calls_off_OECS">Table2[Calls Off]</definedName>
    <definedName name="calls_off_TT" localSheetId="1">Table7[Calls Off]</definedName>
    <definedName name="calls_off_TT">Table7[Calls Off]</definedName>
    <definedName name="chart_ABR_BAR" localSheetId="1">INDEX('Live Chat KPIs - Monthly'!ABR_BAR,MATCH(Barbados!#REF!,'Live Chat KPIs - Monthly'!period_BAR,0)):INDEX('Live Chat KPIs - Monthly'!ABR_BAR,MATCH(Barbados!#REF!,'Live Chat KPIs - Monthly'!period_BAR,0))</definedName>
    <definedName name="chart_ABR_GUY" localSheetId="1">INDEX('Live Chat KPIs - Monthly'!ABR_GUY,MATCH(Guyana!#REF!,'Live Chat KPIs - Monthly'!period_GUY,0)):INDEX('Live Chat KPIs - Monthly'!ABR_GUY,MATCH(Guyana!#REF!,'Live Chat KPIs - Monthly'!period_GUY,0))</definedName>
    <definedName name="chart_ABR_JAM" localSheetId="1">INDEX('Live Chat KPIs - Monthly'!ABR_JAM,MATCH(Jamaica!#REF!,'Live Chat KPIs - Monthly'!period_JAM,0)):INDEX('Live Chat KPIs - Monthly'!ABR_JAM,MATCH(Jamaica!#REF!,'Live Chat KPIs - Monthly'!period_JAM,0))</definedName>
    <definedName name="chart_ABR_OECS" localSheetId="1">INDEX('Live Chat KPIs - Monthly'!ABR_OECS,MATCH(OECS!#REF!,'Live Chat KPIs - Monthly'!period_OECS,0)):INDEX('Live Chat KPIs - Monthly'!ABR_OECS,MATCH(OECS!#REF!,'Live Chat KPIs - Monthly'!period_OECS,0))</definedName>
    <definedName name="chart_ABR_TT" localSheetId="1">INDEX('Live Chat KPIs - Monthly'!ABR_TT,MATCH('Trinidad and Tobago'!#REF!,'Live Chat KPIs - Monthly'!period_TT,0)):INDEX('Live Chat KPIs - Monthly'!ABR_TT,MATCH('Trinidad and Tobago'!#REF!,'Live Chat KPIs - Monthly'!period_TT,0))</definedName>
    <definedName name="chart_ATT">INDEX(ATT_JAM,MATCH(Jamaica!#REF!,WoW_dates_JAM,0)):INDEX(WoW_dates_JAM,MATCH(Jamaica!#REF!,WoW_dates_JAM,0))</definedName>
    <definedName name="chart_ATT_BAR">INDEX([0]!ATT_BAR,MATCH(Barbados!#REF!,'Live Chat KPIs - Monthly'!period_BAR,0)):INDEX([0]!ATT_BAR,MATCH(Barbados!#REF!,'Live Chat KPIs - Monthly'!period_BAR,0))</definedName>
    <definedName name="chart_ATT_GUY">INDEX([0]!ATT_GUY,MATCH(Guyana!#REF!,'Live Chat KPIs - Monthly'!period_GUY,0)):INDEX([0]!ATT_GUY,MATCH(Guyana!#REF!,'Live Chat KPIs - Monthly'!period_GUY,0))</definedName>
    <definedName name="chart_ATT_JAM">INDEX([0]!ATT_JAM,MATCH(Jamaica!#REF!,'Live Chat KPIs - Monthly'!period_JAM,0)):INDEX([0]!ATT_JAM,MATCH(Jamaica!#REF!,'Live Chat KPIs - Monthly'!period_JAM,0))</definedName>
    <definedName name="chart_ATT_OECS">INDEX([0]!ATT_OECS,MATCH(OECS!#REF!,'Live Chat KPIs - Monthly'!period_OECS,0)):INDEX([0]!ATT_OECS,MATCH(OECS!#REF!,'Live Chat KPIs - Monthly'!period_OECS,0))</definedName>
    <definedName name="chart_ATT_TT">INDEX([0]!ATT_TT,MATCH('Trinidad and Tobago'!#REF!,'Live Chat KPIs - Monthly'!period_TT,0)):INDEX([0]!ATT_TT,MATCH('Trinidad and Tobago'!#REF!,'Live Chat KPIs - Monthly'!period_TT,0))</definedName>
    <definedName name="chart_AU_BAR" localSheetId="1">INDEX('Live Chat KPIs - Monthly'!AU_BAR,MATCH(Barbados!#REF!,'Live Chat KPIs - Monthly'!period_BAR,0)):INDEX('Live Chat KPIs - Monthly'!AU_BAR,MATCH(Barbados!#REF!,'Live Chat KPIs - Monthly'!period_BAR,0))</definedName>
    <definedName name="chart_AU_GUY" localSheetId="1">INDEX('Live Chat KPIs - Monthly'!AU_GUY,MATCH(Guyana!#REF!,'Live Chat KPIs - Monthly'!period_GUY,0)):INDEX('Live Chat KPIs - Monthly'!AU_GUY,MATCH(Guyana!#REF!,'Live Chat KPIs - Monthly'!period_GUY,0))</definedName>
    <definedName name="chart_AU_JAM" localSheetId="1">INDEX('Live Chat KPIs - Monthly'!AU_JAM,MATCH(Jamaica!#REF!,'Live Chat KPIs - Monthly'!period_JAM,0)):INDEX('Live Chat KPIs - Monthly'!AU_JAM,MATCH(Jamaica!#REF!,'Live Chat KPIs - Monthly'!period_JAM,0))</definedName>
    <definedName name="chart_AU_OECS" localSheetId="1">INDEX('Live Chat KPIs - Monthly'!AU_OECS,MATCH(OECS!#REF!,'Live Chat KPIs - Monthly'!period_OECS,0)):INDEX('Live Chat KPIs - Monthly'!AU_OECS,MATCH(OECS!#REF!,'Live Chat KPIs - Monthly'!period_OECS,0))</definedName>
    <definedName name="chart_AU_TT" localSheetId="1">INDEX('Live Chat KPIs - Monthly'!AU_TT,MATCH('Trinidad and Tobago'!#REF!,'Live Chat KPIs - Monthly'!period_TT,0)):INDEX('Live Chat KPIs - Monthly'!AU_TT,MATCH('Trinidad and Tobago'!#REF!,'Live Chat KPIs - Monthly'!period_TT,0))</definedName>
    <definedName name="chart_calls_ans_BAR" localSheetId="1">INDEX('Live Chat KPIs - Monthly'!calls_ans_BAR,MATCH(Barbados!#REF!,'Live Chat KPIs - Monthly'!period_BAR,0)):INDEX('Live Chat KPIs - Monthly'!calls_ans_BAR,MATCH(Barbados!#REF!,'Live Chat KPIs - Monthly'!period_BAR,0))</definedName>
    <definedName name="chart_calls_ans_GUY" localSheetId="1">INDEX('Live Chat KPIs - Monthly'!calls_ans_GUY,MATCH(Guyana!#REF!,'Live Chat KPIs - Monthly'!period_GUY,0)):INDEX('Live Chat KPIs - Monthly'!calls_ans_GUY,MATCH(Guyana!#REF!,'Live Chat KPIs - Monthly'!period_GUY,0))</definedName>
    <definedName name="chart_calls_ans_JAM" localSheetId="1">INDEX('Live Chat KPIs - Monthly'!calls_ans_JAM,MATCH(Jamaica!#REF!,'Live Chat KPIs - Monthly'!period_JAM,0)):INDEX('Live Chat KPIs - Monthly'!calls_ans_JAM,MATCH(Jamaica!#REF!,'Live Chat KPIs - Monthly'!period_JAM,0))</definedName>
    <definedName name="chart_calls_ans_OECS" localSheetId="1">INDEX('Live Chat KPIs - Monthly'!calls_ans_OECS,MATCH(OECS!#REF!,'Live Chat KPIs - Monthly'!period_OECS,0)):INDEX('Live Chat KPIs - Monthly'!calls_ans_OECS,MATCH(OECS!#REF!,'Live Chat KPIs - Monthly'!period_OECS,0))</definedName>
    <definedName name="chart_calls_ans_TT" localSheetId="1">INDEX('Live Chat KPIs - Monthly'!calls_ans_TT,MATCH('Trinidad and Tobago'!#REF!,'Live Chat KPIs - Monthly'!period_TT,0)):INDEX('Live Chat KPIs - Monthly'!calls_ans_TT,MATCH('Trinidad and Tobago'!#REF!,'Live Chat KPIs - Monthly'!period_TT,0))</definedName>
    <definedName name="chart_calls_off_BAR" localSheetId="1">INDEX('Live Chat KPIs - Monthly'!calls_off_BAR,MATCH(Barbados!#REF!,'Live Chat KPIs - Monthly'!period_BAR,0)):INDEX('Live Chat KPIs - Monthly'!calls_off_BAR,MATCH(Barbados!#REF!,'Live Chat KPIs - Monthly'!period_BAR,0))</definedName>
    <definedName name="chart_calls_off_GUY" localSheetId="1">INDEX('Live Chat KPIs - Monthly'!calls_off_GUY,MATCH(Guyana!#REF!,'Live Chat KPIs - Monthly'!period_GUY,0)):INDEX('Live Chat KPIs - Monthly'!calls_off_GUY,MATCH(Guyana!#REF!,'Live Chat KPIs - Monthly'!period_GUY,0))</definedName>
    <definedName name="chart_calls_off_JAM" localSheetId="1">INDEX('Live Chat KPIs - Monthly'!calls_off_JAM,MATCH(Jamaica!#REF!,'Live Chat KPIs - Monthly'!period_JAM,0)):INDEX('Live Chat KPIs - Monthly'!calls_off_JAM,MATCH(Jamaica!#REF!,'Live Chat KPIs - Monthly'!period_JAM,0))</definedName>
    <definedName name="chart_calls_off_OECS" localSheetId="1">INDEX('Live Chat KPIs - Monthly'!calls_off_OECS,MATCH(OECS!#REF!,'Live Chat KPIs - Monthly'!period_OECS,0)):INDEX('Live Chat KPIs - Monthly'!calls_off_OECS,MATCH(OECS!#REF!,'Live Chat KPIs - Monthly'!period_OECS,0))</definedName>
    <definedName name="chart_calls_off_TT" localSheetId="1">INDEX('Live Chat KPIs - Monthly'!calls_off_TT,MATCH('Trinidad and Tobago'!#REF!,'Live Chat KPIs - Monthly'!period_TT,0)):INDEX('Live Chat KPIs - Monthly'!calls_off_TT,MATCH('Trinidad and Tobago'!#REF!,'Live Chat KPIs - Monthly'!period_TT,0))</definedName>
    <definedName name="chart_period_ATT_JAM">INDEX([0]!period_JAM,MATCH(Jamaica!#REF!,'Live Chat KPIs - Monthly'!period_JAM,0)):INDEX([0]!period_JAM,MATCH(Jamaica!#REF!,'Live Chat KPIs - Monthly'!period_JAM,0))</definedName>
    <definedName name="chart_period_BAR" localSheetId="1">INDEX('Live Chat KPIs - Monthly'!period_BAR,MATCH(Barbados!#REF!,'Live Chat KPIs - Monthly'!period_BAR,0)):INDEX('Live Chat KPIs - Monthly'!period_BAR,MATCH(Barbados!#REF!,'Live Chat KPIs - Monthly'!period_BAR,0))</definedName>
    <definedName name="chart_period_GUY" localSheetId="1">INDEX('Live Chat KPIs - Monthly'!period_GUY,MATCH(Guyana!#REF!,'Live Chat KPIs - Monthly'!period_GUY,0)):INDEX('Live Chat KPIs - Monthly'!period_GUY,MATCH(Guyana!#REF!,'Live Chat KPIs - Monthly'!period_GUY,0))</definedName>
    <definedName name="chart_period_JAM" localSheetId="1">INDEX('Live Chat KPIs - Monthly'!period_JAM,MATCH(Jamaica!#REF!,'Live Chat KPIs - Monthly'!period_JAM,0)):INDEX('Live Chat KPIs - Monthly'!period_JAM,MATCH(Jamaica!#REF!,'Live Chat KPIs - Monthly'!period_JAM,0))</definedName>
    <definedName name="chart_period_OECS" localSheetId="1">INDEX('Live Chat KPIs - Monthly'!period_OECS,MATCH(OECS!#REF!,'Live Chat KPIs - Monthly'!period_OECS,0)):INDEX('Live Chat KPIs - Monthly'!period_OECS,MATCH(OECS!#REF!,'Live Chat KPIs - Monthly'!period_OECS,0))</definedName>
    <definedName name="chart_period_TT" localSheetId="1">INDEX('Live Chat KPIs - Monthly'!period_TT,MATCH('Trinidad and Tobago'!#REF!,'Live Chat KPIs - Monthly'!period_TT,0)):INDEX('Live Chat KPIs - Monthly'!period_TT,MATCH('Trinidad and Tobago'!#REF!,'Live Chat KPIs - Monthly'!period_TT,0))</definedName>
    <definedName name="chart_period_WoW_BAR" localSheetId="1">INDEX('Live Chat KPIs - Monthly'!WoW_dates_BAR,MATCH(Barbados!#REF!,'Live Chat KPIs - Monthly'!WoW_dates_BAR,0)):INDEX('Live Chat KPIs - Monthly'!WoW_dates_BAR,MATCH(Barbados!#REF!,'Live Chat KPIs - Monthly'!WoW_dates_BAR,0))</definedName>
    <definedName name="chart_period_WoW_BAR">INDEX(WoW_dates_BAR,MATCH(Barbados!#REF!,WoW_dates_BAR,0)):INDEX(WoW_dates_BAR,MATCH(Barbados!#REF!,WoW_dates_BAR,0))</definedName>
    <definedName name="chart_period_WoW_GUY" localSheetId="1">INDEX('Live Chat KPIs - Monthly'!WoW_dates_GUY,MATCH(Guyana!#REF!,'Live Chat KPIs - Monthly'!WoW_dates_GUY,0)):INDEX('Live Chat KPIs - Monthly'!WoW_dates_GUY,MATCH(Guyana!#REF!,'Live Chat KPIs - Monthly'!WoW_dates_GUY,0))</definedName>
    <definedName name="chart_period_WoW_GUY">INDEX(WoW_dates_GUY,MATCH(Guyana!#REF!,WoW_dates_GUY,0)):INDEX(WoW_dates_GUY,MATCH(Guyana!#REF!,WoW_dates_GUY,0))</definedName>
    <definedName name="chart_period_WoW_JAM" localSheetId="1">INDEX('Live Chat KPIs - Monthly'!WoW_dates_JAM,MATCH(Jamaica!#REF!,'Live Chat KPIs - Monthly'!WoW_dates_JAM,0)):INDEX('Live Chat KPIs - Monthly'!WoW_dates_JAM,MATCH(Jamaica!#REF!,'Live Chat KPIs - Monthly'!WoW_dates_JAM,0))</definedName>
    <definedName name="chart_period_WoW_JAM">INDEX(WoW_dates_JAM,MATCH(Jamaica!#REF!,WoW_dates_JAM,0)):INDEX(WoW_dates_JAM,MATCH(Jamaica!#REF!,WoW_dates_JAM,0))</definedName>
    <definedName name="chart_period_WoW_OECS" localSheetId="1">INDEX('Live Chat KPIs - Monthly'!WoW_dates_OECS,MATCH(OECS!#REF!,'Live Chat KPIs - Monthly'!WoW_dates_OECS,0)):INDEX('Live Chat KPIs - Monthly'!WoW_dates_OECS,MATCH(OECS!#REF!,'Live Chat KPIs - Monthly'!WoW_dates_OECS,0))</definedName>
    <definedName name="chart_period_WoW_OECS">INDEX(WoW_dates_OECS,MATCH(OECS!#REF!,WoW_dates_OECS,0)):INDEX(WoW_dates_OECS,MATCH(OECS!#REF!,WoW_dates_OECS,0))</definedName>
    <definedName name="chart_period_WoW_TT" localSheetId="1">INDEX('Live Chat KPIs - Monthly'!WoW_dates_TT,MATCH('Trinidad and Tobago'!#REF!,'Live Chat KPIs - Monthly'!WoW_dates_TT,0)):INDEX('Live Chat KPIs - Monthly'!WoW_dates_TT,MATCH('Trinidad and Tobago'!#REF!,'Live Chat KPIs - Monthly'!WoW_dates_TT,0))</definedName>
    <definedName name="chart_period_WoW_TT">INDEX(WoW_dates_TT,MATCH('Trinidad and Tobago'!#REF!,WoW_dates_TT,0)):INDEX(WoW_dates_TT,MATCH('Trinidad and Tobago'!#REF!,WoW_dates_TT,0))</definedName>
    <definedName name="chart_SL_BAR" localSheetId="1">INDEX('Live Chat KPIs - Monthly'!SL_BAR,MATCH(Barbados!#REF!,'Live Chat KPIs - Monthly'!period_BAR,0)):INDEX('Live Chat KPIs - Monthly'!SL_BAR,MATCH(Barbados!#REF!,'Live Chat KPIs - Monthly'!period_BAR,0))</definedName>
    <definedName name="chart_SL_GUY" localSheetId="1">INDEX('Live Chat KPIs - Monthly'!SL_GUY,MATCH(Guyana!#REF!,'Live Chat KPIs - Monthly'!period_GUY,0)):INDEX('Live Chat KPIs - Monthly'!SL_GUY,MATCH(Guyana!#REF!,'Live Chat KPIs - Monthly'!period_GUY,0))</definedName>
    <definedName name="chart_SL_JAM" localSheetId="1">INDEX('Live Chat KPIs - Monthly'!SL_JAM,MATCH(Jamaica!#REF!,'Live Chat KPIs - Monthly'!period_JAM,0)):INDEX('Live Chat KPIs - Monthly'!SL_JAM,MATCH(Jamaica!#REF!,'Live Chat KPIs - Monthly'!period_JAM,0))</definedName>
    <definedName name="chart_SL_OECS" localSheetId="1">INDEX('Live Chat KPIs - Monthly'!SL_OECS,MATCH(OECS!#REF!,'Live Chat KPIs - Monthly'!period_OECS,0)):INDEX('Live Chat KPIs - Monthly'!SL_OECS,MATCH(OECS!#REF!,'Live Chat KPIs - Monthly'!period_OECS,0))</definedName>
    <definedName name="chart_SL_TT" localSheetId="1">INDEX('Live Chat KPIs - Monthly'!SL_TT,MATCH('Trinidad and Tobago'!#REF!,'Live Chat KPIs - Monthly'!period_TT,0)):INDEX('Live Chat KPIs - Monthly'!SL_TT,MATCH('Trinidad and Tobago'!#REF!,'Live Chat KPIs - Monthly'!period_TT,0))</definedName>
    <definedName name="chart_WFM_BAR" localSheetId="1">INDEX('Live Chat KPIs - Monthly'!period_BAR_WFM,MATCH(Barbados!#REF!,'Live Chat KPIs - Monthly'!period_BAR,0)):INDEX('Live Chat KPIs - Monthly'!period_BAR_WFM,MATCH(Barbados!#REF!,'Live Chat KPIs - Monthly'!period_BAR,0))</definedName>
    <definedName name="chart_WFM_GUY">INDEX(period_GUY_WF,MATCH(Guyana!#REF!,period_GUY,0)):INDEX(period_GUY_WF,MATCH(Guyana!#REF!,period_GUY,0))</definedName>
    <definedName name="chart_WFM_JAM" localSheetId="1">INDEX('Live Chat KPIs - Monthly'!period_JAM_WFM,MATCH(Jamaica!#REF!,'Live Chat KPIs - Monthly'!period_JAM,0)):INDEX('Live Chat KPIs - Monthly'!period_JAM_WFM,MATCH(Jamaica!#REF!,'Live Chat KPIs - Monthly'!period_JAM,0))</definedName>
    <definedName name="chart_WFM_OECS" localSheetId="1">INDEX('Live Chat KPIs - Monthly'!period_OECS_WF,MATCH(OECS!#REF!,'Live Chat KPIs - Monthly'!period_OECS,0)):INDEX('Live Chat KPIs - Monthly'!period_OECS_WF,MATCH(OECS!#REF!,'Live Chat KPIs - Monthly'!period_OECS,0))</definedName>
    <definedName name="chart_WFM_TTO" localSheetId="1">INDEX('Live Chat KPIs - Monthly'!period_TT_WFM,MATCH('Trinidad and Tobago'!#REF!,'Live Chat KPIs - Monthly'!period_TT,0)):INDEX('Live Chat KPIs - Monthly'!period_TT_WFM,MATCH('Trinidad and Tobago'!#REF!,'Live Chat KPIs - Monthly'!period_TT,0))</definedName>
    <definedName name="chart_WoW_ans_BAR_percent" localSheetId="1">INDEX('Live Chat KPIs - Monthly'!percent_WoW_ans_BAR,MATCH(Barbados!#REF!,'Live Chat KPIs - Monthly'!period_BAR,0)):INDEX('Live Chat KPIs - Monthly'!percent_WoW_ans_BAR,MATCH(Barbados!#REF!,'Live Chat KPIs - Monthly'!period_BAR,0))</definedName>
    <definedName name="chart_WoW_ans_GUY_percent" localSheetId="1">INDEX('Live Chat KPIs - Monthly'!percent_WoW_ans_GUY,MATCH(Guyana!#REF!,'Live Chat KPIs - Monthly'!period_GUY,0)):INDEX('Live Chat KPIs - Monthly'!percent_WoW_ans_GUY,MATCH(Guyana!#REF!,'Live Chat KPIs - Monthly'!period_GUY,0))</definedName>
    <definedName name="chart_WoW_ans_JAM_percent" localSheetId="1">INDEX('Live Chat KPIs - Monthly'!percent_WoW_ans_JAM,MATCH(Jamaica!#REF!,'Live Chat KPIs - Monthly'!period_JAM,0)):INDEX('Live Chat KPIs - Monthly'!percent_WoW_ans_JAM,MATCH(Jamaica!#REF!,'Live Chat KPIs - Monthly'!period_JAM,0))</definedName>
    <definedName name="chart_WoW_ans_OECS" localSheetId="1">INDEX('Live Chat KPIs - Monthly'!percent_WoW_ans_OECS,MATCH(OECS!#REF!,'Live Chat KPIs - Monthly'!period_OECS,0)):INDEX('Live Chat KPIs - Monthly'!percent_WoW_ans_OECS,MATCH(OECS!#REF!,'Live Chat KPIs - Monthly'!period_OECS,0))</definedName>
    <definedName name="chart_WoW_ans_TT_percent" localSheetId="1">INDEX('Live Chat KPIs - Monthly'!percent_WoW_ans_TT,MATCH('Trinidad and Tobago'!#REF!,'Live Chat KPIs - Monthly'!period_TT,0)):INDEX('Live Chat KPIs - Monthly'!percent_WoW_ans_TT,MATCH('Trinidad and Tobago'!#REF!,'Live Chat KPIs - Monthly'!period_TT,0))</definedName>
    <definedName name="chart_WoW_off_BAR_percent" localSheetId="1">INDEX('Live Chat KPIs - Monthly'!percent_WoW_off_BAR,MATCH(Barbados!#REF!,'Live Chat KPIs - Monthly'!period_BAR,0)):INDEX('Live Chat KPIs - Monthly'!percent_WoW_off_BAR,MATCH(Barbados!#REF!,'Live Chat KPIs - Monthly'!period_BAR,0))</definedName>
    <definedName name="chart_WoW_off_GUY_percent" localSheetId="1">INDEX('Live Chat KPIs - Monthly'!percent_WoW_off_GUY,MATCH(Guyana!#REF!,'Live Chat KPIs - Monthly'!period_GUY,0)):INDEX('Live Chat KPIs - Monthly'!percent_WoW_off_GUY,MATCH(Guyana!#REF!,'Live Chat KPIs - Monthly'!period_GUY,0))</definedName>
    <definedName name="chart_WoW_off_JAM_percent" localSheetId="1">INDEX('Live Chat KPIs - Monthly'!percent_WoW_off_JAM,MATCH(Jamaica!#REF!,'Live Chat KPIs - Monthly'!period_JAM,0)):INDEX('Live Chat KPIs - Monthly'!percent_WoW_off_JAM,MATCH(Jamaica!#REF!,'Live Chat KPIs - Monthly'!period_JAM,0))</definedName>
    <definedName name="chart_WoW_off_OECS" localSheetId="1">INDEX('Live Chat KPIs - Monthly'!percent_WoW_off_OECS,MATCH(OECS!#REF!,'Live Chat KPIs - Monthly'!period_OECS,0)):INDEX('Live Chat KPIs - Monthly'!percent_WoW_off_OECS,MATCH(OECS!#REF!,'Live Chat KPIs - Monthly'!period_OECS,0))</definedName>
    <definedName name="chart_WoW_off_TT_percent" localSheetId="1">INDEX('Live Chat KPIs - Monthly'!percent_WoW_off_TT,MATCH('Trinidad and Tobago'!#REF!,'Live Chat KPIs - Monthly'!period_TT,0)):INDEX('Live Chat KPIs - Monthly'!percent_WoW_off_TT,MATCH('Trinidad and Tobago'!#REF!,'Live Chat KPIs - Monthly'!period_TT,0))</definedName>
    <definedName name="my_data">Jamaica!$G$2:$G$123</definedName>
    <definedName name="percent_WoW_ans_BAR" localSheetId="1">Table3[WoW % change (ans)]</definedName>
    <definedName name="percent_WoW_ans_BAR">Table3[WoW % change (ans)]</definedName>
    <definedName name="percent_WoW_ans_GUY" localSheetId="1">Table9[WoW % change (ans)]</definedName>
    <definedName name="percent_WoW_ans_GUY">Table9[WoW % change (ans)]</definedName>
    <definedName name="percent_WoW_ans_JAM" localSheetId="1">Table6[WoW % change (ans)]</definedName>
    <definedName name="percent_WoW_ans_JAM">Table6[WoW % change (ans)]</definedName>
    <definedName name="percent_WoW_ans_OECS" localSheetId="1">Table2[WoW % change ans]</definedName>
    <definedName name="percent_WoW_ans_OECS">Table2[WoW % change ans]</definedName>
    <definedName name="percent_WoW_ans_TT" localSheetId="1">Table7[WoW % change (ans)]</definedName>
    <definedName name="percent_WoW_ans_TT">Table7[WoW % change (ans)]</definedName>
    <definedName name="percent_WoW_off_BAR" localSheetId="1">Table3[WoW % change (offer)]</definedName>
    <definedName name="percent_WoW_off_BAR">Table3[WoW % change (offer)]</definedName>
    <definedName name="percent_WoW_off_GUY" localSheetId="1">Table9[WoW % change (offer)]</definedName>
    <definedName name="percent_WoW_off_GUY">Table9[WoW % change (offer)]</definedName>
    <definedName name="percent_WoW_off_JAM" localSheetId="1">Table6[WoW % change (offer)]</definedName>
    <definedName name="percent_WoW_off_JAM">Table6[WoW % change (offer)]</definedName>
    <definedName name="percent_WoW_off_OECS" localSheetId="1">Table2[WoW % change offer]</definedName>
    <definedName name="percent_WoW_off_OECS">Table2[WoW % change offer]</definedName>
    <definedName name="percent_WoW_off_TT" localSheetId="1">Table7[WoW % change (offer)]</definedName>
    <definedName name="percent_WoW_off_TT">Table7[WoW % change (offer)]</definedName>
    <definedName name="period_BAR" localSheetId="1">Table3[Date]</definedName>
    <definedName name="period_BAR">Table3[Date]</definedName>
    <definedName name="period_BAR_WFM" localSheetId="1">Table3[Agents Log]</definedName>
    <definedName name="period_BAR_WFM">Table3[Agents Log]</definedName>
    <definedName name="period_GUY" localSheetId="1">Table9[Date]</definedName>
    <definedName name="period_GUY">Table9[Date]</definedName>
    <definedName name="period_GUY_WF" localSheetId="1">Table9[Agents Log]</definedName>
    <definedName name="period_GUY_WF">Table9[Agents Log]</definedName>
    <definedName name="period_JAM" localSheetId="1">Table6[Date]</definedName>
    <definedName name="period_JAM">Table6[Date]</definedName>
    <definedName name="period_JAM_WFM" localSheetId="1">Table6[Agents Log]</definedName>
    <definedName name="period_JAM_WFM">Table6[Agents Log]</definedName>
    <definedName name="period_OECS" localSheetId="1">Table2[Date]</definedName>
    <definedName name="period_OECS">Table2[Date]</definedName>
    <definedName name="period_OECS_WF" localSheetId="1">#REF!</definedName>
    <definedName name="period_OECS_WF">#REF!</definedName>
    <definedName name="period_TT" localSheetId="1">Table7[Date]</definedName>
    <definedName name="period_TT">Table7[Date]</definedName>
    <definedName name="period_TT_WFM" localSheetId="1">Table7[Agents Log]</definedName>
    <definedName name="period_TT_WFM">Table7[Agents Log]</definedName>
    <definedName name="SL_BAR" localSheetId="1">Table3[SL]</definedName>
    <definedName name="SL_BAR">Table3[SL]</definedName>
    <definedName name="SL_GUY" localSheetId="1">Table9[SL]</definedName>
    <definedName name="SL_GUY">Table9[SL]</definedName>
    <definedName name="SL_JAM" localSheetId="1">Table6[SL]</definedName>
    <definedName name="SL_JAM">Table6[SL]</definedName>
    <definedName name="SL_OECS" localSheetId="1">Table2[SL]</definedName>
    <definedName name="SL_OECS">Table2[SL]</definedName>
    <definedName name="SL_TT" localSheetId="1">Table7[SL]</definedName>
    <definedName name="SL_TT">Table7[SL]</definedName>
    <definedName name="WoW_calls_ans" localSheetId="1">#REF!</definedName>
    <definedName name="WoW_calls_ans">#REF!</definedName>
    <definedName name="WoW_calls_off" localSheetId="1">#REF!</definedName>
    <definedName name="WoW_calls_off">#REF!</definedName>
    <definedName name="WoW_dates_BAR" localSheetId="1">#REF!</definedName>
    <definedName name="WoW_dates_BAR">#REF!</definedName>
    <definedName name="WoW_dates_GUY" localSheetId="1">#REF!</definedName>
    <definedName name="WoW_dates_GUY">#REF!</definedName>
    <definedName name="WoW_dates_JAM" localSheetId="1">#REF!</definedName>
    <definedName name="WoW_dates_JAM">#REF!</definedName>
    <definedName name="WoW_dates_OECS" localSheetId="1">#REF!</definedName>
    <definedName name="WoW_dates_OECS">#REF!</definedName>
    <definedName name="WoW_dates_TT" localSheetId="1">#REF!</definedName>
    <definedName name="WoW_dates_TT">#REF!</definedName>
  </definedNames>
  <calcPr calcId="191028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8" i="11" l="1"/>
  <c r="K128" i="11"/>
  <c r="L125" i="11"/>
  <c r="K125" i="11"/>
  <c r="L121" i="11"/>
  <c r="K121" i="11"/>
  <c r="L114" i="11"/>
  <c r="K114" i="11"/>
  <c r="L107" i="11"/>
  <c r="K107" i="11"/>
  <c r="L100" i="11"/>
  <c r="K100" i="11"/>
  <c r="L94" i="11"/>
  <c r="K94" i="11"/>
  <c r="L86" i="11"/>
  <c r="K86" i="11"/>
  <c r="L80" i="11"/>
  <c r="K80" i="11"/>
  <c r="L72" i="11"/>
  <c r="K72" i="11"/>
  <c r="L65" i="11"/>
  <c r="K65" i="11"/>
  <c r="J63" i="11"/>
  <c r="I63" i="11"/>
  <c r="L51" i="11"/>
  <c r="K51" i="11"/>
  <c r="J30" i="11"/>
  <c r="I30" i="11"/>
  <c r="L44" i="11"/>
  <c r="K44" i="11"/>
  <c r="L38" i="11"/>
  <c r="K38" i="11"/>
  <c r="L33" i="11"/>
  <c r="K33" i="11"/>
  <c r="L30" i="11"/>
  <c r="K30" i="11"/>
  <c r="L23" i="11"/>
  <c r="K23" i="11"/>
  <c r="L16" i="11"/>
  <c r="K16" i="11"/>
  <c r="L9" i="11"/>
  <c r="K9" i="11"/>
  <c r="L4" i="11"/>
  <c r="L5" i="11" s="1"/>
  <c r="L6" i="11" s="1"/>
  <c r="L7" i="11" s="1"/>
  <c r="L10" i="11" s="1"/>
  <c r="L11" i="11" s="1"/>
  <c r="L12" i="11" s="1"/>
  <c r="L13" i="11" s="1"/>
  <c r="L14" i="11" s="1"/>
  <c r="K4" i="11"/>
  <c r="K5" i="11" s="1"/>
  <c r="K6" i="11" s="1"/>
  <c r="K7" i="11" s="1"/>
  <c r="L3" i="11"/>
  <c r="K3" i="11"/>
  <c r="L2" i="11"/>
  <c r="K2" i="11"/>
  <c r="L128" i="12"/>
  <c r="K128" i="12"/>
  <c r="L121" i="12"/>
  <c r="K121" i="12"/>
  <c r="L114" i="12"/>
  <c r="K114" i="12"/>
  <c r="L107" i="12"/>
  <c r="K107" i="12"/>
  <c r="L100" i="12"/>
  <c r="K100" i="12"/>
  <c r="L94" i="12"/>
  <c r="K94" i="12"/>
  <c r="L86" i="12"/>
  <c r="K86" i="12"/>
  <c r="L79" i="12"/>
  <c r="K79" i="12"/>
  <c r="L72" i="12"/>
  <c r="K72" i="12"/>
  <c r="L65" i="12"/>
  <c r="K65" i="12"/>
  <c r="L58" i="12"/>
  <c r="K58" i="12"/>
  <c r="L52" i="12"/>
  <c r="K52" i="12"/>
  <c r="L44" i="12"/>
  <c r="K44" i="12"/>
  <c r="L37" i="12"/>
  <c r="K37" i="12"/>
  <c r="L30" i="12"/>
  <c r="K30" i="12"/>
  <c r="L23" i="12"/>
  <c r="K23" i="12"/>
  <c r="L16" i="12"/>
  <c r="K16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7" i="12" s="1"/>
  <c r="K18" i="12" s="1"/>
  <c r="K19" i="12" s="1"/>
  <c r="K20" i="12" s="1"/>
  <c r="K21" i="12" s="1"/>
  <c r="K24" i="12" s="1"/>
  <c r="K25" i="12" s="1"/>
  <c r="K26" i="12" s="1"/>
  <c r="K27" i="12" s="1"/>
  <c r="K28" i="12" s="1"/>
  <c r="K31" i="12" s="1"/>
  <c r="K32" i="12" s="1"/>
  <c r="K33" i="12" s="1"/>
  <c r="K34" i="12" s="1"/>
  <c r="K35" i="12" s="1"/>
  <c r="K38" i="12" s="1"/>
  <c r="K39" i="12" s="1"/>
  <c r="K40" i="12" s="1"/>
  <c r="K41" i="12" s="1"/>
  <c r="K42" i="12" s="1"/>
  <c r="K45" i="12" s="1"/>
  <c r="K46" i="12" s="1"/>
  <c r="K47" i="12" s="1"/>
  <c r="K48" i="12" s="1"/>
  <c r="K49" i="12" s="1"/>
  <c r="K53" i="12" s="1"/>
  <c r="K54" i="12" s="1"/>
  <c r="K55" i="12" s="1"/>
  <c r="K56" i="12" s="1"/>
  <c r="K59" i="12" s="1"/>
  <c r="K60" i="12" s="1"/>
  <c r="K61" i="12" s="1"/>
  <c r="K62" i="12" s="1"/>
  <c r="K63" i="12" s="1"/>
  <c r="K66" i="12" s="1"/>
  <c r="K67" i="12" s="1"/>
  <c r="K68" i="12" s="1"/>
  <c r="K69" i="12" s="1"/>
  <c r="K70" i="12" s="1"/>
  <c r="K73" i="12" s="1"/>
  <c r="K74" i="12" s="1"/>
  <c r="K75" i="12" s="1"/>
  <c r="K76" i="12" s="1"/>
  <c r="K77" i="12" s="1"/>
  <c r="K80" i="12" s="1"/>
  <c r="K81" i="12" s="1"/>
  <c r="K82" i="12" s="1"/>
  <c r="K83" i="12" s="1"/>
  <c r="K84" i="12" s="1"/>
  <c r="L3" i="12"/>
  <c r="K3" i="12"/>
  <c r="L2" i="12"/>
  <c r="K2" i="12"/>
  <c r="L129" i="10"/>
  <c r="K129" i="10"/>
  <c r="L125" i="10"/>
  <c r="K125" i="10"/>
  <c r="L121" i="10"/>
  <c r="K121" i="10"/>
  <c r="L114" i="10"/>
  <c r="K114" i="10"/>
  <c r="L107" i="10"/>
  <c r="K107" i="10"/>
  <c r="L100" i="10"/>
  <c r="K100" i="10"/>
  <c r="L94" i="10"/>
  <c r="K94" i="10"/>
  <c r="L86" i="10"/>
  <c r="K86" i="10"/>
  <c r="L79" i="10"/>
  <c r="K79" i="10"/>
  <c r="L72" i="10"/>
  <c r="K72" i="10"/>
  <c r="L65" i="10"/>
  <c r="K65" i="10"/>
  <c r="L58" i="10"/>
  <c r="K58" i="10"/>
  <c r="L52" i="10"/>
  <c r="K52" i="10"/>
  <c r="L44" i="10"/>
  <c r="K44" i="10"/>
  <c r="L37" i="10"/>
  <c r="K37" i="10"/>
  <c r="L33" i="10"/>
  <c r="K33" i="10"/>
  <c r="L31" i="10"/>
  <c r="K31" i="10"/>
  <c r="L23" i="10"/>
  <c r="K23" i="10"/>
  <c r="L16" i="10"/>
  <c r="K16" i="10"/>
  <c r="L9" i="10"/>
  <c r="K9" i="10"/>
  <c r="L4" i="10"/>
  <c r="L5" i="10" s="1"/>
  <c r="L6" i="10" s="1"/>
  <c r="L7" i="10" s="1"/>
  <c r="K4" i="10"/>
  <c r="K5" i="10" s="1"/>
  <c r="K6" i="10" s="1"/>
  <c r="K7" i="10" s="1"/>
  <c r="L3" i="10"/>
  <c r="K3" i="10"/>
  <c r="L128" i="18"/>
  <c r="K128" i="18"/>
  <c r="L125" i="18"/>
  <c r="K125" i="18"/>
  <c r="L121" i="18"/>
  <c r="K121" i="18"/>
  <c r="L114" i="18"/>
  <c r="K114" i="18"/>
  <c r="L107" i="18"/>
  <c r="K107" i="18"/>
  <c r="L100" i="18"/>
  <c r="K100" i="18"/>
  <c r="L93" i="18"/>
  <c r="K93" i="18"/>
  <c r="L86" i="18"/>
  <c r="K86" i="18"/>
  <c r="L84" i="18"/>
  <c r="K84" i="18"/>
  <c r="L72" i="18"/>
  <c r="K72" i="18"/>
  <c r="L65" i="18"/>
  <c r="K65" i="18"/>
  <c r="L37" i="18"/>
  <c r="K37" i="18"/>
  <c r="J93" i="18"/>
  <c r="I93" i="18"/>
  <c r="J63" i="18"/>
  <c r="I63" i="18"/>
  <c r="J32" i="18"/>
  <c r="I32" i="18"/>
  <c r="L31" i="18"/>
  <c r="K31" i="18"/>
  <c r="L4" i="18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30" i="18" s="1"/>
  <c r="K4" i="18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30" i="18" s="1"/>
  <c r="K32" i="18" s="1"/>
  <c r="K33" i="18" s="1"/>
  <c r="K34" i="18" s="1"/>
  <c r="K35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L3" i="18"/>
  <c r="K3" i="18"/>
  <c r="L2" i="18"/>
  <c r="K2" i="18"/>
  <c r="J125" i="8"/>
  <c r="I125" i="8"/>
  <c r="J93" i="8"/>
  <c r="I93" i="8"/>
  <c r="J63" i="8"/>
  <c r="I63" i="8"/>
  <c r="L32" i="8"/>
  <c r="K32" i="8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K4" i="8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L3" i="8"/>
  <c r="K3" i="8"/>
  <c r="L2" i="8"/>
  <c r="K2" i="8"/>
  <c r="J125" i="9"/>
  <c r="I125" i="9"/>
  <c r="J93" i="9"/>
  <c r="I93" i="9"/>
  <c r="J63" i="9"/>
  <c r="I63" i="9"/>
  <c r="J32" i="9"/>
  <c r="I32" i="9"/>
  <c r="L4" i="9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K4" i="9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K84" i="9" s="1"/>
  <c r="K85" i="9" s="1"/>
  <c r="K86" i="9" s="1"/>
  <c r="K87" i="9" s="1"/>
  <c r="K88" i="9" s="1"/>
  <c r="K89" i="9" s="1"/>
  <c r="K90" i="9" s="1"/>
  <c r="K91" i="9" s="1"/>
  <c r="K92" i="9" s="1"/>
  <c r="K93" i="9" s="1"/>
  <c r="K94" i="9" s="1"/>
  <c r="K95" i="9" s="1"/>
  <c r="K96" i="9" s="1"/>
  <c r="K97" i="9" s="1"/>
  <c r="K98" i="9" s="1"/>
  <c r="K99" i="9" s="1"/>
  <c r="K100" i="9" s="1"/>
  <c r="K101" i="9" s="1"/>
  <c r="K102" i="9" s="1"/>
  <c r="K103" i="9" s="1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L3" i="9"/>
  <c r="K3" i="9"/>
  <c r="L2" i="9"/>
  <c r="K2" i="9"/>
  <c r="L17" i="11" l="1"/>
  <c r="L18" i="11" s="1"/>
  <c r="L19" i="11" s="1"/>
  <c r="L20" i="11" s="1"/>
  <c r="L21" i="11" s="1"/>
  <c r="L24" i="11" s="1"/>
  <c r="L25" i="11" s="1"/>
  <c r="L26" i="11" s="1"/>
  <c r="L27" i="11" s="1"/>
  <c r="L28" i="11" s="1"/>
  <c r="L31" i="11" s="1"/>
  <c r="L34" i="11" s="1"/>
  <c r="L35" i="11" s="1"/>
  <c r="L39" i="11" s="1"/>
  <c r="L40" i="11" s="1"/>
  <c r="L41" i="11" s="1"/>
  <c r="L42" i="11" s="1"/>
  <c r="L45" i="11" s="1"/>
  <c r="L46" i="11" s="1"/>
  <c r="L47" i="11" s="1"/>
  <c r="L48" i="11" s="1"/>
  <c r="L49" i="11" s="1"/>
  <c r="L52" i="11" s="1"/>
  <c r="L53" i="11" s="1"/>
  <c r="L54" i="11" s="1"/>
  <c r="L55" i="11" s="1"/>
  <c r="L56" i="11" s="1"/>
  <c r="K10" i="11"/>
  <c r="K11" i="11" s="1"/>
  <c r="K12" i="11" s="1"/>
  <c r="K13" i="11" s="1"/>
  <c r="K14" i="11" s="1"/>
  <c r="K17" i="11" s="1"/>
  <c r="K18" i="11" s="1"/>
  <c r="K19" i="11" s="1"/>
  <c r="K20" i="11" s="1"/>
  <c r="K21" i="11" s="1"/>
  <c r="K24" i="11" s="1"/>
  <c r="K25" i="11" s="1"/>
  <c r="K26" i="11" s="1"/>
  <c r="K27" i="11" s="1"/>
  <c r="K28" i="11" s="1"/>
  <c r="K31" i="11" s="1"/>
  <c r="K34" i="11" s="1"/>
  <c r="K35" i="11" s="1"/>
  <c r="K39" i="11" s="1"/>
  <c r="K40" i="11" s="1"/>
  <c r="K41" i="11" s="1"/>
  <c r="K42" i="11" s="1"/>
  <c r="K45" i="11" s="1"/>
  <c r="K46" i="11" s="1"/>
  <c r="K47" i="11" s="1"/>
  <c r="K48" i="11" s="1"/>
  <c r="K49" i="11" s="1"/>
  <c r="K52" i="11" s="1"/>
  <c r="K53" i="11" s="1"/>
  <c r="K54" i="11" s="1"/>
  <c r="K55" i="11" s="1"/>
  <c r="K56" i="11" s="1"/>
  <c r="K87" i="12"/>
  <c r="K88" i="12" s="1"/>
  <c r="K89" i="12" s="1"/>
  <c r="K90" i="12" s="1"/>
  <c r="K91" i="12" s="1"/>
  <c r="K95" i="12" s="1"/>
  <c r="K96" i="12" s="1"/>
  <c r="K97" i="12" s="1"/>
  <c r="K98" i="12" s="1"/>
  <c r="K101" i="12" s="1"/>
  <c r="K102" i="12" s="1"/>
  <c r="K103" i="12" s="1"/>
  <c r="K104" i="12" s="1"/>
  <c r="K105" i="12" s="1"/>
  <c r="K108" i="12" s="1"/>
  <c r="K109" i="12" s="1"/>
  <c r="K110" i="12" s="1"/>
  <c r="K111" i="12" s="1"/>
  <c r="K112" i="12" s="1"/>
  <c r="K115" i="12" s="1"/>
  <c r="K116" i="12" s="1"/>
  <c r="K117" i="12" s="1"/>
  <c r="K118" i="12" s="1"/>
  <c r="K119" i="12" s="1"/>
  <c r="K122" i="12" s="1"/>
  <c r="K123" i="12" s="1"/>
  <c r="K124" i="12" s="1"/>
  <c r="K125" i="12" s="1"/>
  <c r="K126" i="12" s="1"/>
  <c r="K129" i="12" s="1"/>
  <c r="K130" i="12" s="1"/>
  <c r="K131" i="12" s="1"/>
  <c r="K132" i="12" s="1"/>
  <c r="K133" i="12" s="1"/>
  <c r="L17" i="12"/>
  <c r="L18" i="12" s="1"/>
  <c r="L19" i="12" s="1"/>
  <c r="L20" i="12" s="1"/>
  <c r="L21" i="12" s="1"/>
  <c r="L24" i="12" s="1"/>
  <c r="L25" i="12" s="1"/>
  <c r="L26" i="12" s="1"/>
  <c r="L27" i="12" s="1"/>
  <c r="L28" i="12" s="1"/>
  <c r="L31" i="12" s="1"/>
  <c r="L32" i="12" s="1"/>
  <c r="L33" i="12" s="1"/>
  <c r="L34" i="12" s="1"/>
  <c r="L35" i="12" s="1"/>
  <c r="L38" i="12" s="1"/>
  <c r="L39" i="12" s="1"/>
  <c r="L40" i="12" s="1"/>
  <c r="L41" i="12" s="1"/>
  <c r="L42" i="12" s="1"/>
  <c r="L45" i="12" s="1"/>
  <c r="L46" i="12" s="1"/>
  <c r="L47" i="12" s="1"/>
  <c r="L48" i="12" s="1"/>
  <c r="L49" i="12" s="1"/>
  <c r="L53" i="12" s="1"/>
  <c r="L54" i="12" s="1"/>
  <c r="L55" i="12" s="1"/>
  <c r="L56" i="12" s="1"/>
  <c r="L59" i="12" s="1"/>
  <c r="L60" i="12" s="1"/>
  <c r="L61" i="12" s="1"/>
  <c r="L62" i="12" s="1"/>
  <c r="L63" i="12" s="1"/>
  <c r="L66" i="12" s="1"/>
  <c r="L67" i="12" s="1"/>
  <c r="L68" i="12" s="1"/>
  <c r="L69" i="12" s="1"/>
  <c r="L70" i="12" s="1"/>
  <c r="L73" i="12" s="1"/>
  <c r="L74" i="12" s="1"/>
  <c r="L75" i="12" s="1"/>
  <c r="L76" i="12" s="1"/>
  <c r="L77" i="12" s="1"/>
  <c r="L80" i="12" s="1"/>
  <c r="L81" i="12" s="1"/>
  <c r="L82" i="12" s="1"/>
  <c r="L83" i="12" s="1"/>
  <c r="L84" i="12" s="1"/>
  <c r="L87" i="12" s="1"/>
  <c r="L88" i="12" s="1"/>
  <c r="L89" i="12" s="1"/>
  <c r="L90" i="12" s="1"/>
  <c r="L91" i="12" s="1"/>
  <c r="L95" i="12" s="1"/>
  <c r="L96" i="12" s="1"/>
  <c r="L97" i="12" s="1"/>
  <c r="L98" i="12" s="1"/>
  <c r="L101" i="12" s="1"/>
  <c r="L102" i="12" s="1"/>
  <c r="L103" i="12" s="1"/>
  <c r="L104" i="12" s="1"/>
  <c r="L105" i="12" s="1"/>
  <c r="L108" i="12" s="1"/>
  <c r="L109" i="12" s="1"/>
  <c r="L110" i="12" s="1"/>
  <c r="L111" i="12" s="1"/>
  <c r="L112" i="12" s="1"/>
  <c r="L115" i="12" s="1"/>
  <c r="L116" i="12" s="1"/>
  <c r="L117" i="12" s="1"/>
  <c r="L118" i="12" s="1"/>
  <c r="L119" i="12" s="1"/>
  <c r="L122" i="12" s="1"/>
  <c r="L123" i="12" s="1"/>
  <c r="L124" i="12" s="1"/>
  <c r="L125" i="12" s="1"/>
  <c r="L126" i="12" s="1"/>
  <c r="L129" i="12" s="1"/>
  <c r="L130" i="12" s="1"/>
  <c r="L131" i="12" s="1"/>
  <c r="L132" i="12" s="1"/>
  <c r="L133" i="12" s="1"/>
  <c r="L10" i="10"/>
  <c r="L11" i="10" s="1"/>
  <c r="L12" i="10" s="1"/>
  <c r="L13" i="10" s="1"/>
  <c r="L14" i="10" s="1"/>
  <c r="L17" i="10" s="1"/>
  <c r="L18" i="10" s="1"/>
  <c r="L19" i="10" s="1"/>
  <c r="L20" i="10" s="1"/>
  <c r="L21" i="10" s="1"/>
  <c r="L24" i="10" s="1"/>
  <c r="L25" i="10" s="1"/>
  <c r="L26" i="10" s="1"/>
  <c r="L27" i="10" s="1"/>
  <c r="L28" i="10" s="1"/>
  <c r="L34" i="10" s="1"/>
  <c r="L35" i="10" s="1"/>
  <c r="L38" i="10" s="1"/>
  <c r="L39" i="10" s="1"/>
  <c r="L40" i="10" s="1"/>
  <c r="L41" i="10" s="1"/>
  <c r="L42" i="10" s="1"/>
  <c r="L45" i="10" s="1"/>
  <c r="L46" i="10" s="1"/>
  <c r="L47" i="10" s="1"/>
  <c r="L48" i="10" s="1"/>
  <c r="L49" i="10" s="1"/>
  <c r="L53" i="10" s="1"/>
  <c r="L54" i="10" s="1"/>
  <c r="L55" i="10" s="1"/>
  <c r="L56" i="10" s="1"/>
  <c r="L59" i="10" s="1"/>
  <c r="L60" i="10" s="1"/>
  <c r="L61" i="10" s="1"/>
  <c r="L62" i="10" s="1"/>
  <c r="L63" i="10" s="1"/>
  <c r="L66" i="10" s="1"/>
  <c r="L67" i="10" s="1"/>
  <c r="L68" i="10" s="1"/>
  <c r="L69" i="10" s="1"/>
  <c r="L70" i="10" s="1"/>
  <c r="L73" i="10" s="1"/>
  <c r="L74" i="10" s="1"/>
  <c r="L75" i="10" s="1"/>
  <c r="L76" i="10" s="1"/>
  <c r="L77" i="10" s="1"/>
  <c r="L80" i="10" s="1"/>
  <c r="L81" i="10" s="1"/>
  <c r="L82" i="10" s="1"/>
  <c r="L83" i="10" s="1"/>
  <c r="L84" i="10" s="1"/>
  <c r="L87" i="10" s="1"/>
  <c r="L88" i="10" s="1"/>
  <c r="L89" i="10" s="1"/>
  <c r="L90" i="10" s="1"/>
  <c r="L91" i="10" s="1"/>
  <c r="L95" i="10" s="1"/>
  <c r="L96" i="10" s="1"/>
  <c r="L97" i="10" s="1"/>
  <c r="L98" i="10" s="1"/>
  <c r="L101" i="10" s="1"/>
  <c r="L102" i="10" s="1"/>
  <c r="L103" i="10" s="1"/>
  <c r="L104" i="10" s="1"/>
  <c r="L105" i="10" s="1"/>
  <c r="L108" i="10" s="1"/>
  <c r="L109" i="10" s="1"/>
  <c r="L110" i="10" s="1"/>
  <c r="L111" i="10" s="1"/>
  <c r="L112" i="10" s="1"/>
  <c r="L115" i="10" s="1"/>
  <c r="L116" i="10" s="1"/>
  <c r="L117" i="10" s="1"/>
  <c r="L118" i="10" s="1"/>
  <c r="L119" i="10" s="1"/>
  <c r="L122" i="10" s="1"/>
  <c r="L123" i="10" s="1"/>
  <c r="L126" i="10" s="1"/>
  <c r="L130" i="10" s="1"/>
  <c r="L131" i="10" s="1"/>
  <c r="L132" i="10" s="1"/>
  <c r="L133" i="10" s="1"/>
  <c r="K10" i="10"/>
  <c r="K11" i="10" s="1"/>
  <c r="K12" i="10" s="1"/>
  <c r="K13" i="10" s="1"/>
  <c r="K14" i="10" s="1"/>
  <c r="K17" i="10" s="1"/>
  <c r="K18" i="10" s="1"/>
  <c r="K19" i="10" s="1"/>
  <c r="K20" i="10" s="1"/>
  <c r="K21" i="10" s="1"/>
  <c r="K24" i="10" s="1"/>
  <c r="K25" i="10" s="1"/>
  <c r="K26" i="10" s="1"/>
  <c r="K27" i="10" s="1"/>
  <c r="K28" i="10" s="1"/>
  <c r="K34" i="10" s="1"/>
  <c r="K35" i="10" s="1"/>
  <c r="K38" i="10" s="1"/>
  <c r="K39" i="10" s="1"/>
  <c r="K40" i="10" s="1"/>
  <c r="K41" i="10" s="1"/>
  <c r="K42" i="10" s="1"/>
  <c r="K45" i="10" s="1"/>
  <c r="K46" i="10" s="1"/>
  <c r="K47" i="10" s="1"/>
  <c r="K48" i="10" s="1"/>
  <c r="K49" i="10" s="1"/>
  <c r="K53" i="10" s="1"/>
  <c r="K54" i="10" s="1"/>
  <c r="K55" i="10" s="1"/>
  <c r="K56" i="10" s="1"/>
  <c r="K59" i="10" s="1"/>
  <c r="K60" i="10" s="1"/>
  <c r="K61" i="10" s="1"/>
  <c r="K62" i="10" s="1"/>
  <c r="K63" i="10" s="1"/>
  <c r="K66" i="10" s="1"/>
  <c r="K67" i="10" s="1"/>
  <c r="K68" i="10" s="1"/>
  <c r="K69" i="10" s="1"/>
  <c r="K70" i="10" s="1"/>
  <c r="K73" i="10" s="1"/>
  <c r="K74" i="10" s="1"/>
  <c r="K75" i="10" s="1"/>
  <c r="K76" i="10" s="1"/>
  <c r="K77" i="10" s="1"/>
  <c r="K80" i="10" s="1"/>
  <c r="K81" i="10" s="1"/>
  <c r="K82" i="10" s="1"/>
  <c r="K83" i="10" s="1"/>
  <c r="K84" i="10" s="1"/>
  <c r="K87" i="10" s="1"/>
  <c r="K88" i="10" s="1"/>
  <c r="K89" i="10" s="1"/>
  <c r="K90" i="10" s="1"/>
  <c r="K91" i="10" s="1"/>
  <c r="K95" i="10" s="1"/>
  <c r="K96" i="10" s="1"/>
  <c r="K97" i="10" s="1"/>
  <c r="K98" i="10" s="1"/>
  <c r="K101" i="10" s="1"/>
  <c r="K102" i="10" s="1"/>
  <c r="K103" i="10" s="1"/>
  <c r="K104" i="10" s="1"/>
  <c r="K105" i="10" s="1"/>
  <c r="K108" i="10" s="1"/>
  <c r="K109" i="10" s="1"/>
  <c r="K110" i="10" s="1"/>
  <c r="K111" i="10" s="1"/>
  <c r="K112" i="10" s="1"/>
  <c r="K115" i="10" s="1"/>
  <c r="K116" i="10" s="1"/>
  <c r="K117" i="10" s="1"/>
  <c r="K118" i="10" s="1"/>
  <c r="K119" i="10" s="1"/>
  <c r="K122" i="10" s="1"/>
  <c r="K123" i="10" s="1"/>
  <c r="K126" i="10" s="1"/>
  <c r="K130" i="10" s="1"/>
  <c r="K131" i="10" s="1"/>
  <c r="K132" i="10" s="1"/>
  <c r="K133" i="10" s="1"/>
  <c r="K66" i="18"/>
  <c r="K67" i="18" s="1"/>
  <c r="K68" i="18" s="1"/>
  <c r="K69" i="18" s="1"/>
  <c r="K70" i="18" s="1"/>
  <c r="K73" i="18" s="1"/>
  <c r="K74" i="18" s="1"/>
  <c r="K75" i="18" s="1"/>
  <c r="K76" i="18" s="1"/>
  <c r="K77" i="18" s="1"/>
  <c r="K78" i="18" s="1"/>
  <c r="K79" i="18" s="1"/>
  <c r="K80" i="18" s="1"/>
  <c r="K81" i="18" s="1"/>
  <c r="K87" i="18" s="1"/>
  <c r="K88" i="18" s="1"/>
  <c r="K89" i="18" s="1"/>
  <c r="K90" i="18" s="1"/>
  <c r="K91" i="18" s="1"/>
  <c r="K94" i="18" s="1"/>
  <c r="K95" i="18" s="1"/>
  <c r="K96" i="18" s="1"/>
  <c r="K97" i="18" s="1"/>
  <c r="K98" i="18" s="1"/>
  <c r="K101" i="18" s="1"/>
  <c r="K102" i="18" s="1"/>
  <c r="K103" i="18" s="1"/>
  <c r="K104" i="18" s="1"/>
  <c r="K105" i="18" s="1"/>
  <c r="K108" i="18" s="1"/>
  <c r="K109" i="18" s="1"/>
  <c r="K110" i="18" s="1"/>
  <c r="K111" i="18" s="1"/>
  <c r="K112" i="18" s="1"/>
  <c r="K115" i="18" s="1"/>
  <c r="K116" i="18" s="1"/>
  <c r="K117" i="18" s="1"/>
  <c r="K118" i="18" s="1"/>
  <c r="K119" i="18" s="1"/>
  <c r="K122" i="18" s="1"/>
  <c r="K123" i="18" s="1"/>
  <c r="K126" i="18" s="1"/>
  <c r="K129" i="18" s="1"/>
  <c r="K130" i="18" s="1"/>
  <c r="K131" i="18" s="1"/>
  <c r="K132" i="18" s="1"/>
  <c r="K133" i="18" s="1"/>
  <c r="L32" i="18"/>
  <c r="L33" i="18" s="1"/>
  <c r="L34" i="18" s="1"/>
  <c r="L35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6" i="18" s="1"/>
  <c r="L67" i="18" s="1"/>
  <c r="L68" i="18" s="1"/>
  <c r="L69" i="18" s="1"/>
  <c r="L70" i="18" s="1"/>
  <c r="L73" i="18" s="1"/>
  <c r="L74" i="18" s="1"/>
  <c r="L75" i="18" s="1"/>
  <c r="L76" i="18" s="1"/>
  <c r="L77" i="18" s="1"/>
  <c r="L78" i="18" s="1"/>
  <c r="L79" i="18" s="1"/>
  <c r="L80" i="18" s="1"/>
  <c r="L81" i="18" s="1"/>
  <c r="L87" i="18" s="1"/>
  <c r="L88" i="18" s="1"/>
  <c r="L89" i="18" s="1"/>
  <c r="L90" i="18" s="1"/>
  <c r="L91" i="18" s="1"/>
  <c r="L94" i="18" s="1"/>
  <c r="L95" i="18" s="1"/>
  <c r="L96" i="18" s="1"/>
  <c r="L97" i="18" s="1"/>
  <c r="L98" i="18" s="1"/>
  <c r="L101" i="18" s="1"/>
  <c r="L102" i="18" s="1"/>
  <c r="L103" i="18" s="1"/>
  <c r="L104" i="18" s="1"/>
  <c r="L105" i="18" s="1"/>
  <c r="L108" i="18" s="1"/>
  <c r="L109" i="18" s="1"/>
  <c r="L110" i="18" s="1"/>
  <c r="L111" i="18" s="1"/>
  <c r="L112" i="18" s="1"/>
  <c r="L115" i="18" s="1"/>
  <c r="L116" i="18" s="1"/>
  <c r="L117" i="18" s="1"/>
  <c r="L118" i="18" s="1"/>
  <c r="L119" i="18" s="1"/>
  <c r="L122" i="18" s="1"/>
  <c r="L123" i="18" s="1"/>
  <c r="L126" i="18" s="1"/>
  <c r="L129" i="18" s="1"/>
  <c r="L130" i="18" s="1"/>
  <c r="L131" i="18" s="1"/>
  <c r="L132" i="18" s="1"/>
  <c r="L133" i="18" s="1"/>
  <c r="K33" i="8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I223" i="13"/>
  <c r="H223" i="13"/>
  <c r="E223" i="13"/>
  <c r="D223" i="13"/>
  <c r="C223" i="13"/>
  <c r="F222" i="13"/>
  <c r="G222" i="13" s="1"/>
  <c r="F221" i="13"/>
  <c r="G221" i="13" s="1"/>
  <c r="F220" i="13"/>
  <c r="G220" i="13" s="1"/>
  <c r="F219" i="13"/>
  <c r="G219" i="13" s="1"/>
  <c r="F218" i="13"/>
  <c r="G218" i="13" s="1"/>
  <c r="F217" i="13"/>
  <c r="I211" i="13"/>
  <c r="H211" i="13"/>
  <c r="E211" i="13"/>
  <c r="D211" i="13"/>
  <c r="C211" i="13"/>
  <c r="F210" i="13"/>
  <c r="G210" i="13" s="1"/>
  <c r="F209" i="13"/>
  <c r="G209" i="13" s="1"/>
  <c r="F208" i="13"/>
  <c r="G208" i="13" s="1"/>
  <c r="G207" i="13"/>
  <c r="F207" i="13"/>
  <c r="F206" i="13"/>
  <c r="G206" i="13" s="1"/>
  <c r="F205" i="13"/>
  <c r="G205" i="13" s="1"/>
  <c r="H133" i="11"/>
  <c r="G133" i="11"/>
  <c r="H132" i="11"/>
  <c r="G132" i="11"/>
  <c r="H130" i="11"/>
  <c r="G130" i="11"/>
  <c r="J129" i="11"/>
  <c r="J130" i="11" s="1"/>
  <c r="J131" i="11" s="1"/>
  <c r="J132" i="11" s="1"/>
  <c r="J133" i="11" s="1"/>
  <c r="I129" i="11"/>
  <c r="I130" i="11" s="1"/>
  <c r="I131" i="11" s="1"/>
  <c r="I132" i="11" s="1"/>
  <c r="I133" i="11" s="1"/>
  <c r="H129" i="11"/>
  <c r="G129" i="11"/>
  <c r="J128" i="11"/>
  <c r="I128" i="11"/>
  <c r="H128" i="11"/>
  <c r="G128" i="11"/>
  <c r="I126" i="11"/>
  <c r="H126" i="11"/>
  <c r="G126" i="11"/>
  <c r="J125" i="11"/>
  <c r="J126" i="11" s="1"/>
  <c r="I125" i="11"/>
  <c r="H125" i="11"/>
  <c r="G125" i="11"/>
  <c r="L59" i="11" l="1"/>
  <c r="L60" i="11" s="1"/>
  <c r="L61" i="11" s="1"/>
  <c r="L62" i="11" s="1"/>
  <c r="L63" i="11" s="1"/>
  <c r="L66" i="11" s="1"/>
  <c r="L67" i="11" s="1"/>
  <c r="L68" i="11" s="1"/>
  <c r="L69" i="11" s="1"/>
  <c r="L70" i="11" s="1"/>
  <c r="L73" i="11" s="1"/>
  <c r="L74" i="11" s="1"/>
  <c r="L75" i="11" s="1"/>
  <c r="L76" i="11" s="1"/>
  <c r="L77" i="11" s="1"/>
  <c r="L81" i="11" s="1"/>
  <c r="L82" i="11" s="1"/>
  <c r="L83" i="11" s="1"/>
  <c r="L84" i="11" s="1"/>
  <c r="L87" i="11" s="1"/>
  <c r="L88" i="11" s="1"/>
  <c r="L89" i="11" s="1"/>
  <c r="L90" i="11" s="1"/>
  <c r="L91" i="11" s="1"/>
  <c r="L95" i="11" s="1"/>
  <c r="L96" i="11" s="1"/>
  <c r="L97" i="11" s="1"/>
  <c r="L98" i="11" s="1"/>
  <c r="L101" i="11" s="1"/>
  <c r="L102" i="11" s="1"/>
  <c r="L103" i="11" s="1"/>
  <c r="L104" i="11" s="1"/>
  <c r="L105" i="11" s="1"/>
  <c r="L108" i="11" s="1"/>
  <c r="L109" i="11" s="1"/>
  <c r="L110" i="11" s="1"/>
  <c r="L111" i="11" s="1"/>
  <c r="L112" i="11" s="1"/>
  <c r="L115" i="11" s="1"/>
  <c r="L116" i="11" s="1"/>
  <c r="L117" i="11" s="1"/>
  <c r="L118" i="11" s="1"/>
  <c r="L119" i="11" s="1"/>
  <c r="L122" i="11" s="1"/>
  <c r="L123" i="11" s="1"/>
  <c r="L126" i="11" s="1"/>
  <c r="L129" i="11" s="1"/>
  <c r="L130" i="11" s="1"/>
  <c r="L131" i="11" s="1"/>
  <c r="L132" i="11" s="1"/>
  <c r="L133" i="11" s="1"/>
  <c r="K60" i="11"/>
  <c r="K61" i="11" s="1"/>
  <c r="K62" i="11" s="1"/>
  <c r="K63" i="11" s="1"/>
  <c r="K66" i="11" s="1"/>
  <c r="K67" i="11" s="1"/>
  <c r="K68" i="11" s="1"/>
  <c r="K69" i="11" s="1"/>
  <c r="K70" i="11" s="1"/>
  <c r="K73" i="11" s="1"/>
  <c r="K74" i="11" s="1"/>
  <c r="K75" i="11" s="1"/>
  <c r="K76" i="11" s="1"/>
  <c r="K77" i="11" s="1"/>
  <c r="K81" i="11" s="1"/>
  <c r="K82" i="11" s="1"/>
  <c r="K83" i="11" s="1"/>
  <c r="K84" i="11" s="1"/>
  <c r="K87" i="11" s="1"/>
  <c r="K88" i="11" s="1"/>
  <c r="K89" i="11" s="1"/>
  <c r="K90" i="11" s="1"/>
  <c r="K91" i="11" s="1"/>
  <c r="K95" i="11" s="1"/>
  <c r="K96" i="11" s="1"/>
  <c r="K97" i="11" s="1"/>
  <c r="K98" i="11" s="1"/>
  <c r="K101" i="11" s="1"/>
  <c r="K102" i="11" s="1"/>
  <c r="K103" i="11" s="1"/>
  <c r="K104" i="11" s="1"/>
  <c r="K105" i="11" s="1"/>
  <c r="K108" i="11" s="1"/>
  <c r="K109" i="11" s="1"/>
  <c r="K110" i="11" s="1"/>
  <c r="K111" i="11" s="1"/>
  <c r="K112" i="11" s="1"/>
  <c r="K115" i="11" s="1"/>
  <c r="K116" i="11" s="1"/>
  <c r="K117" i="11" s="1"/>
  <c r="K118" i="11" s="1"/>
  <c r="K119" i="11" s="1"/>
  <c r="K122" i="11" s="1"/>
  <c r="K123" i="11" s="1"/>
  <c r="K126" i="11" s="1"/>
  <c r="K129" i="11" s="1"/>
  <c r="K130" i="11" s="1"/>
  <c r="K131" i="11" s="1"/>
  <c r="K132" i="11" s="1"/>
  <c r="K133" i="11" s="1"/>
  <c r="K59" i="11"/>
  <c r="F223" i="13"/>
  <c r="G217" i="13"/>
  <c r="G223" i="13" s="1"/>
  <c r="G211" i="13"/>
  <c r="F211" i="13"/>
  <c r="B133" i="11"/>
  <c r="B132" i="11"/>
  <c r="B131" i="11"/>
  <c r="B130" i="11"/>
  <c r="B129" i="11"/>
  <c r="B128" i="11"/>
  <c r="B127" i="11"/>
  <c r="B126" i="11"/>
  <c r="B125" i="11"/>
  <c r="B124" i="11"/>
  <c r="H133" i="8"/>
  <c r="G133" i="8"/>
  <c r="H133" i="12"/>
  <c r="G133" i="12"/>
  <c r="H132" i="12"/>
  <c r="G132" i="12"/>
  <c r="H131" i="12"/>
  <c r="G131" i="12"/>
  <c r="H130" i="12"/>
  <c r="G130" i="12"/>
  <c r="H129" i="12"/>
  <c r="G129" i="12"/>
  <c r="H128" i="12"/>
  <c r="G128" i="12"/>
  <c r="H126" i="12"/>
  <c r="G126" i="12"/>
  <c r="H125" i="12"/>
  <c r="G125" i="12"/>
  <c r="H124" i="12"/>
  <c r="G124" i="12"/>
  <c r="B135" i="12" l="1"/>
  <c r="B134" i="12"/>
  <c r="B133" i="12"/>
  <c r="B132" i="12"/>
  <c r="B131" i="12"/>
  <c r="B130" i="12"/>
  <c r="B129" i="12"/>
  <c r="B128" i="12"/>
  <c r="B127" i="12"/>
  <c r="B126" i="12"/>
  <c r="B125" i="12"/>
  <c r="B134" i="10"/>
  <c r="B133" i="10"/>
  <c r="B132" i="10"/>
  <c r="B131" i="10"/>
  <c r="B130" i="10"/>
  <c r="B129" i="10"/>
  <c r="B128" i="10"/>
  <c r="B127" i="10"/>
  <c r="B126" i="10"/>
  <c r="B125" i="10"/>
  <c r="B124" i="10"/>
  <c r="H130" i="18"/>
  <c r="G130" i="18"/>
  <c r="H129" i="18"/>
  <c r="G129" i="18"/>
  <c r="H128" i="18"/>
  <c r="G128" i="18"/>
  <c r="J125" i="18"/>
  <c r="J126" i="18" s="1"/>
  <c r="J128" i="18" s="1"/>
  <c r="J129" i="18" s="1"/>
  <c r="J130" i="18" s="1"/>
  <c r="J131" i="18" s="1"/>
  <c r="J132" i="18" s="1"/>
  <c r="J133" i="18" s="1"/>
  <c r="I125" i="18"/>
  <c r="I126" i="18" s="1"/>
  <c r="I128" i="18" l="1"/>
  <c r="I129" i="18" s="1"/>
  <c r="I130" i="18" s="1"/>
  <c r="I131" i="18" s="1"/>
  <c r="I132" i="18" s="1"/>
  <c r="I133" i="18" s="1"/>
  <c r="H132" i="8"/>
  <c r="G132" i="8"/>
  <c r="H130" i="8"/>
  <c r="G130" i="8"/>
  <c r="H129" i="8"/>
  <c r="G129" i="8"/>
  <c r="J128" i="8"/>
  <c r="J129" i="8" s="1"/>
  <c r="J130" i="8" s="1"/>
  <c r="J131" i="8" s="1"/>
  <c r="J132" i="8" s="1"/>
  <c r="J133" i="8" s="1"/>
  <c r="I128" i="8"/>
  <c r="I129" i="8" s="1"/>
  <c r="I130" i="8" s="1"/>
  <c r="I131" i="8" s="1"/>
  <c r="I132" i="8" s="1"/>
  <c r="I133" i="8" s="1"/>
  <c r="H128" i="8"/>
  <c r="G128" i="8"/>
  <c r="H126" i="8"/>
  <c r="G126" i="8"/>
  <c r="J126" i="8"/>
  <c r="I126" i="8"/>
  <c r="H125" i="8"/>
  <c r="G125" i="8"/>
  <c r="B134" i="18" l="1"/>
  <c r="B133" i="18"/>
  <c r="B132" i="18"/>
  <c r="B131" i="18"/>
  <c r="B130" i="18"/>
  <c r="B129" i="18"/>
  <c r="B128" i="18"/>
  <c r="B127" i="18"/>
  <c r="B126" i="18"/>
  <c r="B125" i="18"/>
  <c r="B124" i="18"/>
  <c r="J130" i="9"/>
  <c r="J131" i="9" s="1"/>
  <c r="J132" i="9" s="1"/>
  <c r="J133" i="9" s="1"/>
  <c r="H133" i="9"/>
  <c r="G133" i="9"/>
  <c r="H132" i="9"/>
  <c r="G132" i="9"/>
  <c r="H130" i="9"/>
  <c r="G130" i="9"/>
  <c r="J128" i="9"/>
  <c r="I128" i="9"/>
  <c r="I130" i="9" s="1"/>
  <c r="I131" i="9" s="1"/>
  <c r="I132" i="9" s="1"/>
  <c r="I133" i="9" s="1"/>
  <c r="H128" i="9"/>
  <c r="G128" i="9"/>
  <c r="H126" i="9"/>
  <c r="G126" i="9"/>
  <c r="J126" i="9"/>
  <c r="I126" i="9"/>
  <c r="H125" i="9"/>
  <c r="G125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11" l="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G193" i="11" l="1"/>
  <c r="AG192" i="11"/>
  <c r="AG191" i="11"/>
  <c r="AG190" i="11"/>
  <c r="AG189" i="11"/>
  <c r="AA191" i="12"/>
  <c r="AA190" i="12"/>
  <c r="AA189" i="12"/>
  <c r="AA187" i="12"/>
  <c r="AA186" i="12"/>
  <c r="AD190" i="10"/>
  <c r="AD189" i="10"/>
  <c r="AD188" i="10"/>
  <c r="AD187" i="10"/>
  <c r="AD186" i="10"/>
  <c r="AA225" i="18"/>
  <c r="AA224" i="18"/>
  <c r="AA223" i="18"/>
  <c r="AA222" i="18"/>
  <c r="Z224" i="8"/>
  <c r="Z223" i="8"/>
  <c r="Z222" i="8"/>
  <c r="Z221" i="8"/>
  <c r="Z220" i="8"/>
  <c r="Y192" i="9"/>
  <c r="Y191" i="9"/>
  <c r="Y190" i="9"/>
  <c r="Y189" i="9"/>
  <c r="Y188" i="9"/>
  <c r="H123" i="9"/>
  <c r="G123" i="9"/>
  <c r="H116" i="9"/>
  <c r="G116" i="9"/>
  <c r="H109" i="9"/>
  <c r="G109" i="9"/>
  <c r="H122" i="9"/>
  <c r="G122" i="9"/>
  <c r="H121" i="9"/>
  <c r="G121" i="9"/>
  <c r="H119" i="9"/>
  <c r="G119" i="9"/>
  <c r="H118" i="9"/>
  <c r="G118" i="9"/>
  <c r="H117" i="9"/>
  <c r="G117" i="9"/>
  <c r="H115" i="9"/>
  <c r="G115" i="9"/>
  <c r="H114" i="9"/>
  <c r="G114" i="9"/>
  <c r="F121" i="15"/>
  <c r="G121" i="15" s="1"/>
  <c r="I122" i="15"/>
  <c r="H122" i="15"/>
  <c r="F122" i="15"/>
  <c r="E122" i="15"/>
  <c r="D122" i="15"/>
  <c r="C122" i="15"/>
  <c r="F120" i="15"/>
  <c r="G120" i="15" s="1"/>
  <c r="F119" i="15"/>
  <c r="G119" i="15" s="1"/>
  <c r="F118" i="15"/>
  <c r="G118" i="15" s="1"/>
  <c r="F117" i="15"/>
  <c r="G117" i="15" s="1"/>
  <c r="F116" i="15"/>
  <c r="G116" i="15" s="1"/>
  <c r="H123" i="8"/>
  <c r="G123" i="8"/>
  <c r="H122" i="8"/>
  <c r="G122" i="8"/>
  <c r="H121" i="8"/>
  <c r="G121" i="8"/>
  <c r="H123" i="18"/>
  <c r="G123" i="18"/>
  <c r="H122" i="18"/>
  <c r="G122" i="18"/>
  <c r="H121" i="18"/>
  <c r="G121" i="18"/>
  <c r="G122" i="15" l="1"/>
  <c r="H123" i="10"/>
  <c r="G123" i="10"/>
  <c r="H122" i="10"/>
  <c r="G122" i="10"/>
  <c r="H121" i="10"/>
  <c r="G121" i="10"/>
  <c r="H119" i="10"/>
  <c r="G119" i="10"/>
  <c r="H118" i="10"/>
  <c r="G118" i="10"/>
  <c r="H117" i="10"/>
  <c r="G117" i="10"/>
  <c r="H116" i="10"/>
  <c r="G116" i="10"/>
  <c r="H115" i="10"/>
  <c r="G115" i="10"/>
  <c r="H114" i="10"/>
  <c r="G114" i="10"/>
  <c r="H123" i="11"/>
  <c r="G123" i="11"/>
  <c r="H122" i="11"/>
  <c r="G122" i="11"/>
  <c r="H121" i="11"/>
  <c r="G121" i="11"/>
  <c r="H123" i="12" l="1"/>
  <c r="G123" i="12"/>
  <c r="H122" i="12"/>
  <c r="G122" i="12"/>
  <c r="H121" i="12"/>
  <c r="G121" i="12"/>
  <c r="H119" i="12" l="1"/>
  <c r="G119" i="12"/>
  <c r="H118" i="12"/>
  <c r="G118" i="12"/>
  <c r="H117" i="12"/>
  <c r="G117" i="12"/>
  <c r="H116" i="12"/>
  <c r="G116" i="12"/>
  <c r="H115" i="12"/>
  <c r="G115" i="12"/>
  <c r="H114" i="12"/>
  <c r="G114" i="12"/>
  <c r="H119" i="8" l="1"/>
  <c r="G119" i="8"/>
  <c r="H118" i="8"/>
  <c r="G118" i="8"/>
  <c r="H117" i="8"/>
  <c r="G117" i="8"/>
  <c r="H116" i="8"/>
  <c r="G116" i="8"/>
  <c r="H115" i="8"/>
  <c r="G115" i="8"/>
  <c r="H119" i="11" l="1"/>
  <c r="G119" i="11"/>
  <c r="H118" i="11"/>
  <c r="G118" i="11"/>
  <c r="H117" i="11"/>
  <c r="G117" i="11"/>
  <c r="H116" i="11"/>
  <c r="G116" i="11"/>
  <c r="H115" i="11"/>
  <c r="G115" i="11"/>
  <c r="H114" i="11"/>
  <c r="G114" i="11"/>
  <c r="H116" i="18" l="1"/>
  <c r="G116" i="18"/>
  <c r="H115" i="18"/>
  <c r="G115" i="18"/>
  <c r="H114" i="18"/>
  <c r="G114" i="18"/>
  <c r="H112" i="12" l="1"/>
  <c r="G112" i="12"/>
  <c r="H111" i="12"/>
  <c r="G111" i="12"/>
  <c r="H110" i="12"/>
  <c r="G110" i="12"/>
  <c r="H109" i="12"/>
  <c r="G109" i="12"/>
  <c r="H108" i="12"/>
  <c r="G108" i="12"/>
  <c r="H107" i="12"/>
  <c r="G107" i="12"/>
  <c r="H107" i="11" l="1"/>
  <c r="G107" i="11"/>
  <c r="H112" i="11"/>
  <c r="G112" i="11"/>
  <c r="H111" i="11"/>
  <c r="G111" i="11"/>
  <c r="H110" i="11"/>
  <c r="G110" i="11"/>
  <c r="H109" i="11"/>
  <c r="G109" i="11"/>
  <c r="H108" i="11"/>
  <c r="G108" i="11"/>
  <c r="H114" i="8" l="1"/>
  <c r="G114" i="8"/>
  <c r="H112" i="8"/>
  <c r="G112" i="8"/>
  <c r="H111" i="8"/>
  <c r="G111" i="8"/>
  <c r="H110" i="8"/>
  <c r="G110" i="8"/>
  <c r="H109" i="8"/>
  <c r="G109" i="8"/>
  <c r="H108" i="8"/>
  <c r="G108" i="8"/>
  <c r="H107" i="8"/>
  <c r="G107" i="8"/>
  <c r="I187" i="13" l="1"/>
  <c r="H187" i="13"/>
  <c r="E187" i="13"/>
  <c r="D187" i="13"/>
  <c r="C187" i="13"/>
  <c r="F186" i="13"/>
  <c r="G186" i="13" s="1"/>
  <c r="F185" i="13"/>
  <c r="G185" i="13" s="1"/>
  <c r="F184" i="13"/>
  <c r="G184" i="13" s="1"/>
  <c r="F183" i="13"/>
  <c r="G183" i="13" s="1"/>
  <c r="G182" i="13"/>
  <c r="F182" i="13"/>
  <c r="F181" i="13"/>
  <c r="G181" i="13" s="1"/>
  <c r="G187" i="13" s="1"/>
  <c r="H109" i="18"/>
  <c r="G109" i="18"/>
  <c r="H108" i="18"/>
  <c r="G108" i="18"/>
  <c r="H107" i="18"/>
  <c r="G107" i="18"/>
  <c r="F187" i="13" l="1"/>
  <c r="H112" i="10"/>
  <c r="G112" i="10"/>
  <c r="H111" i="10"/>
  <c r="G111" i="10"/>
  <c r="H110" i="10"/>
  <c r="G110" i="10"/>
  <c r="H109" i="10"/>
  <c r="G109" i="10"/>
  <c r="H108" i="10"/>
  <c r="G108" i="10"/>
  <c r="H112" i="9"/>
  <c r="G112" i="9"/>
  <c r="H111" i="9"/>
  <c r="G111" i="9"/>
  <c r="H110" i="9"/>
  <c r="G110" i="9"/>
  <c r="H108" i="9"/>
  <c r="G108" i="9"/>
  <c r="H107" i="9"/>
  <c r="G107" i="9"/>
  <c r="I175" i="13" l="1"/>
  <c r="H175" i="13"/>
  <c r="E175" i="13"/>
  <c r="D175" i="13"/>
  <c r="C175" i="13"/>
  <c r="F174" i="13"/>
  <c r="G174" i="13" s="1"/>
  <c r="F173" i="13"/>
  <c r="G173" i="13" s="1"/>
  <c r="F172" i="13"/>
  <c r="G172" i="13" s="1"/>
  <c r="F171" i="13"/>
  <c r="G171" i="13" s="1"/>
  <c r="F170" i="13"/>
  <c r="G170" i="13" s="1"/>
  <c r="F169" i="13"/>
  <c r="G169" i="13" s="1"/>
  <c r="J94" i="11"/>
  <c r="I94" i="11"/>
  <c r="H105" i="11"/>
  <c r="G105" i="11"/>
  <c r="H104" i="11"/>
  <c r="G104" i="11"/>
  <c r="H103" i="11"/>
  <c r="G103" i="11"/>
  <c r="H102" i="11"/>
  <c r="G102" i="11"/>
  <c r="H101" i="11"/>
  <c r="G101" i="11"/>
  <c r="G175" i="13" l="1"/>
  <c r="F175" i="13"/>
  <c r="H105" i="8" l="1"/>
  <c r="G105" i="8"/>
  <c r="H104" i="8"/>
  <c r="G104" i="8"/>
  <c r="H103" i="8"/>
  <c r="G103" i="8"/>
  <c r="H102" i="8"/>
  <c r="G102" i="8"/>
  <c r="H101" i="8"/>
  <c r="G101" i="8"/>
  <c r="H100" i="8"/>
  <c r="G100" i="8"/>
  <c r="H98" i="8"/>
  <c r="G98" i="8"/>
  <c r="H97" i="8"/>
  <c r="G97" i="8"/>
  <c r="H96" i="8"/>
  <c r="G96" i="8"/>
  <c r="H95" i="8"/>
  <c r="G95" i="8"/>
  <c r="H94" i="8"/>
  <c r="G94" i="8"/>
  <c r="H93" i="8"/>
  <c r="G93" i="8"/>
  <c r="H105" i="10"/>
  <c r="G105" i="10"/>
  <c r="H104" i="10"/>
  <c r="G104" i="10"/>
  <c r="H103" i="10"/>
  <c r="G103" i="10"/>
  <c r="H102" i="10"/>
  <c r="G102" i="10"/>
  <c r="H101" i="10"/>
  <c r="G101" i="10"/>
  <c r="J94" i="10"/>
  <c r="J95" i="10" s="1"/>
  <c r="J96" i="10" s="1"/>
  <c r="J97" i="10" s="1"/>
  <c r="J98" i="10" s="1"/>
  <c r="J100" i="10" s="1"/>
  <c r="J101" i="10" s="1"/>
  <c r="J102" i="10" s="1"/>
  <c r="J103" i="10" s="1"/>
  <c r="J104" i="10" s="1"/>
  <c r="J105" i="10" s="1"/>
  <c r="J107" i="10" s="1"/>
  <c r="J108" i="10" s="1"/>
  <c r="J109" i="10" s="1"/>
  <c r="J110" i="10" s="1"/>
  <c r="J111" i="10" s="1"/>
  <c r="J112" i="10" s="1"/>
  <c r="J114" i="10" s="1"/>
  <c r="J115" i="10" s="1"/>
  <c r="J116" i="10" s="1"/>
  <c r="J117" i="10" s="1"/>
  <c r="J118" i="10" s="1"/>
  <c r="J119" i="10" s="1"/>
  <c r="J121" i="10" s="1"/>
  <c r="J122" i="10" s="1"/>
  <c r="J123" i="10" s="1"/>
  <c r="I94" i="10"/>
  <c r="I95" i="10" s="1"/>
  <c r="I96" i="10" s="1"/>
  <c r="I97" i="10" s="1"/>
  <c r="I98" i="10" s="1"/>
  <c r="I100" i="10" s="1"/>
  <c r="I101" i="10" s="1"/>
  <c r="I102" i="10" s="1"/>
  <c r="I103" i="10" s="1"/>
  <c r="I104" i="10" s="1"/>
  <c r="I105" i="10" s="1"/>
  <c r="I107" i="10" s="1"/>
  <c r="I108" i="10" s="1"/>
  <c r="I109" i="10" s="1"/>
  <c r="I110" i="10" s="1"/>
  <c r="I111" i="10" s="1"/>
  <c r="I112" i="10" s="1"/>
  <c r="I114" i="10" s="1"/>
  <c r="I115" i="10" s="1"/>
  <c r="I116" i="10" s="1"/>
  <c r="I117" i="10" s="1"/>
  <c r="I118" i="10" s="1"/>
  <c r="I119" i="10" s="1"/>
  <c r="I121" i="10" s="1"/>
  <c r="I122" i="10" s="1"/>
  <c r="I123" i="10" s="1"/>
  <c r="H98" i="10"/>
  <c r="G98" i="10"/>
  <c r="H97" i="10"/>
  <c r="G97" i="10"/>
  <c r="H96" i="10"/>
  <c r="G96" i="10"/>
  <c r="H95" i="10"/>
  <c r="G95" i="10"/>
  <c r="H94" i="10"/>
  <c r="G94" i="10"/>
  <c r="F158" i="13"/>
  <c r="G158" i="13" s="1"/>
  <c r="H102" i="18"/>
  <c r="G102" i="18"/>
  <c r="H101" i="18"/>
  <c r="G101" i="18"/>
  <c r="H100" i="18"/>
  <c r="G100" i="18"/>
  <c r="H95" i="18"/>
  <c r="G95" i="18"/>
  <c r="H94" i="18"/>
  <c r="G94" i="18"/>
  <c r="H93" i="18"/>
  <c r="G93" i="18"/>
  <c r="I163" i="13" l="1"/>
  <c r="H163" i="13"/>
  <c r="E163" i="13"/>
  <c r="D163" i="13"/>
  <c r="C163" i="13"/>
  <c r="F162" i="13"/>
  <c r="G162" i="13" s="1"/>
  <c r="F161" i="13"/>
  <c r="G161" i="13" s="1"/>
  <c r="F160" i="13"/>
  <c r="G160" i="13" s="1"/>
  <c r="F159" i="13"/>
  <c r="G159" i="13" s="1"/>
  <c r="F157" i="13"/>
  <c r="G157" i="13" s="1"/>
  <c r="G163" i="13" s="1"/>
  <c r="H105" i="9"/>
  <c r="G105" i="9"/>
  <c r="H104" i="9"/>
  <c r="G104" i="9"/>
  <c r="H103" i="9"/>
  <c r="G103" i="9"/>
  <c r="H101" i="9"/>
  <c r="G101" i="9"/>
  <c r="H100" i="9"/>
  <c r="G100" i="9"/>
  <c r="H98" i="9"/>
  <c r="G98" i="9"/>
  <c r="H97" i="9"/>
  <c r="G97" i="9"/>
  <c r="H96" i="9"/>
  <c r="G96" i="9"/>
  <c r="H94" i="9"/>
  <c r="G94" i="9"/>
  <c r="H93" i="9"/>
  <c r="G93" i="9"/>
  <c r="H91" i="9"/>
  <c r="G91" i="9"/>
  <c r="H90" i="9"/>
  <c r="G90" i="9"/>
  <c r="H89" i="9"/>
  <c r="G89" i="9"/>
  <c r="H88" i="9"/>
  <c r="G88" i="9"/>
  <c r="H87" i="9"/>
  <c r="G87" i="9"/>
  <c r="H86" i="9"/>
  <c r="G86" i="9"/>
  <c r="H105" i="12"/>
  <c r="G105" i="12"/>
  <c r="H104" i="12"/>
  <c r="G104" i="12"/>
  <c r="H103" i="12"/>
  <c r="G103" i="12"/>
  <c r="H102" i="12"/>
  <c r="G102" i="12"/>
  <c r="H101" i="12"/>
  <c r="G101" i="12"/>
  <c r="I94" i="12"/>
  <c r="I95" i="12" s="1"/>
  <c r="I96" i="12" s="1"/>
  <c r="I97" i="12" s="1"/>
  <c r="I98" i="12" s="1"/>
  <c r="I100" i="12" s="1"/>
  <c r="I101" i="12" s="1"/>
  <c r="I102" i="12" s="1"/>
  <c r="I103" i="12" s="1"/>
  <c r="I104" i="12" s="1"/>
  <c r="I105" i="12" s="1"/>
  <c r="I107" i="12" s="1"/>
  <c r="I108" i="12" s="1"/>
  <c r="I109" i="12" s="1"/>
  <c r="I110" i="12" s="1"/>
  <c r="I111" i="12" s="1"/>
  <c r="I112" i="12" s="1"/>
  <c r="I114" i="12" s="1"/>
  <c r="I115" i="12" s="1"/>
  <c r="I116" i="12" s="1"/>
  <c r="I117" i="12" s="1"/>
  <c r="I118" i="12" s="1"/>
  <c r="I119" i="12" s="1"/>
  <c r="I121" i="12" s="1"/>
  <c r="I122" i="12" s="1"/>
  <c r="I123" i="12" s="1"/>
  <c r="I124" i="12" s="1"/>
  <c r="I125" i="12" s="1"/>
  <c r="I126" i="12" s="1"/>
  <c r="I128" i="12" s="1"/>
  <c r="I129" i="12" s="1"/>
  <c r="I130" i="12" s="1"/>
  <c r="I131" i="12" s="1"/>
  <c r="I132" i="12" s="1"/>
  <c r="I133" i="12" s="1"/>
  <c r="J94" i="12"/>
  <c r="J95" i="12" s="1"/>
  <c r="J96" i="12" s="1"/>
  <c r="J97" i="12" s="1"/>
  <c r="J98" i="12" s="1"/>
  <c r="J100" i="12" s="1"/>
  <c r="J101" i="12" s="1"/>
  <c r="J102" i="12" s="1"/>
  <c r="J103" i="12" s="1"/>
  <c r="J104" i="12" s="1"/>
  <c r="J105" i="12" s="1"/>
  <c r="J107" i="12" s="1"/>
  <c r="J108" i="12" s="1"/>
  <c r="J109" i="12" s="1"/>
  <c r="J110" i="12" s="1"/>
  <c r="J111" i="12" s="1"/>
  <c r="J112" i="12" s="1"/>
  <c r="J114" i="12" s="1"/>
  <c r="J115" i="12" s="1"/>
  <c r="J116" i="12" s="1"/>
  <c r="J117" i="12" s="1"/>
  <c r="J118" i="12" s="1"/>
  <c r="J119" i="12" s="1"/>
  <c r="J121" i="12" s="1"/>
  <c r="J122" i="12" s="1"/>
  <c r="J123" i="12" s="1"/>
  <c r="J124" i="12" s="1"/>
  <c r="J125" i="12" s="1"/>
  <c r="J126" i="12" s="1"/>
  <c r="J128" i="12" s="1"/>
  <c r="J129" i="12" s="1"/>
  <c r="J130" i="12" s="1"/>
  <c r="J131" i="12" s="1"/>
  <c r="J132" i="12" s="1"/>
  <c r="J133" i="12" s="1"/>
  <c r="H98" i="12"/>
  <c r="G98" i="12"/>
  <c r="H97" i="12"/>
  <c r="G97" i="12"/>
  <c r="H96" i="12"/>
  <c r="G96" i="12"/>
  <c r="H95" i="12"/>
  <c r="G95" i="12"/>
  <c r="H94" i="12"/>
  <c r="G94" i="12"/>
  <c r="F163" i="13" l="1"/>
  <c r="I95" i="11"/>
  <c r="I96" i="11" s="1"/>
  <c r="I97" i="11" s="1"/>
  <c r="I98" i="11" s="1"/>
  <c r="I100" i="11" s="1"/>
  <c r="I101" i="11" s="1"/>
  <c r="I102" i="11" s="1"/>
  <c r="I103" i="11" s="1"/>
  <c r="I104" i="11" s="1"/>
  <c r="I105" i="11" s="1"/>
  <c r="I107" i="11" s="1"/>
  <c r="I108" i="11" s="1"/>
  <c r="I109" i="11" s="1"/>
  <c r="I110" i="11" s="1"/>
  <c r="I111" i="11" s="1"/>
  <c r="I112" i="11" s="1"/>
  <c r="I114" i="11" s="1"/>
  <c r="I115" i="11" s="1"/>
  <c r="I116" i="11" s="1"/>
  <c r="I117" i="11" s="1"/>
  <c r="I118" i="11" s="1"/>
  <c r="I119" i="11" s="1"/>
  <c r="I121" i="11" s="1"/>
  <c r="I122" i="11" s="1"/>
  <c r="I123" i="11" s="1"/>
  <c r="H98" i="11"/>
  <c r="G98" i="11"/>
  <c r="H97" i="11"/>
  <c r="G97" i="11"/>
  <c r="H96" i="11"/>
  <c r="G96" i="11"/>
  <c r="H95" i="11"/>
  <c r="G95" i="11"/>
  <c r="J95" i="11"/>
  <c r="J96" i="11" s="1"/>
  <c r="J97" i="11" s="1"/>
  <c r="J98" i="11" s="1"/>
  <c r="J100" i="11" s="1"/>
  <c r="J101" i="11" s="1"/>
  <c r="J102" i="11" s="1"/>
  <c r="J103" i="11" s="1"/>
  <c r="J104" i="11" s="1"/>
  <c r="J105" i="11" s="1"/>
  <c r="J107" i="11" s="1"/>
  <c r="J108" i="11" s="1"/>
  <c r="J109" i="11" s="1"/>
  <c r="J110" i="11" s="1"/>
  <c r="J111" i="11" s="1"/>
  <c r="J112" i="11" s="1"/>
  <c r="J114" i="11" s="1"/>
  <c r="J115" i="11" s="1"/>
  <c r="J116" i="11" s="1"/>
  <c r="J117" i="11" s="1"/>
  <c r="J118" i="11" s="1"/>
  <c r="J119" i="11" s="1"/>
  <c r="J121" i="11" s="1"/>
  <c r="J122" i="11" s="1"/>
  <c r="J123" i="11" s="1"/>
  <c r="H94" i="11"/>
  <c r="G94" i="11"/>
  <c r="F109" i="15" l="1"/>
  <c r="G109" i="15" s="1"/>
  <c r="I11" i="21" l="1"/>
  <c r="H11" i="21"/>
  <c r="E11" i="21"/>
  <c r="D11" i="21"/>
  <c r="C11" i="21"/>
  <c r="F10" i="21"/>
  <c r="G10" i="21" s="1"/>
  <c r="F9" i="21"/>
  <c r="G9" i="21" s="1"/>
  <c r="F8" i="21"/>
  <c r="G8" i="21" s="1"/>
  <c r="F7" i="21"/>
  <c r="G7" i="21" s="1"/>
  <c r="F6" i="21"/>
  <c r="G6" i="21" s="1"/>
  <c r="F5" i="21"/>
  <c r="G5" i="21" s="1"/>
  <c r="F11" i="21" l="1"/>
  <c r="G11" i="21"/>
  <c r="H91" i="11"/>
  <c r="G91" i="11"/>
  <c r="H90" i="11"/>
  <c r="G90" i="11"/>
  <c r="H89" i="11"/>
  <c r="G89" i="11"/>
  <c r="H88" i="11"/>
  <c r="G88" i="11"/>
  <c r="H87" i="11"/>
  <c r="G87" i="11"/>
  <c r="L110" i="15" l="1"/>
  <c r="J110" i="15"/>
  <c r="E110" i="15"/>
  <c r="D110" i="15"/>
  <c r="C110" i="15"/>
  <c r="F108" i="15"/>
  <c r="G108" i="15" s="1"/>
  <c r="F107" i="15"/>
  <c r="G107" i="15" s="1"/>
  <c r="F106" i="15"/>
  <c r="F110" i="15" s="1"/>
  <c r="F105" i="15"/>
  <c r="G105" i="15" s="1"/>
  <c r="F104" i="15"/>
  <c r="G104" i="15" s="1"/>
  <c r="I151" i="13"/>
  <c r="H151" i="13"/>
  <c r="E151" i="13"/>
  <c r="D151" i="13"/>
  <c r="C151" i="13"/>
  <c r="F150" i="13"/>
  <c r="G150" i="13" s="1"/>
  <c r="F149" i="13"/>
  <c r="G149" i="13" s="1"/>
  <c r="F148" i="13"/>
  <c r="G148" i="13" s="1"/>
  <c r="F147" i="13"/>
  <c r="G147" i="13" s="1"/>
  <c r="F145" i="13"/>
  <c r="G145" i="13" s="1"/>
  <c r="J63" i="10"/>
  <c r="I63" i="10"/>
  <c r="H91" i="10"/>
  <c r="G91" i="10"/>
  <c r="H90" i="10"/>
  <c r="G90" i="10"/>
  <c r="H89" i="10"/>
  <c r="G89" i="10"/>
  <c r="H88" i="10"/>
  <c r="G88" i="10"/>
  <c r="H87" i="10"/>
  <c r="G87" i="10"/>
  <c r="H86" i="10"/>
  <c r="G86" i="10"/>
  <c r="G106" i="15" l="1"/>
  <c r="G110" i="15" s="1"/>
  <c r="G151" i="13"/>
  <c r="F151" i="13"/>
  <c r="H91" i="12"/>
  <c r="G91" i="12"/>
  <c r="H90" i="12"/>
  <c r="G90" i="12"/>
  <c r="H89" i="12"/>
  <c r="G89" i="12"/>
  <c r="H88" i="12"/>
  <c r="G88" i="12"/>
  <c r="H87" i="12"/>
  <c r="G87" i="12"/>
  <c r="H86" i="12"/>
  <c r="G86" i="12"/>
  <c r="H84" i="12"/>
  <c r="G84" i="12"/>
  <c r="H83" i="12"/>
  <c r="G83" i="12"/>
  <c r="H81" i="18"/>
  <c r="G81" i="18"/>
  <c r="H80" i="18"/>
  <c r="G80" i="18"/>
  <c r="H79" i="18"/>
  <c r="G79" i="18"/>
  <c r="H84" i="18"/>
  <c r="G84" i="18"/>
  <c r="H88" i="18"/>
  <c r="G88" i="18"/>
  <c r="H87" i="18"/>
  <c r="G87" i="18"/>
  <c r="H86" i="18"/>
  <c r="G86" i="18"/>
  <c r="H91" i="8"/>
  <c r="G91" i="8"/>
  <c r="H90" i="8"/>
  <c r="G90" i="8"/>
  <c r="H89" i="8"/>
  <c r="G89" i="8"/>
  <c r="H88" i="8"/>
  <c r="G88" i="8"/>
  <c r="H87" i="8"/>
  <c r="G87" i="8"/>
  <c r="H86" i="8"/>
  <c r="G86" i="8"/>
  <c r="E139" i="13" l="1"/>
  <c r="I139" i="13" l="1"/>
  <c r="H139" i="13"/>
  <c r="D139" i="13"/>
  <c r="C139" i="13"/>
  <c r="F138" i="13"/>
  <c r="G138" i="13" s="1"/>
  <c r="F137" i="13"/>
  <c r="G137" i="13" s="1"/>
  <c r="F136" i="13"/>
  <c r="G136" i="13" s="1"/>
  <c r="F135" i="13"/>
  <c r="G135" i="13" s="1"/>
  <c r="F134" i="13"/>
  <c r="G134" i="13" s="1"/>
  <c r="F133" i="13"/>
  <c r="G133" i="13" s="1"/>
  <c r="G139" i="13" l="1"/>
  <c r="F139" i="13"/>
  <c r="H84" i="9" l="1"/>
  <c r="G84" i="9"/>
  <c r="H83" i="9"/>
  <c r="G83" i="9"/>
  <c r="H82" i="9"/>
  <c r="G82" i="9"/>
  <c r="H84" i="10"/>
  <c r="G84" i="10"/>
  <c r="H83" i="10"/>
  <c r="G83" i="10"/>
  <c r="H82" i="10"/>
  <c r="G82" i="10"/>
  <c r="H81" i="10"/>
  <c r="G81" i="10"/>
  <c r="H80" i="10"/>
  <c r="G80" i="10"/>
  <c r="H79" i="10"/>
  <c r="G79" i="10"/>
  <c r="H84" i="11" l="1"/>
  <c r="G84" i="11"/>
  <c r="H83" i="11"/>
  <c r="G83" i="11"/>
  <c r="H82" i="11"/>
  <c r="G82" i="11"/>
  <c r="J81" i="11"/>
  <c r="J82" i="11" s="1"/>
  <c r="J83" i="11" s="1"/>
  <c r="J84" i="11" s="1"/>
  <c r="J86" i="11" s="1"/>
  <c r="J87" i="11" s="1"/>
  <c r="J88" i="11" s="1"/>
  <c r="J89" i="11" s="1"/>
  <c r="J90" i="11" s="1"/>
  <c r="J91" i="11" s="1"/>
  <c r="I81" i="11"/>
  <c r="I82" i="11" s="1"/>
  <c r="I83" i="11" s="1"/>
  <c r="I84" i="11" s="1"/>
  <c r="I86" i="11" s="1"/>
  <c r="I87" i="11" s="1"/>
  <c r="I88" i="11" s="1"/>
  <c r="I89" i="11" s="1"/>
  <c r="I90" i="11" s="1"/>
  <c r="I91" i="11" s="1"/>
  <c r="H81" i="11"/>
  <c r="G81" i="11"/>
  <c r="J80" i="11"/>
  <c r="I80" i="11"/>
  <c r="H80" i="11"/>
  <c r="G80" i="11"/>
  <c r="H84" i="8" l="1"/>
  <c r="G84" i="8"/>
  <c r="H83" i="8"/>
  <c r="G83" i="8"/>
  <c r="H82" i="8"/>
  <c r="G82" i="8"/>
  <c r="F126" i="13" l="1"/>
  <c r="G126" i="13" s="1"/>
  <c r="H80" i="8"/>
  <c r="G80" i="8"/>
  <c r="H79" i="8"/>
  <c r="G79" i="8"/>
  <c r="H77" i="8"/>
  <c r="G77" i="8"/>
  <c r="H76" i="8"/>
  <c r="G76" i="8"/>
  <c r="H75" i="8"/>
  <c r="G75" i="8"/>
  <c r="H74" i="8"/>
  <c r="G74" i="8"/>
  <c r="H73" i="8"/>
  <c r="G73" i="8"/>
  <c r="H72" i="8"/>
  <c r="G72" i="8"/>
  <c r="H70" i="8"/>
  <c r="G70" i="8"/>
  <c r="H67" i="8"/>
  <c r="G67" i="8"/>
  <c r="H66" i="8"/>
  <c r="G66" i="8"/>
  <c r="H65" i="8"/>
  <c r="G65" i="8"/>
  <c r="H74" i="18"/>
  <c r="G74" i="18"/>
  <c r="H73" i="18"/>
  <c r="G73" i="18"/>
  <c r="H72" i="18"/>
  <c r="G72" i="18"/>
  <c r="H67" i="18"/>
  <c r="G67" i="18"/>
  <c r="H66" i="18"/>
  <c r="G66" i="18"/>
  <c r="H65" i="18"/>
  <c r="G65" i="18"/>
  <c r="H60" i="18"/>
  <c r="G60" i="18"/>
  <c r="H59" i="18"/>
  <c r="G59" i="18"/>
  <c r="H58" i="18"/>
  <c r="G58" i="18"/>
  <c r="H53" i="18"/>
  <c r="G53" i="18"/>
  <c r="H52" i="18"/>
  <c r="G52" i="18"/>
  <c r="H51" i="18"/>
  <c r="G51" i="18"/>
  <c r="H46" i="18"/>
  <c r="G46" i="18"/>
  <c r="H45" i="18"/>
  <c r="G45" i="18"/>
  <c r="H44" i="18"/>
  <c r="G44" i="18"/>
  <c r="H42" i="18"/>
  <c r="G42" i="18"/>
  <c r="H41" i="18"/>
  <c r="G41" i="18"/>
  <c r="H39" i="18"/>
  <c r="G39" i="18"/>
  <c r="H38" i="18"/>
  <c r="G38" i="18"/>
  <c r="H32" i="18"/>
  <c r="G32" i="18"/>
  <c r="H82" i="12"/>
  <c r="G82" i="12"/>
  <c r="H81" i="12"/>
  <c r="G81" i="12"/>
  <c r="H80" i="12"/>
  <c r="G80" i="12"/>
  <c r="H79" i="12"/>
  <c r="G79" i="12"/>
  <c r="H77" i="12"/>
  <c r="G77" i="12"/>
  <c r="H76" i="12"/>
  <c r="G76" i="12"/>
  <c r="H75" i="12"/>
  <c r="G75" i="12"/>
  <c r="H74" i="12"/>
  <c r="G74" i="12"/>
  <c r="H73" i="12"/>
  <c r="G73" i="12"/>
  <c r="H72" i="12"/>
  <c r="G72" i="12"/>
  <c r="H70" i="12"/>
  <c r="G70" i="12"/>
  <c r="H69" i="12"/>
  <c r="G69" i="12"/>
  <c r="H68" i="12"/>
  <c r="G68" i="12"/>
  <c r="H67" i="12"/>
  <c r="G67" i="12"/>
  <c r="H66" i="12"/>
  <c r="G66" i="12"/>
  <c r="H65" i="12"/>
  <c r="G65" i="12"/>
  <c r="H77" i="11"/>
  <c r="G77" i="11"/>
  <c r="H76" i="11"/>
  <c r="G76" i="11"/>
  <c r="H75" i="11"/>
  <c r="G75" i="11"/>
  <c r="H74" i="11"/>
  <c r="G74" i="11"/>
  <c r="H73" i="11"/>
  <c r="G73" i="11"/>
  <c r="H72" i="11"/>
  <c r="G72" i="11"/>
  <c r="H70" i="11"/>
  <c r="G70" i="11"/>
  <c r="H69" i="11"/>
  <c r="G69" i="11"/>
  <c r="H81" i="9"/>
  <c r="G81" i="9"/>
  <c r="H80" i="9"/>
  <c r="G80" i="9"/>
  <c r="H79" i="9"/>
  <c r="G79" i="9"/>
  <c r="H77" i="9"/>
  <c r="G77" i="9"/>
  <c r="H76" i="9"/>
  <c r="G76" i="9"/>
  <c r="H75" i="9"/>
  <c r="G75" i="9"/>
  <c r="H74" i="9"/>
  <c r="G74" i="9"/>
  <c r="H73" i="9"/>
  <c r="G73" i="9"/>
  <c r="H72" i="9"/>
  <c r="G72" i="9"/>
  <c r="H77" i="10"/>
  <c r="G77" i="10"/>
  <c r="H76" i="10"/>
  <c r="G76" i="10"/>
  <c r="H75" i="10"/>
  <c r="G75" i="10"/>
  <c r="H74" i="10"/>
  <c r="G74" i="10"/>
  <c r="H73" i="10"/>
  <c r="G73" i="10"/>
  <c r="H72" i="10"/>
  <c r="G72" i="10"/>
  <c r="I127" i="13" l="1"/>
  <c r="H127" i="13"/>
  <c r="E127" i="13"/>
  <c r="D127" i="13"/>
  <c r="C127" i="13"/>
  <c r="F125" i="13"/>
  <c r="G125" i="13" s="1"/>
  <c r="F124" i="13"/>
  <c r="G124" i="13" s="1"/>
  <c r="F123" i="13"/>
  <c r="G123" i="13" s="1"/>
  <c r="F122" i="13"/>
  <c r="G122" i="13" s="1"/>
  <c r="F121" i="13"/>
  <c r="G121" i="13" s="1"/>
  <c r="G127" i="13" l="1"/>
  <c r="F127" i="13"/>
  <c r="I115" i="13"/>
  <c r="H115" i="13"/>
  <c r="E115" i="13"/>
  <c r="D115" i="13"/>
  <c r="C115" i="13"/>
  <c r="F113" i="13"/>
  <c r="G113" i="13" s="1"/>
  <c r="F112" i="13"/>
  <c r="G112" i="13" s="1"/>
  <c r="F111" i="13"/>
  <c r="F110" i="13"/>
  <c r="G110" i="13" s="1"/>
  <c r="F109" i="13"/>
  <c r="G109" i="13" s="1"/>
  <c r="H70" i="9"/>
  <c r="G70" i="9"/>
  <c r="H69" i="9"/>
  <c r="G69" i="9"/>
  <c r="H68" i="9"/>
  <c r="G68" i="9"/>
  <c r="H67" i="9"/>
  <c r="G67" i="9"/>
  <c r="H66" i="9"/>
  <c r="G66" i="9"/>
  <c r="H65" i="9"/>
  <c r="G65" i="9"/>
  <c r="H63" i="9"/>
  <c r="G63" i="9"/>
  <c r="H56" i="10"/>
  <c r="G56" i="10"/>
  <c r="H55" i="10"/>
  <c r="G55" i="10"/>
  <c r="H54" i="10"/>
  <c r="G54" i="10"/>
  <c r="H53" i="10"/>
  <c r="G53" i="10"/>
  <c r="J52" i="10"/>
  <c r="J53" i="10" s="1"/>
  <c r="J54" i="10" s="1"/>
  <c r="J55" i="10" s="1"/>
  <c r="J56" i="10" s="1"/>
  <c r="J58" i="10" s="1"/>
  <c r="J59" i="10" s="1"/>
  <c r="J60" i="10" s="1"/>
  <c r="J61" i="10" s="1"/>
  <c r="J62" i="10" s="1"/>
  <c r="J65" i="10" s="1"/>
  <c r="J66" i="10" s="1"/>
  <c r="J67" i="10" s="1"/>
  <c r="J68" i="10" s="1"/>
  <c r="J69" i="10" s="1"/>
  <c r="J70" i="10" s="1"/>
  <c r="J72" i="10" s="1"/>
  <c r="J73" i="10" s="1"/>
  <c r="J74" i="10" s="1"/>
  <c r="J75" i="10" s="1"/>
  <c r="J76" i="10" s="1"/>
  <c r="J77" i="10" s="1"/>
  <c r="J79" i="10" s="1"/>
  <c r="J80" i="10" s="1"/>
  <c r="J81" i="10" s="1"/>
  <c r="J82" i="10" s="1"/>
  <c r="J83" i="10" s="1"/>
  <c r="J84" i="10" s="1"/>
  <c r="J86" i="10" s="1"/>
  <c r="J87" i="10" s="1"/>
  <c r="J88" i="10" s="1"/>
  <c r="J89" i="10" s="1"/>
  <c r="J90" i="10" s="1"/>
  <c r="J91" i="10" s="1"/>
  <c r="I52" i="10"/>
  <c r="I53" i="10" s="1"/>
  <c r="I54" i="10" s="1"/>
  <c r="I55" i="10" s="1"/>
  <c r="I56" i="10" s="1"/>
  <c r="I58" i="10" s="1"/>
  <c r="I59" i="10" s="1"/>
  <c r="I60" i="10" s="1"/>
  <c r="I61" i="10" s="1"/>
  <c r="I62" i="10" s="1"/>
  <c r="I65" i="10" s="1"/>
  <c r="I66" i="10" s="1"/>
  <c r="I67" i="10" s="1"/>
  <c r="I68" i="10" s="1"/>
  <c r="I69" i="10" s="1"/>
  <c r="I70" i="10" s="1"/>
  <c r="I72" i="10" s="1"/>
  <c r="I73" i="10" s="1"/>
  <c r="I74" i="10" s="1"/>
  <c r="I75" i="10" s="1"/>
  <c r="I76" i="10" s="1"/>
  <c r="I77" i="10" s="1"/>
  <c r="I79" i="10" s="1"/>
  <c r="I80" i="10" s="1"/>
  <c r="I81" i="10" s="1"/>
  <c r="I82" i="10" s="1"/>
  <c r="I83" i="10" s="1"/>
  <c r="I84" i="10" s="1"/>
  <c r="I86" i="10" s="1"/>
  <c r="I87" i="10" s="1"/>
  <c r="I88" i="10" s="1"/>
  <c r="I89" i="10" s="1"/>
  <c r="I90" i="10" s="1"/>
  <c r="I91" i="10" s="1"/>
  <c r="H52" i="10"/>
  <c r="G52" i="10"/>
  <c r="H70" i="10"/>
  <c r="G70" i="10"/>
  <c r="H69" i="10"/>
  <c r="G69" i="10"/>
  <c r="H68" i="10"/>
  <c r="G68" i="10"/>
  <c r="H67" i="10"/>
  <c r="G67" i="10"/>
  <c r="H66" i="10"/>
  <c r="G66" i="10"/>
  <c r="H65" i="10"/>
  <c r="G65" i="10"/>
  <c r="H63" i="10"/>
  <c r="G63" i="10"/>
  <c r="H62" i="10"/>
  <c r="G62" i="10"/>
  <c r="H61" i="10"/>
  <c r="G61" i="10"/>
  <c r="H60" i="10"/>
  <c r="G60" i="10"/>
  <c r="H59" i="10"/>
  <c r="G59" i="10"/>
  <c r="H49" i="10"/>
  <c r="G49" i="10"/>
  <c r="H48" i="10"/>
  <c r="G48" i="10"/>
  <c r="H47" i="10"/>
  <c r="G47" i="10"/>
  <c r="H46" i="10"/>
  <c r="G46" i="10"/>
  <c r="H45" i="10"/>
  <c r="G45" i="10"/>
  <c r="H44" i="10"/>
  <c r="G44" i="10"/>
  <c r="H42" i="10"/>
  <c r="G42" i="10"/>
  <c r="H41" i="10"/>
  <c r="G41" i="10"/>
  <c r="H40" i="10"/>
  <c r="G40" i="10"/>
  <c r="H38" i="10"/>
  <c r="G38" i="10"/>
  <c r="H35" i="10"/>
  <c r="G35" i="10"/>
  <c r="H34" i="10"/>
  <c r="G34" i="10"/>
  <c r="J33" i="10"/>
  <c r="J34" i="10" s="1"/>
  <c r="J35" i="10" s="1"/>
  <c r="J37" i="10" s="1"/>
  <c r="J38" i="10" s="1"/>
  <c r="J39" i="10" s="1"/>
  <c r="J40" i="10" s="1"/>
  <c r="J41" i="10" s="1"/>
  <c r="J42" i="10" s="1"/>
  <c r="J44" i="10" s="1"/>
  <c r="J45" i="10" s="1"/>
  <c r="J46" i="10" s="1"/>
  <c r="J47" i="10" s="1"/>
  <c r="J48" i="10" s="1"/>
  <c r="J49" i="10" s="1"/>
  <c r="I33" i="10"/>
  <c r="I34" i="10" s="1"/>
  <c r="I35" i="10" s="1"/>
  <c r="I37" i="10" s="1"/>
  <c r="I38" i="10" s="1"/>
  <c r="I39" i="10" s="1"/>
  <c r="I40" i="10" s="1"/>
  <c r="I41" i="10" s="1"/>
  <c r="I42" i="10" s="1"/>
  <c r="I44" i="10" s="1"/>
  <c r="I45" i="10" s="1"/>
  <c r="I46" i="10" s="1"/>
  <c r="I47" i="10" s="1"/>
  <c r="I48" i="10" s="1"/>
  <c r="I49" i="10" s="1"/>
  <c r="H33" i="10"/>
  <c r="G33" i="10"/>
  <c r="H68" i="11"/>
  <c r="G68" i="11"/>
  <c r="H67" i="11"/>
  <c r="G67" i="11"/>
  <c r="H66" i="11"/>
  <c r="G66" i="11"/>
  <c r="G63" i="11"/>
  <c r="H63" i="11"/>
  <c r="F115" i="13" l="1"/>
  <c r="G111" i="13"/>
  <c r="G115" i="13" s="1"/>
  <c r="J65" i="8"/>
  <c r="J66" i="8" s="1"/>
  <c r="J67" i="8" s="1"/>
  <c r="J68" i="8" s="1"/>
  <c r="J69" i="8" s="1"/>
  <c r="J70" i="8" s="1"/>
  <c r="J72" i="8" s="1"/>
  <c r="J73" i="8" s="1"/>
  <c r="J74" i="8" s="1"/>
  <c r="J75" i="8" s="1"/>
  <c r="J76" i="8" s="1"/>
  <c r="J77" i="8" s="1"/>
  <c r="J79" i="8" s="1"/>
  <c r="J80" i="8" s="1"/>
  <c r="J82" i="8" s="1"/>
  <c r="J83" i="8" s="1"/>
  <c r="J84" i="8" s="1"/>
  <c r="J86" i="8" s="1"/>
  <c r="J87" i="8" s="1"/>
  <c r="J88" i="8" s="1"/>
  <c r="J89" i="8" s="1"/>
  <c r="J90" i="8" s="1"/>
  <c r="J91" i="8" s="1"/>
  <c r="I65" i="8"/>
  <c r="I66" i="8" s="1"/>
  <c r="I67" i="8" s="1"/>
  <c r="I68" i="8" s="1"/>
  <c r="I69" i="8" s="1"/>
  <c r="I70" i="8" s="1"/>
  <c r="I72" i="8" s="1"/>
  <c r="I73" i="8" s="1"/>
  <c r="I74" i="8" s="1"/>
  <c r="I75" i="8" s="1"/>
  <c r="I76" i="8" s="1"/>
  <c r="I77" i="8" s="1"/>
  <c r="I79" i="8" s="1"/>
  <c r="I80" i="8" s="1"/>
  <c r="I82" i="8" s="1"/>
  <c r="I83" i="8" s="1"/>
  <c r="I84" i="8" s="1"/>
  <c r="I86" i="8" s="1"/>
  <c r="I87" i="8" s="1"/>
  <c r="I88" i="8" s="1"/>
  <c r="I89" i="8" s="1"/>
  <c r="I90" i="8" s="1"/>
  <c r="I91" i="8" s="1"/>
  <c r="H63" i="8"/>
  <c r="G63" i="8"/>
  <c r="I94" i="8" l="1"/>
  <c r="I95" i="8" s="1"/>
  <c r="I96" i="8" s="1"/>
  <c r="I97" i="8" s="1"/>
  <c r="I98" i="8" s="1"/>
  <c r="I100" i="8" s="1"/>
  <c r="I101" i="8" s="1"/>
  <c r="I102" i="8" s="1"/>
  <c r="I103" i="8" s="1"/>
  <c r="I104" i="8" s="1"/>
  <c r="I105" i="8" s="1"/>
  <c r="I107" i="8" s="1"/>
  <c r="I108" i="8" s="1"/>
  <c r="I109" i="8" s="1"/>
  <c r="I110" i="8" s="1"/>
  <c r="I111" i="8" s="1"/>
  <c r="I112" i="8" s="1"/>
  <c r="I114" i="8" s="1"/>
  <c r="I115" i="8" s="1"/>
  <c r="I116" i="8" s="1"/>
  <c r="I117" i="8" s="1"/>
  <c r="I118" i="8" s="1"/>
  <c r="I119" i="8" s="1"/>
  <c r="I121" i="8" s="1"/>
  <c r="I122" i="8" s="1"/>
  <c r="I123" i="8" s="1"/>
  <c r="J94" i="8"/>
  <c r="J95" i="8" s="1"/>
  <c r="J96" i="8" s="1"/>
  <c r="J97" i="8" s="1"/>
  <c r="J98" i="8" s="1"/>
  <c r="J100" i="8" s="1"/>
  <c r="J101" i="8" s="1"/>
  <c r="J102" i="8" s="1"/>
  <c r="J103" i="8" s="1"/>
  <c r="J104" i="8" s="1"/>
  <c r="J105" i="8" s="1"/>
  <c r="J107" i="8" s="1"/>
  <c r="J108" i="8" s="1"/>
  <c r="J109" i="8" s="1"/>
  <c r="J110" i="8" s="1"/>
  <c r="J111" i="8" s="1"/>
  <c r="J112" i="8" s="1"/>
  <c r="J114" i="8" s="1"/>
  <c r="J115" i="8" s="1"/>
  <c r="J116" i="8" s="1"/>
  <c r="J117" i="8" s="1"/>
  <c r="J118" i="8" s="1"/>
  <c r="J119" i="8" s="1"/>
  <c r="J121" i="8" s="1"/>
  <c r="J122" i="8" s="1"/>
  <c r="J123" i="8" s="1"/>
  <c r="H62" i="9"/>
  <c r="G62" i="9"/>
  <c r="H60" i="9"/>
  <c r="G60" i="9"/>
  <c r="H59" i="9"/>
  <c r="G59" i="9"/>
  <c r="H58" i="9"/>
  <c r="G58" i="9"/>
  <c r="I103" i="13"/>
  <c r="H103" i="13"/>
  <c r="E103" i="13"/>
  <c r="D103" i="13"/>
  <c r="C103" i="13"/>
  <c r="F101" i="13"/>
  <c r="G101" i="13" s="1"/>
  <c r="F100" i="13"/>
  <c r="G100" i="13" s="1"/>
  <c r="F99" i="13"/>
  <c r="G99" i="13" s="1"/>
  <c r="F98" i="13"/>
  <c r="G98" i="13" s="1"/>
  <c r="F97" i="13"/>
  <c r="G97" i="13" s="1"/>
  <c r="F103" i="13" l="1"/>
  <c r="G103" i="13"/>
  <c r="H62" i="11"/>
  <c r="G62" i="11"/>
  <c r="H61" i="11"/>
  <c r="G61" i="11"/>
  <c r="H60" i="11" l="1"/>
  <c r="G60" i="11"/>
  <c r="H59" i="11"/>
  <c r="G59" i="11"/>
  <c r="H60" i="8" l="1"/>
  <c r="G60" i="8"/>
  <c r="H59" i="8"/>
  <c r="G59" i="8"/>
  <c r="H58" i="8"/>
  <c r="G58" i="8"/>
  <c r="H63" i="12"/>
  <c r="G63" i="12"/>
  <c r="H62" i="12"/>
  <c r="G62" i="12"/>
  <c r="H61" i="12"/>
  <c r="G61" i="12"/>
  <c r="H60" i="12"/>
  <c r="G60" i="12"/>
  <c r="H59" i="12"/>
  <c r="G59" i="12"/>
  <c r="I98" i="15" l="1"/>
  <c r="H98" i="15"/>
  <c r="E98" i="15"/>
  <c r="D98" i="15"/>
  <c r="C98" i="15"/>
  <c r="F96" i="15"/>
  <c r="G96" i="15" s="1"/>
  <c r="F95" i="15"/>
  <c r="G95" i="15" s="1"/>
  <c r="F94" i="15"/>
  <c r="G94" i="15" s="1"/>
  <c r="F93" i="15"/>
  <c r="G93" i="15" s="1"/>
  <c r="F92" i="15"/>
  <c r="G92" i="15" s="1"/>
  <c r="G98" i="15" l="1"/>
  <c r="F98" i="15"/>
  <c r="I91" i="13"/>
  <c r="H91" i="13"/>
  <c r="E91" i="13"/>
  <c r="D91" i="13"/>
  <c r="C91" i="13"/>
  <c r="F89" i="13"/>
  <c r="G89" i="13" s="1"/>
  <c r="F88" i="13"/>
  <c r="G88" i="13" s="1"/>
  <c r="F87" i="13"/>
  <c r="G87" i="13" s="1"/>
  <c r="F86" i="13"/>
  <c r="G86" i="13" s="1"/>
  <c r="F85" i="13"/>
  <c r="G85" i="13" s="1"/>
  <c r="H56" i="9"/>
  <c r="G56" i="9"/>
  <c r="H55" i="9"/>
  <c r="G55" i="9"/>
  <c r="H53" i="9"/>
  <c r="G53" i="9"/>
  <c r="H52" i="9"/>
  <c r="G52" i="9"/>
  <c r="H51" i="9"/>
  <c r="G51" i="9"/>
  <c r="G91" i="13" l="1"/>
  <c r="F91" i="13"/>
  <c r="H56" i="11"/>
  <c r="G56" i="11"/>
  <c r="H55" i="11"/>
  <c r="G55" i="11"/>
  <c r="H54" i="11"/>
  <c r="G54" i="11"/>
  <c r="H53" i="11"/>
  <c r="G53" i="11"/>
  <c r="H52" i="11"/>
  <c r="G52" i="11"/>
  <c r="H51" i="11"/>
  <c r="G51" i="11"/>
  <c r="H56" i="12" l="1"/>
  <c r="G56" i="12"/>
  <c r="H55" i="12"/>
  <c r="G55" i="12"/>
  <c r="H54" i="12"/>
  <c r="G54" i="12"/>
  <c r="H53" i="12"/>
  <c r="G53" i="12"/>
  <c r="J52" i="12"/>
  <c r="J53" i="12" s="1"/>
  <c r="J54" i="12" s="1"/>
  <c r="J55" i="12" s="1"/>
  <c r="J56" i="12" s="1"/>
  <c r="J58" i="12" s="1"/>
  <c r="J59" i="12" s="1"/>
  <c r="J60" i="12" s="1"/>
  <c r="J61" i="12" s="1"/>
  <c r="J62" i="12" s="1"/>
  <c r="J65" i="12" s="1"/>
  <c r="J66" i="12" s="1"/>
  <c r="J67" i="12" s="1"/>
  <c r="J68" i="12" s="1"/>
  <c r="J69" i="12" s="1"/>
  <c r="J70" i="12" s="1"/>
  <c r="J72" i="12" s="1"/>
  <c r="J73" i="12" s="1"/>
  <c r="J74" i="12" s="1"/>
  <c r="J75" i="12" s="1"/>
  <c r="J76" i="12" s="1"/>
  <c r="J77" i="12" s="1"/>
  <c r="J79" i="12" s="1"/>
  <c r="J80" i="12" s="1"/>
  <c r="J81" i="12" s="1"/>
  <c r="J82" i="12" s="1"/>
  <c r="J83" i="12" s="1"/>
  <c r="J84" i="12" s="1"/>
  <c r="J86" i="12" s="1"/>
  <c r="J87" i="12" s="1"/>
  <c r="J88" i="12" s="1"/>
  <c r="J89" i="12" s="1"/>
  <c r="J90" i="12" s="1"/>
  <c r="J91" i="12" s="1"/>
  <c r="I52" i="12"/>
  <c r="I53" i="12" s="1"/>
  <c r="I54" i="12" s="1"/>
  <c r="I55" i="12" s="1"/>
  <c r="I56" i="12" s="1"/>
  <c r="I58" i="12" s="1"/>
  <c r="I59" i="12" s="1"/>
  <c r="I60" i="12" s="1"/>
  <c r="I61" i="12" s="1"/>
  <c r="I62" i="12" s="1"/>
  <c r="I65" i="12" s="1"/>
  <c r="I66" i="12" s="1"/>
  <c r="I67" i="12" s="1"/>
  <c r="I68" i="12" s="1"/>
  <c r="I69" i="12" s="1"/>
  <c r="I70" i="12" s="1"/>
  <c r="I72" i="12" s="1"/>
  <c r="I73" i="12" s="1"/>
  <c r="I74" i="12" s="1"/>
  <c r="I75" i="12" s="1"/>
  <c r="I76" i="12" s="1"/>
  <c r="I77" i="12" s="1"/>
  <c r="I79" i="12" s="1"/>
  <c r="I80" i="12" s="1"/>
  <c r="I81" i="12" s="1"/>
  <c r="I82" i="12" s="1"/>
  <c r="I83" i="12" s="1"/>
  <c r="I84" i="12" s="1"/>
  <c r="I86" i="12" s="1"/>
  <c r="I87" i="12" s="1"/>
  <c r="I88" i="12" s="1"/>
  <c r="I89" i="12" s="1"/>
  <c r="I90" i="12" s="1"/>
  <c r="I91" i="12" s="1"/>
  <c r="H52" i="12"/>
  <c r="G52" i="12"/>
  <c r="H49" i="12"/>
  <c r="G49" i="12"/>
  <c r="H48" i="12"/>
  <c r="G48" i="12"/>
  <c r="H47" i="12"/>
  <c r="G47" i="12"/>
  <c r="H56" i="8"/>
  <c r="G56" i="8"/>
  <c r="H55" i="8"/>
  <c r="G55" i="8"/>
  <c r="H54" i="8"/>
  <c r="G54" i="8"/>
  <c r="H53" i="8"/>
  <c r="G53" i="8"/>
  <c r="H52" i="8"/>
  <c r="G52" i="8"/>
  <c r="H51" i="8"/>
  <c r="G51" i="8"/>
  <c r="I79" i="13"/>
  <c r="H79" i="13"/>
  <c r="E79" i="13"/>
  <c r="D79" i="13"/>
  <c r="C79" i="13"/>
  <c r="F77" i="13"/>
  <c r="G77" i="13" s="1"/>
  <c r="F76" i="13"/>
  <c r="G76" i="13" s="1"/>
  <c r="F75" i="13"/>
  <c r="G75" i="13" s="1"/>
  <c r="F74" i="13"/>
  <c r="G74" i="13" s="1"/>
  <c r="F73" i="13"/>
  <c r="G73" i="13" s="1"/>
  <c r="G79" i="13" l="1"/>
  <c r="F79" i="13"/>
  <c r="I67" i="13"/>
  <c r="H67" i="13"/>
  <c r="E67" i="13"/>
  <c r="D67" i="13"/>
  <c r="C67" i="13"/>
  <c r="F65" i="13"/>
  <c r="G65" i="13" s="1"/>
  <c r="F64" i="13"/>
  <c r="G64" i="13" s="1"/>
  <c r="F63" i="13"/>
  <c r="G63" i="13" s="1"/>
  <c r="F62" i="13"/>
  <c r="G62" i="13" s="1"/>
  <c r="F61" i="13"/>
  <c r="G61" i="13" s="1"/>
  <c r="F38" i="13"/>
  <c r="H49" i="8"/>
  <c r="G49" i="8"/>
  <c r="H48" i="8"/>
  <c r="G48" i="8"/>
  <c r="H47" i="8"/>
  <c r="G47" i="8"/>
  <c r="H46" i="8"/>
  <c r="G46" i="8"/>
  <c r="H45" i="8"/>
  <c r="G45" i="8"/>
  <c r="H44" i="8"/>
  <c r="G44" i="8"/>
  <c r="H46" i="11"/>
  <c r="G46" i="11"/>
  <c r="H49" i="11"/>
  <c r="G49" i="11"/>
  <c r="H48" i="11"/>
  <c r="G48" i="11"/>
  <c r="H47" i="11"/>
  <c r="G47" i="11"/>
  <c r="H45" i="11"/>
  <c r="G45" i="11"/>
  <c r="F67" i="13" l="1"/>
  <c r="G67" i="13"/>
  <c r="H42" i="11" l="1"/>
  <c r="G42" i="11"/>
  <c r="H41" i="11"/>
  <c r="G41" i="11"/>
  <c r="H40" i="11"/>
  <c r="G40" i="11"/>
  <c r="H38" i="11"/>
  <c r="G38" i="11"/>
  <c r="H35" i="11"/>
  <c r="G35" i="11"/>
  <c r="H34" i="11"/>
  <c r="G34" i="11"/>
  <c r="H33" i="11"/>
  <c r="G33" i="11"/>
  <c r="H49" i="9"/>
  <c r="G49" i="9"/>
  <c r="H48" i="9"/>
  <c r="G48" i="9"/>
  <c r="H47" i="9"/>
  <c r="G47" i="9"/>
  <c r="H46" i="9"/>
  <c r="G46" i="9"/>
  <c r="H45" i="9"/>
  <c r="G45" i="9"/>
  <c r="H44" i="9"/>
  <c r="G44" i="9"/>
  <c r="H46" i="12"/>
  <c r="G46" i="12"/>
  <c r="H45" i="12"/>
  <c r="G45" i="12"/>
  <c r="H44" i="12"/>
  <c r="G44" i="12"/>
  <c r="H42" i="12"/>
  <c r="G42" i="12"/>
  <c r="H41" i="12"/>
  <c r="G41" i="12"/>
  <c r="H40" i="12"/>
  <c r="G40" i="12"/>
  <c r="H42" i="8"/>
  <c r="G42" i="8"/>
  <c r="H41" i="8"/>
  <c r="G41" i="8"/>
  <c r="H40" i="8"/>
  <c r="G40" i="8"/>
  <c r="H39" i="8"/>
  <c r="G39" i="8"/>
  <c r="H38" i="8"/>
  <c r="G38" i="8"/>
  <c r="H37" i="8"/>
  <c r="G37" i="8"/>
  <c r="H35" i="8"/>
  <c r="G35" i="8"/>
  <c r="H34" i="8"/>
  <c r="G34" i="8"/>
  <c r="H33" i="8"/>
  <c r="G33" i="8"/>
  <c r="H42" i="9"/>
  <c r="G42" i="9"/>
  <c r="H41" i="9"/>
  <c r="G41" i="9"/>
  <c r="H40" i="9"/>
  <c r="G40" i="9"/>
  <c r="H39" i="9"/>
  <c r="G39" i="9"/>
  <c r="H38" i="9"/>
  <c r="G38" i="9"/>
  <c r="H37" i="9"/>
  <c r="G37" i="9"/>
  <c r="H35" i="9"/>
  <c r="G35" i="9"/>
  <c r="H34" i="9"/>
  <c r="G34" i="9"/>
  <c r="H33" i="9"/>
  <c r="G33" i="9"/>
  <c r="H32" i="9"/>
  <c r="G32" i="9"/>
  <c r="H39" i="12"/>
  <c r="G39" i="12"/>
  <c r="H38" i="12"/>
  <c r="G38" i="12"/>
  <c r="H37" i="12"/>
  <c r="G37" i="12"/>
  <c r="H35" i="12"/>
  <c r="G35" i="12"/>
  <c r="H34" i="12"/>
  <c r="G34" i="12"/>
  <c r="H33" i="12"/>
  <c r="G33" i="12"/>
  <c r="H32" i="12"/>
  <c r="G32" i="12"/>
  <c r="I55" i="13"/>
  <c r="H55" i="13"/>
  <c r="E55" i="13"/>
  <c r="D55" i="13"/>
  <c r="C55" i="13"/>
  <c r="F53" i="13"/>
  <c r="G53" i="13" s="1"/>
  <c r="F52" i="13"/>
  <c r="G52" i="13" s="1"/>
  <c r="F51" i="13"/>
  <c r="G51" i="13" s="1"/>
  <c r="F50" i="13"/>
  <c r="G50" i="13" s="1"/>
  <c r="F49" i="13"/>
  <c r="F55" i="13" l="1"/>
  <c r="G49" i="13"/>
  <c r="G55" i="13" s="1"/>
  <c r="H31" i="10"/>
  <c r="G31" i="10"/>
  <c r="H31" i="18"/>
  <c r="G31" i="18"/>
  <c r="H31" i="9" l="1"/>
  <c r="G31" i="9"/>
  <c r="H30" i="9"/>
  <c r="G30" i="9"/>
  <c r="H31" i="11" l="1"/>
  <c r="G31" i="11"/>
  <c r="H30" i="11"/>
  <c r="G30" i="11"/>
  <c r="H31" i="12" l="1"/>
  <c r="G31" i="12"/>
  <c r="H30" i="12"/>
  <c r="G30" i="12"/>
  <c r="H31" i="8"/>
  <c r="G31" i="8"/>
  <c r="H30" i="8"/>
  <c r="G30" i="8"/>
  <c r="H28" i="11" l="1"/>
  <c r="G28" i="11"/>
  <c r="H27" i="11"/>
  <c r="G27" i="11"/>
  <c r="H26" i="11"/>
  <c r="G26" i="11"/>
  <c r="H25" i="11"/>
  <c r="G25" i="11"/>
  <c r="H24" i="11"/>
  <c r="G24" i="11"/>
  <c r="H23" i="11"/>
  <c r="G23" i="11"/>
  <c r="H28" i="10" l="1"/>
  <c r="G28" i="10"/>
  <c r="H27" i="10"/>
  <c r="G27" i="10"/>
  <c r="H26" i="10"/>
  <c r="G26" i="10"/>
  <c r="H25" i="10"/>
  <c r="G25" i="10"/>
  <c r="H24" i="10"/>
  <c r="G24" i="10"/>
  <c r="H23" i="10"/>
  <c r="G23" i="10"/>
  <c r="H28" i="8" l="1"/>
  <c r="G28" i="8"/>
  <c r="H27" i="8"/>
  <c r="G27" i="8"/>
  <c r="H26" i="8"/>
  <c r="G26" i="8"/>
  <c r="H25" i="8"/>
  <c r="G25" i="8"/>
  <c r="H24" i="8"/>
  <c r="G24" i="8"/>
  <c r="H23" i="8"/>
  <c r="G23" i="8"/>
  <c r="H28" i="12"/>
  <c r="G28" i="12"/>
  <c r="H27" i="12"/>
  <c r="G27" i="12"/>
  <c r="H26" i="12"/>
  <c r="G26" i="12"/>
  <c r="H25" i="12"/>
  <c r="G25" i="12"/>
  <c r="H24" i="12"/>
  <c r="G24" i="12"/>
  <c r="H23" i="12"/>
  <c r="G23" i="12"/>
  <c r="H28" i="9"/>
  <c r="G28" i="9"/>
  <c r="H27" i="9"/>
  <c r="G27" i="9"/>
  <c r="H26" i="9"/>
  <c r="G26" i="9"/>
  <c r="H25" i="9"/>
  <c r="G25" i="9"/>
  <c r="H24" i="9"/>
  <c r="G24" i="9"/>
  <c r="H23" i="9"/>
  <c r="G23" i="9"/>
  <c r="H25" i="18"/>
  <c r="G25" i="18"/>
  <c r="H24" i="18"/>
  <c r="G24" i="18"/>
  <c r="H23" i="18"/>
  <c r="G23" i="18"/>
  <c r="G16" i="18"/>
  <c r="I43" i="13"/>
  <c r="H43" i="13"/>
  <c r="E43" i="13"/>
  <c r="D43" i="13"/>
  <c r="C43" i="13"/>
  <c r="F42" i="13"/>
  <c r="G42" i="13" s="1"/>
  <c r="F41" i="13"/>
  <c r="G41" i="13" s="1"/>
  <c r="F40" i="13"/>
  <c r="G40" i="13" s="1"/>
  <c r="F39" i="13"/>
  <c r="G39" i="13" s="1"/>
  <c r="G38" i="13"/>
  <c r="F37" i="13"/>
  <c r="G37" i="13" s="1"/>
  <c r="G43" i="13" s="1"/>
  <c r="F43" i="13" l="1"/>
  <c r="H18" i="18"/>
  <c r="G18" i="18"/>
  <c r="H16" i="10" l="1"/>
  <c r="H17" i="10"/>
  <c r="H18" i="10"/>
  <c r="H19" i="10"/>
  <c r="H20" i="10"/>
  <c r="H21" i="10"/>
  <c r="G17" i="10"/>
  <c r="G18" i="10"/>
  <c r="G19" i="10"/>
  <c r="G20" i="10"/>
  <c r="G21" i="10"/>
  <c r="G16" i="10"/>
  <c r="H16" i="18"/>
  <c r="H17" i="18"/>
  <c r="G17" i="18"/>
  <c r="H16" i="11"/>
  <c r="H17" i="11"/>
  <c r="H18" i="11"/>
  <c r="H19" i="11"/>
  <c r="H20" i="11"/>
  <c r="H21" i="11"/>
  <c r="G17" i="11"/>
  <c r="G18" i="11"/>
  <c r="G19" i="11"/>
  <c r="G20" i="11"/>
  <c r="G21" i="11"/>
  <c r="G16" i="11"/>
  <c r="H16" i="9" l="1"/>
  <c r="H17" i="9"/>
  <c r="H18" i="9"/>
  <c r="H19" i="9"/>
  <c r="H20" i="9"/>
  <c r="H21" i="9"/>
  <c r="G17" i="9"/>
  <c r="G18" i="9"/>
  <c r="G19" i="9"/>
  <c r="G20" i="9"/>
  <c r="G21" i="9"/>
  <c r="G16" i="9"/>
  <c r="H18" i="8" l="1"/>
  <c r="H17" i="8"/>
  <c r="H19" i="8"/>
  <c r="H20" i="8"/>
  <c r="H21" i="8"/>
  <c r="H16" i="8"/>
  <c r="G18" i="8"/>
  <c r="G17" i="8"/>
  <c r="G19" i="8"/>
  <c r="G20" i="8"/>
  <c r="G21" i="8"/>
  <c r="G16" i="8"/>
  <c r="H16" i="12"/>
  <c r="H17" i="12"/>
  <c r="H18" i="12"/>
  <c r="H19" i="12"/>
  <c r="H20" i="12"/>
  <c r="H21" i="12"/>
  <c r="G17" i="12"/>
  <c r="G18" i="12"/>
  <c r="G19" i="12"/>
  <c r="G20" i="12"/>
  <c r="G21" i="12"/>
  <c r="G16" i="12"/>
  <c r="G11" i="11" l="1"/>
  <c r="H11" i="11"/>
  <c r="G12" i="11"/>
  <c r="H12" i="11"/>
  <c r="G13" i="11"/>
  <c r="H13" i="11"/>
  <c r="G14" i="11"/>
  <c r="H14" i="11"/>
  <c r="AJ4" i="11" l="1"/>
  <c r="AG10" i="11"/>
  <c r="AJ5" i="11"/>
  <c r="AG9" i="11"/>
  <c r="AC10" i="11"/>
  <c r="AG4" i="11"/>
  <c r="AG5" i="11"/>
  <c r="AC11" i="11"/>
  <c r="AC9" i="11"/>
  <c r="H14" i="18"/>
  <c r="G14" i="18"/>
  <c r="H13" i="18"/>
  <c r="G13" i="18"/>
  <c r="H12" i="18"/>
  <c r="G12" i="18"/>
  <c r="H11" i="18"/>
  <c r="G11" i="18"/>
  <c r="H10" i="18"/>
  <c r="G10" i="18"/>
  <c r="AG6" i="11" l="1"/>
  <c r="AC5" i="11" s="1"/>
  <c r="AD5" i="11"/>
  <c r="U190" i="11" s="1"/>
  <c r="W190" i="11" s="1"/>
  <c r="AJ6" i="11"/>
  <c r="AD6" i="11" s="1"/>
  <c r="H7" i="18"/>
  <c r="G7" i="18"/>
  <c r="J3" i="11"/>
  <c r="J4" i="11" s="1"/>
  <c r="J5" i="11" s="1"/>
  <c r="J6" i="11" s="1"/>
  <c r="J7" i="11" s="1"/>
  <c r="J9" i="11" s="1"/>
  <c r="J10" i="11" s="1"/>
  <c r="J11" i="11" s="1"/>
  <c r="J12" i="11" s="1"/>
  <c r="J13" i="11" s="1"/>
  <c r="J14" i="11" s="1"/>
  <c r="J16" i="11" s="1"/>
  <c r="J17" i="11" s="1"/>
  <c r="J18" i="11" s="1"/>
  <c r="J19" i="11" s="1"/>
  <c r="J20" i="11" s="1"/>
  <c r="J21" i="11" s="1"/>
  <c r="J23" i="11" s="1"/>
  <c r="J24" i="11" s="1"/>
  <c r="J25" i="11" s="1"/>
  <c r="J26" i="11" s="1"/>
  <c r="J27" i="11" s="1"/>
  <c r="J28" i="11" s="1"/>
  <c r="J31" i="11" s="1"/>
  <c r="J33" i="11" s="1"/>
  <c r="J34" i="11" s="1"/>
  <c r="J35" i="11" s="1"/>
  <c r="J38" i="11" s="1"/>
  <c r="J39" i="11" s="1"/>
  <c r="J40" i="11" s="1"/>
  <c r="J41" i="11" s="1"/>
  <c r="J42" i="11" s="1"/>
  <c r="J44" i="11" s="1"/>
  <c r="J45" i="11" s="1"/>
  <c r="I3" i="11"/>
  <c r="I4" i="11" s="1"/>
  <c r="I5" i="11" s="1"/>
  <c r="I6" i="11" s="1"/>
  <c r="I7" i="11" s="1"/>
  <c r="I9" i="11" s="1"/>
  <c r="I10" i="11" s="1"/>
  <c r="I11" i="11" s="1"/>
  <c r="I12" i="11" s="1"/>
  <c r="I13" i="11" s="1"/>
  <c r="I14" i="11" s="1"/>
  <c r="I16" i="11" s="1"/>
  <c r="I17" i="11" s="1"/>
  <c r="I18" i="11" s="1"/>
  <c r="I19" i="11" s="1"/>
  <c r="I20" i="11" s="1"/>
  <c r="I21" i="11" s="1"/>
  <c r="I23" i="11" s="1"/>
  <c r="I24" i="11" s="1"/>
  <c r="I25" i="11" s="1"/>
  <c r="I26" i="11" s="1"/>
  <c r="I27" i="11" s="1"/>
  <c r="I28" i="11" s="1"/>
  <c r="I31" i="11" s="1"/>
  <c r="I33" i="11" s="1"/>
  <c r="I34" i="11" s="1"/>
  <c r="I35" i="11" s="1"/>
  <c r="I38" i="11" s="1"/>
  <c r="I39" i="11" s="1"/>
  <c r="I40" i="11" s="1"/>
  <c r="I41" i="11" s="1"/>
  <c r="I42" i="11" s="1"/>
  <c r="I44" i="11" s="1"/>
  <c r="I45" i="11" s="1"/>
  <c r="H10" i="11"/>
  <c r="G10" i="11"/>
  <c r="H7" i="11"/>
  <c r="G7" i="11"/>
  <c r="H5" i="11"/>
  <c r="G5" i="11"/>
  <c r="H4" i="11"/>
  <c r="G4" i="11"/>
  <c r="H3" i="11"/>
  <c r="G3" i="11"/>
  <c r="U236" i="11" l="1"/>
  <c r="W236" i="11" s="1"/>
  <c r="U42" i="11"/>
  <c r="W42" i="11" s="1"/>
  <c r="U207" i="11"/>
  <c r="W207" i="11" s="1"/>
  <c r="U52" i="11"/>
  <c r="W52" i="11" s="1"/>
  <c r="U47" i="11"/>
  <c r="W47" i="11" s="1"/>
  <c r="U161" i="11"/>
  <c r="W161" i="11" s="1"/>
  <c r="U313" i="11"/>
  <c r="W313" i="11" s="1"/>
  <c r="U278" i="11"/>
  <c r="W278" i="11" s="1"/>
  <c r="U63" i="11"/>
  <c r="W63" i="11" s="1"/>
  <c r="U231" i="11"/>
  <c r="W231" i="11" s="1"/>
  <c r="U142" i="11"/>
  <c r="W142" i="11" s="1"/>
  <c r="U276" i="11"/>
  <c r="W276" i="11" s="1"/>
  <c r="U296" i="11"/>
  <c r="W296" i="11" s="1"/>
  <c r="U348" i="11"/>
  <c r="W348" i="11" s="1"/>
  <c r="U285" i="11"/>
  <c r="W285" i="11" s="1"/>
  <c r="U250" i="11"/>
  <c r="W250" i="11" s="1"/>
  <c r="U215" i="11"/>
  <c r="W215" i="11" s="1"/>
  <c r="U286" i="11"/>
  <c r="W286" i="11" s="1"/>
  <c r="U325" i="11"/>
  <c r="W325" i="11" s="1"/>
  <c r="U29" i="11"/>
  <c r="W29" i="11" s="1"/>
  <c r="U355" i="11"/>
  <c r="W355" i="11" s="1"/>
  <c r="U28" i="11"/>
  <c r="W28" i="11" s="1"/>
  <c r="U201" i="11"/>
  <c r="W201" i="11" s="1"/>
  <c r="U160" i="11"/>
  <c r="W160" i="11" s="1"/>
  <c r="U145" i="11"/>
  <c r="W145" i="11" s="1"/>
  <c r="U212" i="11"/>
  <c r="W212" i="11" s="1"/>
  <c r="U232" i="11"/>
  <c r="W232" i="11" s="1"/>
  <c r="U284" i="11"/>
  <c r="W284" i="11" s="1"/>
  <c r="U269" i="11"/>
  <c r="W269" i="11" s="1"/>
  <c r="U234" i="11"/>
  <c r="W234" i="11" s="1"/>
  <c r="U292" i="11"/>
  <c r="W292" i="11" s="1"/>
  <c r="U318" i="11"/>
  <c r="W318" i="11" s="1"/>
  <c r="U357" i="11"/>
  <c r="W357" i="11" s="1"/>
  <c r="U70" i="11"/>
  <c r="W70" i="11" s="1"/>
  <c r="U37" i="11"/>
  <c r="W37" i="11" s="1"/>
  <c r="U209" i="11"/>
  <c r="W209" i="11" s="1"/>
  <c r="U166" i="11"/>
  <c r="W166" i="11" s="1"/>
  <c r="U154" i="11"/>
  <c r="W154" i="11" s="1"/>
  <c r="U321" i="11"/>
  <c r="W321" i="11" s="1"/>
  <c r="U252" i="11"/>
  <c r="W252" i="11" s="1"/>
  <c r="U64" i="11"/>
  <c r="W64" i="11" s="1"/>
  <c r="U176" i="11"/>
  <c r="W176" i="11" s="1"/>
  <c r="U179" i="11"/>
  <c r="W179" i="11" s="1"/>
  <c r="U180" i="11"/>
  <c r="W180" i="11" s="1"/>
  <c r="U88" i="11"/>
  <c r="W88" i="11" s="1"/>
  <c r="U342" i="11"/>
  <c r="W342" i="11" s="1"/>
  <c r="U225" i="11"/>
  <c r="W225" i="11" s="1"/>
  <c r="U363" i="11"/>
  <c r="W363" i="11" s="1"/>
  <c r="U351" i="11"/>
  <c r="W351" i="11" s="1"/>
  <c r="U62" i="11"/>
  <c r="W62" i="11" s="1"/>
  <c r="U60" i="11"/>
  <c r="W60" i="11" s="1"/>
  <c r="U122" i="11"/>
  <c r="W122" i="11" s="1"/>
  <c r="U349" i="11"/>
  <c r="W349" i="11" s="1"/>
  <c r="U314" i="11"/>
  <c r="W314" i="11" s="1"/>
  <c r="U308" i="11"/>
  <c r="W308" i="11" s="1"/>
  <c r="U322" i="11"/>
  <c r="W322" i="11" s="1"/>
  <c r="U107" i="11"/>
  <c r="W107" i="11" s="1"/>
  <c r="U216" i="11"/>
  <c r="W216" i="11" s="1"/>
  <c r="U268" i="11"/>
  <c r="W268" i="11" s="1"/>
  <c r="U265" i="11"/>
  <c r="W265" i="11" s="1"/>
  <c r="U230" i="11"/>
  <c r="W230" i="11" s="1"/>
  <c r="U287" i="11"/>
  <c r="W287" i="11" s="1"/>
  <c r="U90" i="11"/>
  <c r="W90" i="11" s="1"/>
  <c r="U333" i="11"/>
  <c r="W333" i="11" s="1"/>
  <c r="U298" i="11"/>
  <c r="W298" i="11" s="1"/>
  <c r="U137" i="11"/>
  <c r="W137" i="11" s="1"/>
  <c r="U227" i="11"/>
  <c r="W227" i="11" s="1"/>
  <c r="U290" i="11"/>
  <c r="W290" i="11" s="1"/>
  <c r="U228" i="11"/>
  <c r="W228" i="11" s="1"/>
  <c r="U248" i="11"/>
  <c r="W248" i="11" s="1"/>
  <c r="U300" i="11"/>
  <c r="W300" i="11" s="1"/>
  <c r="U273" i="11"/>
  <c r="W273" i="11" s="1"/>
  <c r="U238" i="11"/>
  <c r="W238" i="11" s="1"/>
  <c r="U4" i="11"/>
  <c r="W4" i="11" s="1"/>
  <c r="U151" i="11"/>
  <c r="W151" i="11" s="1"/>
  <c r="U73" i="11"/>
  <c r="W73" i="11" s="1"/>
  <c r="U224" i="11"/>
  <c r="W224" i="11" s="1"/>
  <c r="U311" i="11"/>
  <c r="W311" i="11" s="1"/>
  <c r="U315" i="11"/>
  <c r="W315" i="11" s="1"/>
  <c r="U108" i="11"/>
  <c r="W108" i="11" s="1"/>
  <c r="U132" i="11"/>
  <c r="W132" i="11" s="1"/>
  <c r="U77" i="11"/>
  <c r="W77" i="11" s="1"/>
  <c r="U353" i="11"/>
  <c r="W353" i="11" s="1"/>
  <c r="U143" i="11"/>
  <c r="W143" i="11" s="1"/>
  <c r="U67" i="11"/>
  <c r="W67" i="11" s="1"/>
  <c r="U199" i="11"/>
  <c r="W199" i="11" s="1"/>
  <c r="U203" i="11"/>
  <c r="W203" i="11" s="1"/>
  <c r="U186" i="11"/>
  <c r="W186" i="11" s="1"/>
  <c r="U91" i="11"/>
  <c r="W91" i="11" s="1"/>
  <c r="U346" i="11"/>
  <c r="W346" i="11" s="1"/>
  <c r="U170" i="11"/>
  <c r="W170" i="11" s="1"/>
  <c r="U359" i="11"/>
  <c r="W359" i="11" s="1"/>
  <c r="U49" i="11"/>
  <c r="W49" i="11" s="1"/>
  <c r="U324" i="11"/>
  <c r="W324" i="11" s="1"/>
  <c r="U344" i="11"/>
  <c r="W344" i="11" s="1"/>
  <c r="U149" i="11"/>
  <c r="W149" i="11" s="1"/>
  <c r="U297" i="11"/>
  <c r="W297" i="11" s="1"/>
  <c r="U262" i="11"/>
  <c r="W262" i="11" s="1"/>
  <c r="U35" i="11"/>
  <c r="W35" i="11" s="1"/>
  <c r="U84" i="11"/>
  <c r="W84" i="11" s="1"/>
  <c r="U118" i="11"/>
  <c r="W118" i="11" s="1"/>
  <c r="U171" i="11"/>
  <c r="W171" i="11" s="1"/>
  <c r="U365" i="11"/>
  <c r="W365" i="11" s="1"/>
  <c r="U330" i="11"/>
  <c r="W330" i="11" s="1"/>
  <c r="U69" i="11"/>
  <c r="W69" i="11" s="1"/>
  <c r="U275" i="11"/>
  <c r="W275" i="11" s="1"/>
  <c r="U182" i="11"/>
  <c r="W182" i="11" s="1"/>
  <c r="U356" i="11"/>
  <c r="W356" i="11" s="1"/>
  <c r="U55" i="11"/>
  <c r="W55" i="11" s="1"/>
  <c r="U155" i="11"/>
  <c r="W155" i="11" s="1"/>
  <c r="U305" i="11"/>
  <c r="W305" i="11" s="1"/>
  <c r="U270" i="11"/>
  <c r="W270" i="11" s="1"/>
  <c r="U259" i="11"/>
  <c r="W259" i="11" s="1"/>
  <c r="U25" i="11"/>
  <c r="W25" i="11" s="1"/>
  <c r="U139" i="11"/>
  <c r="W139" i="11" s="1"/>
  <c r="U261" i="11"/>
  <c r="W261" i="11" s="1"/>
  <c r="U352" i="11"/>
  <c r="W352" i="11" s="1"/>
  <c r="U173" i="11"/>
  <c r="W173" i="11" s="1"/>
  <c r="U291" i="11"/>
  <c r="W291" i="11" s="1"/>
  <c r="U156" i="11"/>
  <c r="W156" i="11" s="1"/>
  <c r="U100" i="11"/>
  <c r="W100" i="11" s="1"/>
  <c r="U133" i="11"/>
  <c r="W133" i="11" s="1"/>
  <c r="U222" i="11"/>
  <c r="W222" i="11" s="1"/>
  <c r="U141" i="11"/>
  <c r="W141" i="11" s="1"/>
  <c r="U240" i="11"/>
  <c r="W240" i="11" s="1"/>
  <c r="U327" i="11"/>
  <c r="W327" i="11" s="1"/>
  <c r="U331" i="11"/>
  <c r="W331" i="11" s="1"/>
  <c r="U111" i="11"/>
  <c r="W111" i="11" s="1"/>
  <c r="U138" i="11"/>
  <c r="W138" i="11" s="1"/>
  <c r="U80" i="11"/>
  <c r="W80" i="11" s="1"/>
  <c r="U189" i="11"/>
  <c r="W189" i="11" s="1"/>
  <c r="U328" i="11"/>
  <c r="W328" i="11" s="1"/>
  <c r="U271" i="11"/>
  <c r="W271" i="11" s="1"/>
  <c r="U307" i="11"/>
  <c r="W307" i="11" s="1"/>
  <c r="U5" i="11"/>
  <c r="W5" i="11" s="1"/>
  <c r="U196" i="11"/>
  <c r="W196" i="11" s="1"/>
  <c r="U65" i="11"/>
  <c r="W65" i="11" s="1"/>
  <c r="U255" i="11"/>
  <c r="W255" i="11" s="1"/>
  <c r="U117" i="11"/>
  <c r="W117" i="11" s="1"/>
  <c r="U211" i="11"/>
  <c r="W211" i="11" s="1"/>
  <c r="U27" i="11"/>
  <c r="W27" i="11" s="1"/>
  <c r="U43" i="11"/>
  <c r="W43" i="11" s="1"/>
  <c r="U217" i="11"/>
  <c r="W217" i="11" s="1"/>
  <c r="U172" i="11"/>
  <c r="W172" i="11" s="1"/>
  <c r="U256" i="11"/>
  <c r="W256" i="11" s="1"/>
  <c r="U83" i="11"/>
  <c r="W83" i="11" s="1"/>
  <c r="U293" i="11"/>
  <c r="W293" i="11" s="1"/>
  <c r="U6" i="11"/>
  <c r="W6" i="11" s="1"/>
  <c r="U243" i="11"/>
  <c r="W243" i="11" s="1"/>
  <c r="U2" i="11"/>
  <c r="W2" i="11" s="1"/>
  <c r="U162" i="11"/>
  <c r="W162" i="11" s="1"/>
  <c r="U103" i="11"/>
  <c r="W103" i="11" s="1"/>
  <c r="U136" i="11"/>
  <c r="W136" i="11" s="1"/>
  <c r="U289" i="11"/>
  <c r="W289" i="11" s="1"/>
  <c r="U15" i="11"/>
  <c r="W15" i="11" s="1"/>
  <c r="U71" i="11"/>
  <c r="W71" i="11" s="1"/>
  <c r="U95" i="11"/>
  <c r="W95" i="11" s="1"/>
  <c r="U168" i="11"/>
  <c r="W168" i="11" s="1"/>
  <c r="U361" i="11"/>
  <c r="W361" i="11" s="1"/>
  <c r="U326" i="11"/>
  <c r="W326" i="11" s="1"/>
  <c r="U304" i="11"/>
  <c r="W304" i="11" s="1"/>
  <c r="U10" i="11"/>
  <c r="W10" i="11" s="1"/>
  <c r="U147" i="11"/>
  <c r="W147" i="11" s="1"/>
  <c r="U192" i="11"/>
  <c r="W192" i="11" s="1"/>
  <c r="U112" i="11"/>
  <c r="W112" i="11" s="1"/>
  <c r="U257" i="11"/>
  <c r="W257" i="11" s="1"/>
  <c r="U72" i="11"/>
  <c r="W72" i="11" s="1"/>
  <c r="U58" i="11"/>
  <c r="W58" i="11" s="1"/>
  <c r="U124" i="11"/>
  <c r="W124" i="11" s="1"/>
  <c r="U125" i="11"/>
  <c r="W125" i="11" s="1"/>
  <c r="U174" i="11"/>
  <c r="W174" i="11" s="1"/>
  <c r="U82" i="11"/>
  <c r="W82" i="11" s="1"/>
  <c r="U334" i="11"/>
  <c r="W334" i="11" s="1"/>
  <c r="U194" i="11"/>
  <c r="W194" i="11" s="1"/>
  <c r="U347" i="11"/>
  <c r="W347" i="11" s="1"/>
  <c r="U53" i="11"/>
  <c r="W53" i="11" s="1"/>
  <c r="U99" i="11"/>
  <c r="W99" i="11" s="1"/>
  <c r="U33" i="11"/>
  <c r="W33" i="11" s="1"/>
  <c r="U339" i="11"/>
  <c r="W339" i="11" s="1"/>
  <c r="U164" i="11"/>
  <c r="W164" i="11" s="1"/>
  <c r="U59" i="11"/>
  <c r="W59" i="11" s="1"/>
  <c r="U128" i="11"/>
  <c r="W128" i="11" s="1"/>
  <c r="U87" i="11"/>
  <c r="W87" i="11" s="1"/>
  <c r="U294" i="11"/>
  <c r="W294" i="11" s="1"/>
  <c r="U263" i="11"/>
  <c r="W263" i="11" s="1"/>
  <c r="U79" i="11"/>
  <c r="W79" i="11" s="1"/>
  <c r="U362" i="11"/>
  <c r="W362" i="11" s="1"/>
  <c r="U323" i="11"/>
  <c r="W323" i="11" s="1"/>
  <c r="U93" i="11"/>
  <c r="W93" i="11" s="1"/>
  <c r="U302" i="11"/>
  <c r="W302" i="11" s="1"/>
  <c r="U78" i="11"/>
  <c r="W78" i="11" s="1"/>
  <c r="U50" i="11"/>
  <c r="W50" i="11" s="1"/>
  <c r="U86" i="11"/>
  <c r="W86" i="11" s="1"/>
  <c r="U191" i="11"/>
  <c r="W191" i="11" s="1"/>
  <c r="U245" i="11"/>
  <c r="W245" i="11" s="1"/>
  <c r="U210" i="11"/>
  <c r="W210" i="11" s="1"/>
  <c r="U7" i="11"/>
  <c r="W7" i="11" s="1"/>
  <c r="U254" i="11"/>
  <c r="W254" i="11" s="1"/>
  <c r="U119" i="11"/>
  <c r="W119" i="11" s="1"/>
  <c r="U51" i="11"/>
  <c r="W51" i="11" s="1"/>
  <c r="U36" i="11"/>
  <c r="W36" i="11" s="1"/>
  <c r="U341" i="11"/>
  <c r="W341" i="11" s="1"/>
  <c r="U235" i="11"/>
  <c r="W235" i="11" s="1"/>
  <c r="U178" i="11"/>
  <c r="W178" i="11" s="1"/>
  <c r="U329" i="11"/>
  <c r="W329" i="11" s="1"/>
  <c r="U123" i="11"/>
  <c r="W123" i="11" s="1"/>
  <c r="U219" i="11"/>
  <c r="W219" i="11" s="1"/>
  <c r="U85" i="11"/>
  <c r="W85" i="11" s="1"/>
  <c r="U181" i="11"/>
  <c r="W181" i="11" s="1"/>
  <c r="U45" i="11"/>
  <c r="W45" i="11" s="1"/>
  <c r="U114" i="11"/>
  <c r="W114" i="11" s="1"/>
  <c r="U208" i="11"/>
  <c r="W208" i="11" s="1"/>
  <c r="U74" i="11"/>
  <c r="W74" i="11" s="1"/>
  <c r="U204" i="11"/>
  <c r="W204" i="11" s="1"/>
  <c r="U197" i="11"/>
  <c r="W197" i="11" s="1"/>
  <c r="U110" i="11"/>
  <c r="W110" i="11" s="1"/>
  <c r="U26" i="11"/>
  <c r="W26" i="11" s="1"/>
  <c r="U41" i="11"/>
  <c r="W41" i="11" s="1"/>
  <c r="U140" i="11"/>
  <c r="W140" i="11" s="1"/>
  <c r="U223" i="11"/>
  <c r="W223" i="11" s="1"/>
  <c r="U135" i="11"/>
  <c r="W135" i="11" s="1"/>
  <c r="U260" i="11"/>
  <c r="W260" i="11" s="1"/>
  <c r="U249" i="11"/>
  <c r="W249" i="11" s="1"/>
  <c r="U364" i="11"/>
  <c r="W364" i="11" s="1"/>
  <c r="U56" i="11"/>
  <c r="W56" i="11" s="1"/>
  <c r="U221" i="11"/>
  <c r="W221" i="11" s="1"/>
  <c r="U312" i="11"/>
  <c r="W312" i="11" s="1"/>
  <c r="U288" i="11"/>
  <c r="W288" i="11" s="1"/>
  <c r="U76" i="11"/>
  <c r="W76" i="11" s="1"/>
  <c r="U358" i="11"/>
  <c r="W358" i="11" s="1"/>
  <c r="U8" i="11"/>
  <c r="W8" i="11" s="1"/>
  <c r="U205" i="11"/>
  <c r="W205" i="11" s="1"/>
  <c r="U148" i="11"/>
  <c r="W148" i="11" s="1"/>
  <c r="U165" i="11"/>
  <c r="W165" i="11" s="1"/>
  <c r="U279" i="11"/>
  <c r="W279" i="11" s="1"/>
  <c r="U102" i="11"/>
  <c r="W102" i="11" s="1"/>
  <c r="U366" i="11"/>
  <c r="W366" i="11" s="1"/>
  <c r="U354" i="11"/>
  <c r="W354" i="11" s="1"/>
  <c r="U244" i="11"/>
  <c r="W244" i="11" s="1"/>
  <c r="U264" i="11"/>
  <c r="W264" i="11" s="1"/>
  <c r="U316" i="11"/>
  <c r="W316" i="11" s="1"/>
  <c r="U277" i="11"/>
  <c r="W277" i="11" s="1"/>
  <c r="U242" i="11"/>
  <c r="W242" i="11" s="1"/>
  <c r="U101" i="11"/>
  <c r="W101" i="11" s="1"/>
  <c r="U317" i="11"/>
  <c r="W317" i="11" s="1"/>
  <c r="U233" i="11"/>
  <c r="W233" i="11" s="1"/>
  <c r="U360" i="11"/>
  <c r="W360" i="11" s="1"/>
  <c r="U301" i="11"/>
  <c r="W301" i="11" s="1"/>
  <c r="U241" i="11"/>
  <c r="W241" i="11" s="1"/>
  <c r="U239" i="11"/>
  <c r="W239" i="11" s="1"/>
  <c r="U54" i="11"/>
  <c r="W54" i="11" s="1"/>
  <c r="U306" i="11"/>
  <c r="W306" i="11" s="1"/>
  <c r="U280" i="11"/>
  <c r="W280" i="11" s="1"/>
  <c r="U116" i="11"/>
  <c r="W116" i="11" s="1"/>
  <c r="U121" i="11"/>
  <c r="W121" i="11" s="1"/>
  <c r="U267" i="11"/>
  <c r="W267" i="11" s="1"/>
  <c r="U159" i="11"/>
  <c r="W159" i="11" s="1"/>
  <c r="U337" i="11"/>
  <c r="W337" i="11" s="1"/>
  <c r="U61" i="11"/>
  <c r="W61" i="11" s="1"/>
  <c r="U177" i="11"/>
  <c r="W177" i="11" s="1"/>
  <c r="U338" i="11"/>
  <c r="W338" i="11" s="1"/>
  <c r="U258" i="11"/>
  <c r="W258" i="11" s="1"/>
  <c r="U246" i="11"/>
  <c r="W246" i="11" s="1"/>
  <c r="U188" i="11"/>
  <c r="W188" i="11" s="1"/>
  <c r="U120" i="11"/>
  <c r="W120" i="11" s="1"/>
  <c r="U163" i="11"/>
  <c r="W163" i="11" s="1"/>
  <c r="U283" i="11"/>
  <c r="W283" i="11" s="1"/>
  <c r="U350" i="11"/>
  <c r="W350" i="11" s="1"/>
  <c r="U105" i="11"/>
  <c r="W105" i="11" s="1"/>
  <c r="U310" i="11"/>
  <c r="W310" i="11" s="1"/>
  <c r="U66" i="11"/>
  <c r="W66" i="11" s="1"/>
  <c r="U184" i="11"/>
  <c r="W184" i="11" s="1"/>
  <c r="U320" i="11"/>
  <c r="W320" i="11" s="1"/>
  <c r="U336" i="11"/>
  <c r="W336" i="11" s="1"/>
  <c r="U97" i="11"/>
  <c r="W97" i="11" s="1"/>
  <c r="U335" i="11"/>
  <c r="W335" i="11" s="1"/>
  <c r="U46" i="11"/>
  <c r="W46" i="11" s="1"/>
  <c r="U39" i="11"/>
  <c r="W39" i="11" s="1"/>
  <c r="U281" i="11"/>
  <c r="W281" i="11" s="1"/>
  <c r="U16" i="11"/>
  <c r="W16" i="11" s="1"/>
  <c r="U44" i="11"/>
  <c r="W44" i="11" s="1"/>
  <c r="U253" i="11"/>
  <c r="W253" i="11" s="1"/>
  <c r="U175" i="11"/>
  <c r="W175" i="11" s="1"/>
  <c r="U144" i="11"/>
  <c r="W144" i="11" s="1"/>
  <c r="U109" i="11"/>
  <c r="W109" i="11" s="1"/>
  <c r="U48" i="11"/>
  <c r="W48" i="11" s="1"/>
  <c r="U237" i="11"/>
  <c r="W237" i="11" s="1"/>
  <c r="U81" i="11"/>
  <c r="W81" i="11" s="1"/>
  <c r="U229" i="11"/>
  <c r="W229" i="11" s="1"/>
  <c r="U98" i="11"/>
  <c r="W98" i="11" s="1"/>
  <c r="U150" i="11"/>
  <c r="W150" i="11" s="1"/>
  <c r="U115" i="11"/>
  <c r="W115" i="11" s="1"/>
  <c r="U193" i="11"/>
  <c r="W193" i="11" s="1"/>
  <c r="U9" i="11"/>
  <c r="W9" i="11" s="1"/>
  <c r="U89" i="11"/>
  <c r="W89" i="11" s="1"/>
  <c r="U158" i="11"/>
  <c r="W158" i="11" s="1"/>
  <c r="U309" i="11"/>
  <c r="W309" i="11" s="1"/>
  <c r="U274" i="11"/>
  <c r="W274" i="11" s="1"/>
  <c r="U345" i="11"/>
  <c r="W345" i="11" s="1"/>
  <c r="U247" i="11"/>
  <c r="W247" i="11" s="1"/>
  <c r="U343" i="11"/>
  <c r="W343" i="11" s="1"/>
  <c r="U319" i="11"/>
  <c r="W319" i="11" s="1"/>
  <c r="U96" i="11"/>
  <c r="W96" i="11" s="1"/>
  <c r="U214" i="11"/>
  <c r="W214" i="11" s="1"/>
  <c r="U104" i="11"/>
  <c r="W104" i="11" s="1"/>
  <c r="U303" i="11"/>
  <c r="W303" i="11" s="1"/>
  <c r="U131" i="11"/>
  <c r="W131" i="11" s="1"/>
  <c r="U57" i="11"/>
  <c r="W57" i="11" s="1"/>
  <c r="U218" i="11"/>
  <c r="W218" i="11" s="1"/>
  <c r="U34" i="11"/>
  <c r="W34" i="11" s="1"/>
  <c r="U126" i="11"/>
  <c r="W126" i="11" s="1"/>
  <c r="U299" i="11"/>
  <c r="W299" i="11" s="1"/>
  <c r="U106" i="11"/>
  <c r="W106" i="11" s="1"/>
  <c r="U282" i="11"/>
  <c r="W282" i="11" s="1"/>
  <c r="U202" i="11"/>
  <c r="W202" i="11" s="1"/>
  <c r="U31" i="11"/>
  <c r="W31" i="11" s="1"/>
  <c r="U153" i="11"/>
  <c r="W153" i="11" s="1"/>
  <c r="U332" i="11"/>
  <c r="W332" i="11" s="1"/>
  <c r="U68" i="11"/>
  <c r="W68" i="11" s="1"/>
  <c r="U30" i="11"/>
  <c r="W30" i="11" s="1"/>
  <c r="U195" i="11"/>
  <c r="W195" i="11" s="1"/>
  <c r="U200" i="11"/>
  <c r="W200" i="11" s="1"/>
  <c r="U146" i="11"/>
  <c r="W146" i="11" s="1"/>
  <c r="U167" i="11"/>
  <c r="W167" i="11" s="1"/>
  <c r="U75" i="11"/>
  <c r="W75" i="11" s="1"/>
  <c r="U38" i="11"/>
  <c r="W38" i="11" s="1"/>
  <c r="U183" i="11"/>
  <c r="W183" i="11" s="1"/>
  <c r="U295" i="11"/>
  <c r="W295" i="11" s="1"/>
  <c r="U129" i="11"/>
  <c r="W129" i="11" s="1"/>
  <c r="U226" i="11"/>
  <c r="W226" i="11" s="1"/>
  <c r="U251" i="11"/>
  <c r="W251" i="11" s="1"/>
  <c r="U23" i="11"/>
  <c r="W23" i="11" s="1"/>
  <c r="U187" i="11"/>
  <c r="W187" i="11" s="1"/>
  <c r="U94" i="11"/>
  <c r="W94" i="11" s="1"/>
  <c r="U130" i="11"/>
  <c r="W130" i="11" s="1"/>
  <c r="U127" i="11"/>
  <c r="W127" i="11" s="1"/>
  <c r="U185" i="11"/>
  <c r="W185" i="11" s="1"/>
  <c r="U220" i="11"/>
  <c r="W220" i="11" s="1"/>
  <c r="U272" i="11"/>
  <c r="W272" i="11" s="1"/>
  <c r="U213" i="11"/>
  <c r="W213" i="11" s="1"/>
  <c r="U3" i="11"/>
  <c r="W3" i="11" s="1"/>
  <c r="U32" i="11"/>
  <c r="W32" i="11" s="1"/>
  <c r="U157" i="11"/>
  <c r="W157" i="11" s="1"/>
  <c r="U134" i="11"/>
  <c r="W134" i="11" s="1"/>
  <c r="U22" i="11"/>
  <c r="W22" i="11" s="1"/>
  <c r="U206" i="11"/>
  <c r="W206" i="11" s="1"/>
  <c r="U198" i="11"/>
  <c r="W198" i="11" s="1"/>
  <c r="U92" i="11"/>
  <c r="W92" i="11" s="1"/>
  <c r="U340" i="11"/>
  <c r="W340" i="11" s="1"/>
  <c r="U24" i="11"/>
  <c r="W24" i="11" s="1"/>
  <c r="U169" i="11"/>
  <c r="W169" i="11" s="1"/>
  <c r="U152" i="11"/>
  <c r="W152" i="11" s="1"/>
  <c r="U113" i="11"/>
  <c r="W113" i="11" s="1"/>
  <c r="U40" i="11"/>
  <c r="W40" i="11" s="1"/>
  <c r="U266" i="11"/>
  <c r="W266" i="11" s="1"/>
  <c r="U20" i="11"/>
  <c r="W20" i="11" s="1"/>
  <c r="U17" i="11"/>
  <c r="W17" i="11" s="1"/>
  <c r="U21" i="11"/>
  <c r="W21" i="11" s="1"/>
  <c r="U18" i="11"/>
  <c r="W18" i="11" s="1"/>
  <c r="U19" i="11"/>
  <c r="W19" i="11" s="1"/>
  <c r="U11" i="11"/>
  <c r="W11" i="11" s="1"/>
  <c r="U12" i="11"/>
  <c r="W12" i="11" s="1"/>
  <c r="U14" i="11"/>
  <c r="W14" i="11" s="1"/>
  <c r="U13" i="11"/>
  <c r="W13" i="11" s="1"/>
  <c r="AC6" i="11"/>
  <c r="I46" i="11"/>
  <c r="I47" i="11"/>
  <c r="I48" i="11" s="1"/>
  <c r="I49" i="11" s="1"/>
  <c r="I51" i="11" s="1"/>
  <c r="I52" i="11" s="1"/>
  <c r="I53" i="11" s="1"/>
  <c r="I54" i="11" s="1"/>
  <c r="I55" i="11" s="1"/>
  <c r="I56" i="11" s="1"/>
  <c r="I59" i="11" s="1"/>
  <c r="I60" i="11" s="1"/>
  <c r="I61" i="11" s="1"/>
  <c r="I62" i="11" s="1"/>
  <c r="I65" i="11" s="1"/>
  <c r="I66" i="11" s="1"/>
  <c r="J46" i="11"/>
  <c r="J47" i="11"/>
  <c r="J48" i="11" s="1"/>
  <c r="J49" i="11" s="1"/>
  <c r="J51" i="11" s="1"/>
  <c r="J52" i="11" s="1"/>
  <c r="J53" i="11" s="1"/>
  <c r="J54" i="11" s="1"/>
  <c r="J55" i="11" s="1"/>
  <c r="J56" i="11" s="1"/>
  <c r="J59" i="11" s="1"/>
  <c r="J60" i="11" s="1"/>
  <c r="J61" i="11" s="1"/>
  <c r="J62" i="11" s="1"/>
  <c r="J65" i="11" s="1"/>
  <c r="J66" i="11" s="1"/>
  <c r="H7" i="12"/>
  <c r="G7" i="12"/>
  <c r="H5" i="12"/>
  <c r="G5" i="12"/>
  <c r="H4" i="12"/>
  <c r="G4" i="12"/>
  <c r="H3" i="12"/>
  <c r="G3" i="12"/>
  <c r="J3" i="12"/>
  <c r="J4" i="12" s="1"/>
  <c r="J5" i="12" s="1"/>
  <c r="J6" i="12" s="1"/>
  <c r="J7" i="12" s="1"/>
  <c r="J9" i="12" s="1"/>
  <c r="J10" i="12" s="1"/>
  <c r="J11" i="12" s="1"/>
  <c r="J12" i="12" s="1"/>
  <c r="J13" i="12" s="1"/>
  <c r="J14" i="12" s="1"/>
  <c r="J16" i="12" s="1"/>
  <c r="J17" i="12" s="1"/>
  <c r="J18" i="12" s="1"/>
  <c r="J19" i="12" s="1"/>
  <c r="J20" i="12" s="1"/>
  <c r="J21" i="12" s="1"/>
  <c r="J23" i="12" s="1"/>
  <c r="J24" i="12" s="1"/>
  <c r="J25" i="12" s="1"/>
  <c r="J26" i="12" s="1"/>
  <c r="J27" i="12" s="1"/>
  <c r="J28" i="12" s="1"/>
  <c r="J30" i="12" s="1"/>
  <c r="J31" i="12" s="1"/>
  <c r="J32" i="12" s="1"/>
  <c r="J33" i="12" s="1"/>
  <c r="J34" i="12" s="1"/>
  <c r="J35" i="12" s="1"/>
  <c r="J37" i="12" s="1"/>
  <c r="J38" i="12" s="1"/>
  <c r="J39" i="12" s="1"/>
  <c r="J40" i="12" s="1"/>
  <c r="J41" i="12" s="1"/>
  <c r="J42" i="12" s="1"/>
  <c r="J44" i="12" s="1"/>
  <c r="J45" i="12" s="1"/>
  <c r="J46" i="12" s="1"/>
  <c r="J47" i="12" s="1"/>
  <c r="J48" i="12" s="1"/>
  <c r="J49" i="12" s="1"/>
  <c r="I3" i="12"/>
  <c r="H14" i="12"/>
  <c r="G14" i="12"/>
  <c r="H13" i="12"/>
  <c r="G13" i="12"/>
  <c r="H12" i="12"/>
  <c r="G12" i="12"/>
  <c r="H11" i="12"/>
  <c r="G11" i="12"/>
  <c r="H10" i="12"/>
  <c r="G10" i="12"/>
  <c r="H14" i="8"/>
  <c r="G14" i="8"/>
  <c r="H13" i="8"/>
  <c r="G13" i="8"/>
  <c r="H12" i="8"/>
  <c r="G12" i="8"/>
  <c r="H10" i="8"/>
  <c r="G10" i="8"/>
  <c r="H5" i="8"/>
  <c r="G5" i="8"/>
  <c r="H4" i="8"/>
  <c r="G4" i="8"/>
  <c r="H3" i="8"/>
  <c r="AF10" i="8" s="1"/>
  <c r="G3" i="8"/>
  <c r="H14" i="9"/>
  <c r="G14" i="9"/>
  <c r="H13" i="9"/>
  <c r="G13" i="9"/>
  <c r="H12" i="9"/>
  <c r="G12" i="9"/>
  <c r="H11" i="9"/>
  <c r="G11" i="9"/>
  <c r="H10" i="9"/>
  <c r="G10" i="9"/>
  <c r="H7" i="9"/>
  <c r="G7" i="9"/>
  <c r="H5" i="9"/>
  <c r="G5" i="9"/>
  <c r="H4" i="9"/>
  <c r="G4" i="9"/>
  <c r="G3" i="9"/>
  <c r="H3" i="9"/>
  <c r="J3" i="8"/>
  <c r="J4" i="8" s="1"/>
  <c r="J5" i="8" s="1"/>
  <c r="J6" i="8" s="1"/>
  <c r="J7" i="8" s="1"/>
  <c r="J9" i="8" s="1"/>
  <c r="J10" i="8" s="1"/>
  <c r="J12" i="8" s="1"/>
  <c r="J13" i="8" s="1"/>
  <c r="J14" i="8" s="1"/>
  <c r="J16" i="8" s="1"/>
  <c r="J17" i="8" s="1"/>
  <c r="J18" i="8" s="1"/>
  <c r="J19" i="8" s="1"/>
  <c r="J20" i="8" s="1"/>
  <c r="J21" i="8" s="1"/>
  <c r="J23" i="8" s="1"/>
  <c r="J24" i="8" s="1"/>
  <c r="J25" i="8" s="1"/>
  <c r="J26" i="8" s="1"/>
  <c r="J27" i="8" s="1"/>
  <c r="J28" i="8" s="1"/>
  <c r="J30" i="8" s="1"/>
  <c r="J31" i="8" s="1"/>
  <c r="J33" i="8" s="1"/>
  <c r="J34" i="8" s="1"/>
  <c r="J35" i="8" s="1"/>
  <c r="J37" i="8" s="1"/>
  <c r="J38" i="8" s="1"/>
  <c r="J39" i="8" s="1"/>
  <c r="J40" i="8" s="1"/>
  <c r="J41" i="8" s="1"/>
  <c r="J42" i="8" s="1"/>
  <c r="J44" i="8" s="1"/>
  <c r="J45" i="8" s="1"/>
  <c r="J46" i="8" s="1"/>
  <c r="J47" i="8" s="1"/>
  <c r="J48" i="8" s="1"/>
  <c r="J49" i="8" s="1"/>
  <c r="J51" i="8" s="1"/>
  <c r="J52" i="8" s="1"/>
  <c r="J53" i="8" s="1"/>
  <c r="J54" i="8" s="1"/>
  <c r="J55" i="8" s="1"/>
  <c r="J56" i="8" s="1"/>
  <c r="J58" i="8" s="1"/>
  <c r="J59" i="8" s="1"/>
  <c r="J60" i="8" s="1"/>
  <c r="I3" i="8"/>
  <c r="H14" i="10"/>
  <c r="G14" i="10"/>
  <c r="H13" i="10"/>
  <c r="G13" i="10"/>
  <c r="J3" i="9"/>
  <c r="J4" i="9" s="1"/>
  <c r="J5" i="9" s="1"/>
  <c r="J6" i="9" s="1"/>
  <c r="J7" i="9" s="1"/>
  <c r="J9" i="9" s="1"/>
  <c r="J10" i="9" s="1"/>
  <c r="J11" i="9" s="1"/>
  <c r="J12" i="9" s="1"/>
  <c r="J13" i="9" s="1"/>
  <c r="J14" i="9" s="1"/>
  <c r="J16" i="9" s="1"/>
  <c r="J17" i="9" s="1"/>
  <c r="J18" i="9" s="1"/>
  <c r="J19" i="9" s="1"/>
  <c r="J20" i="9" s="1"/>
  <c r="J21" i="9" s="1"/>
  <c r="J23" i="9" s="1"/>
  <c r="J24" i="9" s="1"/>
  <c r="J25" i="9" s="1"/>
  <c r="J26" i="9" s="1"/>
  <c r="J27" i="9" s="1"/>
  <c r="J28" i="9" s="1"/>
  <c r="J30" i="9" s="1"/>
  <c r="J31" i="9" s="1"/>
  <c r="J33" i="9" s="1"/>
  <c r="J34" i="9" s="1"/>
  <c r="J35" i="9" s="1"/>
  <c r="J37" i="9" s="1"/>
  <c r="J38" i="9" s="1"/>
  <c r="J39" i="9" s="1"/>
  <c r="J40" i="9" s="1"/>
  <c r="J41" i="9" s="1"/>
  <c r="J42" i="9" s="1"/>
  <c r="J44" i="9" s="1"/>
  <c r="J45" i="9" s="1"/>
  <c r="J46" i="9" s="1"/>
  <c r="J47" i="9" s="1"/>
  <c r="J48" i="9" s="1"/>
  <c r="J49" i="9" s="1"/>
  <c r="J51" i="9" s="1"/>
  <c r="J52" i="9" s="1"/>
  <c r="J53" i="9" s="1"/>
  <c r="J55" i="9" s="1"/>
  <c r="J56" i="9" s="1"/>
  <c r="J58" i="9" s="1"/>
  <c r="J59" i="9" s="1"/>
  <c r="J60" i="9" s="1"/>
  <c r="J61" i="9" s="1"/>
  <c r="J62" i="9" s="1"/>
  <c r="J65" i="9" s="1"/>
  <c r="J66" i="9" s="1"/>
  <c r="J67" i="9" s="1"/>
  <c r="J68" i="9" s="1"/>
  <c r="J69" i="9" s="1"/>
  <c r="J70" i="9" s="1"/>
  <c r="J72" i="9" s="1"/>
  <c r="J73" i="9" s="1"/>
  <c r="J74" i="9" s="1"/>
  <c r="J75" i="9" s="1"/>
  <c r="J76" i="9" s="1"/>
  <c r="J77" i="9" s="1"/>
  <c r="J79" i="9" s="1"/>
  <c r="J80" i="9" s="1"/>
  <c r="J81" i="9" s="1"/>
  <c r="J82" i="9" s="1"/>
  <c r="J83" i="9" s="1"/>
  <c r="J84" i="9" s="1"/>
  <c r="J86" i="9" s="1"/>
  <c r="J87" i="9" s="1"/>
  <c r="J88" i="9" s="1"/>
  <c r="J89" i="9" s="1"/>
  <c r="J90" i="9" s="1"/>
  <c r="J91" i="9" s="1"/>
  <c r="J94" i="9" s="1"/>
  <c r="J96" i="9" s="1"/>
  <c r="J97" i="9" s="1"/>
  <c r="J98" i="9" s="1"/>
  <c r="J100" i="9" s="1"/>
  <c r="J101" i="9" s="1"/>
  <c r="I3" i="9"/>
  <c r="I4" i="9" s="1"/>
  <c r="I5" i="9" s="1"/>
  <c r="I6" i="9" s="1"/>
  <c r="I7" i="9" s="1"/>
  <c r="I9" i="9" s="1"/>
  <c r="I10" i="9" s="1"/>
  <c r="I11" i="9" s="1"/>
  <c r="I12" i="9" s="1"/>
  <c r="I13" i="9" s="1"/>
  <c r="I14" i="9" s="1"/>
  <c r="I16" i="9" s="1"/>
  <c r="I17" i="9" s="1"/>
  <c r="I18" i="9" s="1"/>
  <c r="I19" i="9" s="1"/>
  <c r="I20" i="9" s="1"/>
  <c r="I21" i="9" s="1"/>
  <c r="I23" i="9" s="1"/>
  <c r="I24" i="9" s="1"/>
  <c r="I25" i="9" s="1"/>
  <c r="I26" i="9" s="1"/>
  <c r="I27" i="9" s="1"/>
  <c r="I28" i="9" s="1"/>
  <c r="I30" i="9" s="1"/>
  <c r="I31" i="9" s="1"/>
  <c r="I33" i="9" s="1"/>
  <c r="I34" i="9" s="1"/>
  <c r="I35" i="9" s="1"/>
  <c r="I37" i="9" s="1"/>
  <c r="I38" i="9" s="1"/>
  <c r="I39" i="9" s="1"/>
  <c r="I40" i="9" s="1"/>
  <c r="I41" i="9" s="1"/>
  <c r="I42" i="9" s="1"/>
  <c r="I44" i="9" s="1"/>
  <c r="I45" i="9" s="1"/>
  <c r="I46" i="9" s="1"/>
  <c r="I47" i="9" s="1"/>
  <c r="I48" i="9" s="1"/>
  <c r="I49" i="9" s="1"/>
  <c r="I51" i="9" s="1"/>
  <c r="I52" i="9" s="1"/>
  <c r="I53" i="9" s="1"/>
  <c r="I55" i="9" s="1"/>
  <c r="I56" i="9" s="1"/>
  <c r="I58" i="9" s="1"/>
  <c r="I59" i="9" s="1"/>
  <c r="I60" i="9" s="1"/>
  <c r="I61" i="9" s="1"/>
  <c r="I62" i="9" s="1"/>
  <c r="I65" i="9" s="1"/>
  <c r="I66" i="9" s="1"/>
  <c r="I67" i="9" s="1"/>
  <c r="I68" i="9" s="1"/>
  <c r="I69" i="9" s="1"/>
  <c r="I70" i="9" s="1"/>
  <c r="I72" i="9" s="1"/>
  <c r="I73" i="9" s="1"/>
  <c r="I74" i="9" s="1"/>
  <c r="I75" i="9" s="1"/>
  <c r="I76" i="9" s="1"/>
  <c r="I77" i="9" s="1"/>
  <c r="I79" i="9" s="1"/>
  <c r="I80" i="9" s="1"/>
  <c r="I81" i="9" s="1"/>
  <c r="I82" i="9" s="1"/>
  <c r="I83" i="9" s="1"/>
  <c r="I84" i="9" s="1"/>
  <c r="I86" i="9" s="1"/>
  <c r="I87" i="9" s="1"/>
  <c r="I88" i="9" s="1"/>
  <c r="I89" i="9" s="1"/>
  <c r="I90" i="9" s="1"/>
  <c r="I91" i="9" s="1"/>
  <c r="I94" i="9" s="1"/>
  <c r="I96" i="9" s="1"/>
  <c r="I97" i="9" s="1"/>
  <c r="I98" i="9" s="1"/>
  <c r="I100" i="9" s="1"/>
  <c r="I101" i="9" s="1"/>
  <c r="I32" i="13"/>
  <c r="H32" i="13"/>
  <c r="E32" i="13"/>
  <c r="D32" i="13"/>
  <c r="C32" i="13"/>
  <c r="F31" i="13"/>
  <c r="G31" i="13" s="1"/>
  <c r="F30" i="13"/>
  <c r="G30" i="13" s="1"/>
  <c r="F29" i="13"/>
  <c r="G29" i="13" s="1"/>
  <c r="F28" i="13"/>
  <c r="G28" i="13" s="1"/>
  <c r="F27" i="13"/>
  <c r="G27" i="13" s="1"/>
  <c r="F26" i="13"/>
  <c r="G26" i="13" s="1"/>
  <c r="G32" i="13" s="1"/>
  <c r="I21" i="13"/>
  <c r="H21" i="13"/>
  <c r="E21" i="13"/>
  <c r="D21" i="13"/>
  <c r="C21" i="13"/>
  <c r="F20" i="13"/>
  <c r="G20" i="13" s="1"/>
  <c r="F19" i="13"/>
  <c r="G19" i="13" s="1"/>
  <c r="F18" i="13"/>
  <c r="G18" i="13" s="1"/>
  <c r="F17" i="13"/>
  <c r="G17" i="13" s="1"/>
  <c r="F16" i="13"/>
  <c r="G16" i="13" s="1"/>
  <c r="F15" i="13"/>
  <c r="G15" i="13" s="1"/>
  <c r="I10" i="13"/>
  <c r="H10" i="13"/>
  <c r="E10" i="13"/>
  <c r="D10" i="13"/>
  <c r="C10" i="13"/>
  <c r="F9" i="13"/>
  <c r="G9" i="13" s="1"/>
  <c r="F8" i="13"/>
  <c r="G8" i="13" s="1"/>
  <c r="F7" i="13"/>
  <c r="G7" i="13" s="1"/>
  <c r="F6" i="13"/>
  <c r="G6" i="13" s="1"/>
  <c r="F5" i="13"/>
  <c r="F4" i="13"/>
  <c r="G4" i="13" s="1"/>
  <c r="H12" i="10"/>
  <c r="G12" i="10"/>
  <c r="H11" i="10"/>
  <c r="G11" i="10"/>
  <c r="H10" i="10"/>
  <c r="G10" i="10"/>
  <c r="H7" i="10"/>
  <c r="G7" i="10"/>
  <c r="H5" i="10"/>
  <c r="G5" i="10"/>
  <c r="J3" i="10"/>
  <c r="J4" i="10" s="1"/>
  <c r="J5" i="10" s="1"/>
  <c r="J6" i="10" s="1"/>
  <c r="J7" i="10" s="1"/>
  <c r="J9" i="10" s="1"/>
  <c r="J10" i="10" s="1"/>
  <c r="J11" i="10" s="1"/>
  <c r="J12" i="10" s="1"/>
  <c r="J13" i="10" s="1"/>
  <c r="J14" i="10" s="1"/>
  <c r="J16" i="10" s="1"/>
  <c r="J17" i="10" s="1"/>
  <c r="J18" i="10" s="1"/>
  <c r="J19" i="10" s="1"/>
  <c r="J20" i="10" s="1"/>
  <c r="J21" i="10" s="1"/>
  <c r="J23" i="10" s="1"/>
  <c r="J24" i="10" s="1"/>
  <c r="J25" i="10" s="1"/>
  <c r="J26" i="10" s="1"/>
  <c r="J27" i="10" s="1"/>
  <c r="J28" i="10" s="1"/>
  <c r="J31" i="10" s="1"/>
  <c r="I3" i="10"/>
  <c r="H4" i="10"/>
  <c r="G4" i="10"/>
  <c r="H3" i="10"/>
  <c r="G3" i="10"/>
  <c r="V246" i="11" l="1"/>
  <c r="X246" i="11" s="1"/>
  <c r="V199" i="11"/>
  <c r="X199" i="11" s="1"/>
  <c r="V2" i="11"/>
  <c r="X2" i="11" s="1"/>
  <c r="V210" i="11"/>
  <c r="X210" i="11" s="1"/>
  <c r="V245" i="11"/>
  <c r="X245" i="11" s="1"/>
  <c r="V280" i="11"/>
  <c r="X280" i="11" s="1"/>
  <c r="V259" i="11"/>
  <c r="X259" i="11" s="1"/>
  <c r="V65" i="11"/>
  <c r="X65" i="11" s="1"/>
  <c r="V145" i="11"/>
  <c r="X145" i="11" s="1"/>
  <c r="V205" i="11"/>
  <c r="X205" i="11" s="1"/>
  <c r="V118" i="11"/>
  <c r="X118" i="11" s="1"/>
  <c r="V119" i="11"/>
  <c r="X119" i="11" s="1"/>
  <c r="V94" i="11"/>
  <c r="X94" i="11" s="1"/>
  <c r="V150" i="11"/>
  <c r="X150" i="11" s="1"/>
  <c r="V212" i="11"/>
  <c r="X212" i="11" s="1"/>
  <c r="V185" i="11"/>
  <c r="X185" i="11" s="1"/>
  <c r="V23" i="11"/>
  <c r="X23" i="11" s="1"/>
  <c r="V266" i="11"/>
  <c r="X266" i="11" s="1"/>
  <c r="V336" i="11"/>
  <c r="X336" i="11" s="1"/>
  <c r="V183" i="11"/>
  <c r="X183" i="11" s="1"/>
  <c r="V160" i="11"/>
  <c r="X160" i="11" s="1"/>
  <c r="V201" i="11"/>
  <c r="X201" i="11" s="1"/>
  <c r="V236" i="11"/>
  <c r="X236" i="11" s="1"/>
  <c r="V215" i="11"/>
  <c r="X215" i="11" s="1"/>
  <c r="V77" i="11"/>
  <c r="X77" i="11" s="1"/>
  <c r="V318" i="11"/>
  <c r="X318" i="11" s="1"/>
  <c r="V159" i="11"/>
  <c r="X159" i="11" s="1"/>
  <c r="V91" i="11"/>
  <c r="X91" i="11" s="1"/>
  <c r="V299" i="11"/>
  <c r="X299" i="11" s="1"/>
  <c r="V157" i="11"/>
  <c r="X157" i="11" s="1"/>
  <c r="V197" i="11"/>
  <c r="X197" i="11" s="1"/>
  <c r="V232" i="11"/>
  <c r="X232" i="11" s="1"/>
  <c r="V211" i="11"/>
  <c r="X211" i="11" s="1"/>
  <c r="V59" i="11"/>
  <c r="X59" i="11" s="1"/>
  <c r="V350" i="11"/>
  <c r="X350" i="11" s="1"/>
  <c r="V194" i="11"/>
  <c r="X194" i="11" s="1"/>
  <c r="V173" i="11"/>
  <c r="X173" i="11" s="1"/>
  <c r="V186" i="11"/>
  <c r="X186" i="11" s="1"/>
  <c r="V53" i="11"/>
  <c r="X53" i="11" s="1"/>
  <c r="V278" i="11"/>
  <c r="X278" i="11" s="1"/>
  <c r="V359" i="11"/>
  <c r="X359" i="11" s="1"/>
  <c r="V8" i="11"/>
  <c r="X8" i="11" s="1"/>
  <c r="V99" i="11"/>
  <c r="X99" i="11" s="1"/>
  <c r="V155" i="11"/>
  <c r="X155" i="11" s="1"/>
  <c r="V156" i="11"/>
  <c r="X156" i="11" s="1"/>
  <c r="V295" i="11"/>
  <c r="X295" i="11" s="1"/>
  <c r="V169" i="11"/>
  <c r="X169" i="11" s="1"/>
  <c r="V213" i="11"/>
  <c r="X213" i="11" s="1"/>
  <c r="V248" i="11"/>
  <c r="X248" i="11" s="1"/>
  <c r="V227" i="11"/>
  <c r="X227" i="11" s="1"/>
  <c r="V15" i="11"/>
  <c r="X15" i="11" s="1"/>
  <c r="V330" i="11"/>
  <c r="X330" i="11" s="1"/>
  <c r="V79" i="11"/>
  <c r="X79" i="11" s="1"/>
  <c r="V142" i="11"/>
  <c r="X142" i="11" s="1"/>
  <c r="V366" i="11"/>
  <c r="X366" i="11" s="1"/>
  <c r="V126" i="11"/>
  <c r="X126" i="11" s="1"/>
  <c r="V102" i="11"/>
  <c r="X102" i="11" s="1"/>
  <c r="V137" i="11"/>
  <c r="X137" i="11" s="1"/>
  <c r="V127" i="11"/>
  <c r="X127" i="11" s="1"/>
  <c r="V202" i="11"/>
  <c r="X202" i="11" s="1"/>
  <c r="V272" i="11"/>
  <c r="X272" i="11" s="1"/>
  <c r="V30" i="11"/>
  <c r="X30" i="11" s="1"/>
  <c r="V235" i="11"/>
  <c r="X235" i="11" s="1"/>
  <c r="V184" i="11"/>
  <c r="X184" i="11" s="1"/>
  <c r="V144" i="11"/>
  <c r="X144" i="11" s="1"/>
  <c r="V204" i="11"/>
  <c r="X204" i="11" s="1"/>
  <c r="V179" i="11"/>
  <c r="X179" i="11" s="1"/>
  <c r="V7" i="11"/>
  <c r="X7" i="11" s="1"/>
  <c r="V254" i="11"/>
  <c r="X254" i="11" s="1"/>
  <c r="V324" i="11"/>
  <c r="X324" i="11" s="1"/>
  <c r="V285" i="11"/>
  <c r="X285" i="11" s="1"/>
  <c r="V203" i="11"/>
  <c r="X203" i="11" s="1"/>
  <c r="V181" i="11"/>
  <c r="X181" i="11" s="1"/>
  <c r="V141" i="11"/>
  <c r="X141" i="11" s="1"/>
  <c r="V200" i="11"/>
  <c r="X200" i="11" s="1"/>
  <c r="V45" i="11"/>
  <c r="X45" i="11" s="1"/>
  <c r="V316" i="11"/>
  <c r="X316" i="11" s="1"/>
  <c r="V97" i="11"/>
  <c r="X97" i="11" s="1"/>
  <c r="V153" i="11"/>
  <c r="X153" i="11" s="1"/>
  <c r="V216" i="11"/>
  <c r="X216" i="11" s="1"/>
  <c r="V193" i="11"/>
  <c r="X193" i="11" s="1"/>
  <c r="V32" i="11"/>
  <c r="X32" i="11" s="1"/>
  <c r="V298" i="11"/>
  <c r="X298" i="11" s="1"/>
  <c r="V90" i="11"/>
  <c r="X90" i="11" s="1"/>
  <c r="V152" i="11"/>
  <c r="X152" i="11" s="1"/>
  <c r="V334" i="11"/>
  <c r="X334" i="11" s="1"/>
  <c r="V82" i="11"/>
  <c r="X82" i="11" s="1"/>
  <c r="V174" i="11"/>
  <c r="X174" i="11" s="1"/>
  <c r="V110" i="11"/>
  <c r="X110" i="11" s="1"/>
  <c r="V115" i="11"/>
  <c r="X115" i="11" s="1"/>
  <c r="V192" i="11"/>
  <c r="X192" i="11" s="1"/>
  <c r="V208" i="11"/>
  <c r="X208" i="11" s="1"/>
  <c r="V39" i="11"/>
  <c r="X39" i="11" s="1"/>
  <c r="V358" i="11"/>
  <c r="X358" i="11" s="1"/>
  <c r="V120" i="11"/>
  <c r="X120" i="11" s="1"/>
  <c r="V76" i="11"/>
  <c r="X76" i="11" s="1"/>
  <c r="V131" i="11"/>
  <c r="X131" i="11" s="1"/>
  <c r="V95" i="11"/>
  <c r="X95" i="11" s="1"/>
  <c r="V28" i="11"/>
  <c r="X28" i="11" s="1"/>
  <c r="V187" i="11"/>
  <c r="X187" i="11" s="1"/>
  <c r="V228" i="11"/>
  <c r="X228" i="11" s="1"/>
  <c r="V148" i="11"/>
  <c r="X148" i="11" s="1"/>
  <c r="V221" i="11"/>
  <c r="X221" i="11" s="1"/>
  <c r="V354" i="11"/>
  <c r="X354" i="11" s="1"/>
  <c r="V117" i="11"/>
  <c r="X117" i="11" s="1"/>
  <c r="V73" i="11"/>
  <c r="X73" i="11" s="1"/>
  <c r="V128" i="11"/>
  <c r="X128" i="11" s="1"/>
  <c r="V80" i="11"/>
  <c r="X80" i="11" s="1"/>
  <c r="V196" i="11"/>
  <c r="X196" i="11" s="1"/>
  <c r="V222" i="11"/>
  <c r="X222" i="11" s="1"/>
  <c r="V292" i="11"/>
  <c r="X292" i="11" s="1"/>
  <c r="V51" i="11"/>
  <c r="X51" i="11" s="1"/>
  <c r="V282" i="11"/>
  <c r="X282" i="11" s="1"/>
  <c r="V288" i="11"/>
  <c r="X288" i="11" s="1"/>
  <c r="V44" i="11"/>
  <c r="X44" i="11" s="1"/>
  <c r="V220" i="11"/>
  <c r="X220" i="11" s="1"/>
  <c r="V60" i="11"/>
  <c r="X60" i="11" s="1"/>
  <c r="V50" i="11"/>
  <c r="X50" i="11" s="1"/>
  <c r="V310" i="11"/>
  <c r="X310" i="11" s="1"/>
  <c r="V108" i="11"/>
  <c r="X108" i="11" s="1"/>
  <c r="V172" i="11"/>
  <c r="X172" i="11" s="1"/>
  <c r="V281" i="11"/>
  <c r="X281" i="11" s="1"/>
  <c r="V129" i="11"/>
  <c r="X129" i="11" s="1"/>
  <c r="V105" i="11"/>
  <c r="X105" i="11" s="1"/>
  <c r="V140" i="11"/>
  <c r="X140" i="11" s="1"/>
  <c r="V143" i="11"/>
  <c r="X143" i="11" s="1"/>
  <c r="V35" i="11"/>
  <c r="X35" i="11" s="1"/>
  <c r="V234" i="11"/>
  <c r="X234" i="11" s="1"/>
  <c r="V304" i="11"/>
  <c r="X304" i="11" s="1"/>
  <c r="V92" i="11"/>
  <c r="X92" i="11" s="1"/>
  <c r="V302" i="11"/>
  <c r="X302" i="11" s="1"/>
  <c r="V337" i="11"/>
  <c r="X337" i="11" s="1"/>
  <c r="V93" i="11"/>
  <c r="X93" i="11" s="1"/>
  <c r="V351" i="11"/>
  <c r="X351" i="11" s="1"/>
  <c r="V154" i="11"/>
  <c r="X154" i="11" s="1"/>
  <c r="V29" i="11"/>
  <c r="X29" i="11" s="1"/>
  <c r="V365" i="11"/>
  <c r="X365" i="11" s="1"/>
  <c r="V134" i="11"/>
  <c r="X134" i="11" s="1"/>
  <c r="V326" i="11"/>
  <c r="X326" i="11" s="1"/>
  <c r="V361" i="11"/>
  <c r="X361" i="11" s="1"/>
  <c r="V168" i="11"/>
  <c r="X168" i="11" s="1"/>
  <c r="V84" i="11"/>
  <c r="X84" i="11" s="1"/>
  <c r="V5" i="11"/>
  <c r="X5" i="11" s="1"/>
  <c r="V75" i="11"/>
  <c r="X75" i="11" s="1"/>
  <c r="V175" i="11"/>
  <c r="X175" i="11" s="1"/>
  <c r="V125" i="11"/>
  <c r="X125" i="11" s="1"/>
  <c r="V47" i="11"/>
  <c r="X47" i="11" s="1"/>
  <c r="V111" i="11"/>
  <c r="X111" i="11" s="1"/>
  <c r="V322" i="11"/>
  <c r="X322" i="11" s="1"/>
  <c r="V357" i="11"/>
  <c r="X357" i="11" s="1"/>
  <c r="V165" i="11"/>
  <c r="X165" i="11" s="1"/>
  <c r="V81" i="11"/>
  <c r="X81" i="11" s="1"/>
  <c r="V106" i="11"/>
  <c r="X106" i="11" s="1"/>
  <c r="V70" i="11"/>
  <c r="X70" i="11" s="1"/>
  <c r="V151" i="11"/>
  <c r="X151" i="11" s="1"/>
  <c r="V260" i="11"/>
  <c r="X260" i="11" s="1"/>
  <c r="V109" i="11"/>
  <c r="X109" i="11" s="1"/>
  <c r="V218" i="11"/>
  <c r="X218" i="11" s="1"/>
  <c r="V224" i="11"/>
  <c r="X224" i="11" s="1"/>
  <c r="V64" i="11"/>
  <c r="X64" i="11" s="1"/>
  <c r="V16" i="11"/>
  <c r="X16" i="11" s="1"/>
  <c r="V116" i="11"/>
  <c r="X116" i="11" s="1"/>
  <c r="V217" i="11"/>
  <c r="X217" i="11" s="1"/>
  <c r="V9" i="11"/>
  <c r="X9" i="11" s="1"/>
  <c r="V132" i="11"/>
  <c r="X132" i="11" s="1"/>
  <c r="V48" i="11"/>
  <c r="X48" i="11" s="1"/>
  <c r="V338" i="11"/>
  <c r="X338" i="11" s="1"/>
  <c r="V85" i="11"/>
  <c r="X85" i="11" s="1"/>
  <c r="V177" i="11"/>
  <c r="X177" i="11" s="1"/>
  <c r="V113" i="11"/>
  <c r="X113" i="11" s="1"/>
  <c r="V54" i="11"/>
  <c r="X54" i="11" s="1"/>
  <c r="V130" i="11"/>
  <c r="X130" i="11" s="1"/>
  <c r="V163" i="11"/>
  <c r="X163" i="11" s="1"/>
  <c r="V240" i="11"/>
  <c r="X240" i="11" s="1"/>
  <c r="V43" i="11"/>
  <c r="X43" i="11" s="1"/>
  <c r="V270" i="11"/>
  <c r="X270" i="11" s="1"/>
  <c r="V305" i="11"/>
  <c r="X305" i="11" s="1"/>
  <c r="V340" i="11"/>
  <c r="X340" i="11" s="1"/>
  <c r="V319" i="11"/>
  <c r="X319" i="11" s="1"/>
  <c r="V33" i="11"/>
  <c r="X33" i="11" s="1"/>
  <c r="V72" i="11"/>
  <c r="X72" i="11" s="1"/>
  <c r="V301" i="11"/>
  <c r="X301" i="11" s="1"/>
  <c r="V347" i="11"/>
  <c r="X347" i="11" s="1"/>
  <c r="V98" i="11"/>
  <c r="X98" i="11" s="1"/>
  <c r="V294" i="11"/>
  <c r="X294" i="11" s="1"/>
  <c r="V329" i="11"/>
  <c r="X329" i="11" s="1"/>
  <c r="V364" i="11"/>
  <c r="X364" i="11" s="1"/>
  <c r="V343" i="11"/>
  <c r="X343" i="11" s="1"/>
  <c r="V101" i="11"/>
  <c r="X101" i="11" s="1"/>
  <c r="V353" i="11"/>
  <c r="X353" i="11" s="1"/>
  <c r="V335" i="11"/>
  <c r="X335" i="11" s="1"/>
  <c r="V89" i="11"/>
  <c r="X89" i="11" s="1"/>
  <c r="V122" i="11"/>
  <c r="X122" i="11" s="1"/>
  <c r="V290" i="11"/>
  <c r="X290" i="11" s="1"/>
  <c r="V325" i="11"/>
  <c r="X325" i="11" s="1"/>
  <c r="V360" i="11"/>
  <c r="X360" i="11" s="1"/>
  <c r="V339" i="11"/>
  <c r="X339" i="11" s="1"/>
  <c r="V86" i="11"/>
  <c r="X86" i="11" s="1"/>
  <c r="V10" i="11"/>
  <c r="X10" i="11" s="1"/>
  <c r="V114" i="11"/>
  <c r="X114" i="11" s="1"/>
  <c r="V191" i="11"/>
  <c r="X191" i="11" s="1"/>
  <c r="V56" i="11"/>
  <c r="X56" i="11" s="1"/>
  <c r="V138" i="11"/>
  <c r="X138" i="11" s="1"/>
  <c r="V331" i="11"/>
  <c r="X331" i="11" s="1"/>
  <c r="V40" i="11"/>
  <c r="X40" i="11" s="1"/>
  <c r="V252" i="11"/>
  <c r="X252" i="11" s="1"/>
  <c r="V180" i="11"/>
  <c r="X180" i="11" s="1"/>
  <c r="V263" i="11"/>
  <c r="X263" i="11" s="1"/>
  <c r="V71" i="11"/>
  <c r="X71" i="11" s="1"/>
  <c r="V249" i="11"/>
  <c r="X249" i="11" s="1"/>
  <c r="V306" i="11"/>
  <c r="X306" i="11" s="1"/>
  <c r="V341" i="11"/>
  <c r="X341" i="11" s="1"/>
  <c r="V96" i="11"/>
  <c r="X96" i="11" s="1"/>
  <c r="V355" i="11"/>
  <c r="X355" i="11" s="1"/>
  <c r="V190" i="11"/>
  <c r="X190" i="11" s="1"/>
  <c r="V38" i="11"/>
  <c r="X38" i="11" s="1"/>
  <c r="V123" i="11"/>
  <c r="X123" i="11" s="1"/>
  <c r="V87" i="11"/>
  <c r="X87" i="11" s="1"/>
  <c r="V26" i="11"/>
  <c r="X26" i="11" s="1"/>
  <c r="V238" i="11"/>
  <c r="X238" i="11" s="1"/>
  <c r="V273" i="11"/>
  <c r="X273" i="11" s="1"/>
  <c r="V308" i="11"/>
  <c r="X308" i="11" s="1"/>
  <c r="V287" i="11"/>
  <c r="X287" i="11" s="1"/>
  <c r="V164" i="11"/>
  <c r="X164" i="11" s="1"/>
  <c r="V49" i="11"/>
  <c r="X49" i="11" s="1"/>
  <c r="V237" i="11"/>
  <c r="X237" i="11" s="1"/>
  <c r="V283" i="11"/>
  <c r="X283" i="11" s="1"/>
  <c r="V170" i="11"/>
  <c r="X170" i="11" s="1"/>
  <c r="V262" i="11"/>
  <c r="X262" i="11" s="1"/>
  <c r="V297" i="11"/>
  <c r="X297" i="11" s="1"/>
  <c r="V332" i="11"/>
  <c r="X332" i="11" s="1"/>
  <c r="V311" i="11"/>
  <c r="X311" i="11" s="1"/>
  <c r="V27" i="11"/>
  <c r="X27" i="11" s="1"/>
  <c r="V158" i="11"/>
  <c r="X158" i="11" s="1"/>
  <c r="V289" i="11"/>
  <c r="X289" i="11" s="1"/>
  <c r="V271" i="11"/>
  <c r="X271" i="11" s="1"/>
  <c r="V346" i="11"/>
  <c r="X346" i="11" s="1"/>
  <c r="V320" i="11"/>
  <c r="X320" i="11" s="1"/>
  <c r="V258" i="11"/>
  <c r="X258" i="11" s="1"/>
  <c r="V293" i="11"/>
  <c r="X293" i="11" s="1"/>
  <c r="V328" i="11"/>
  <c r="X328" i="11" s="1"/>
  <c r="V307" i="11"/>
  <c r="X307" i="11" s="1"/>
  <c r="V24" i="11"/>
  <c r="X24" i="11" s="1"/>
  <c r="V104" i="11"/>
  <c r="X104" i="11" s="1"/>
  <c r="V321" i="11"/>
  <c r="X321" i="11" s="1"/>
  <c r="V78" i="11"/>
  <c r="X78" i="11" s="1"/>
  <c r="V161" i="11"/>
  <c r="X161" i="11" s="1"/>
  <c r="V317" i="11"/>
  <c r="X317" i="11" s="1"/>
  <c r="V267" i="11"/>
  <c r="X267" i="11" s="1"/>
  <c r="V327" i="11"/>
  <c r="X327" i="11" s="1"/>
  <c r="V58" i="11"/>
  <c r="X58" i="11" s="1"/>
  <c r="V88" i="11"/>
  <c r="X88" i="11" s="1"/>
  <c r="V6" i="11"/>
  <c r="X6" i="11" s="1"/>
  <c r="V55" i="11"/>
  <c r="X55" i="11" s="1"/>
  <c r="V41" i="11"/>
  <c r="X41" i="11" s="1"/>
  <c r="V323" i="11"/>
  <c r="X323" i="11" s="1"/>
  <c r="V315" i="11"/>
  <c r="X315" i="11" s="1"/>
  <c r="V276" i="11"/>
  <c r="X276" i="11" s="1"/>
  <c r="V147" i="11"/>
  <c r="X147" i="11" s="1"/>
  <c r="V265" i="11"/>
  <c r="X265" i="11" s="1"/>
  <c r="V31" i="11"/>
  <c r="X31" i="11" s="1"/>
  <c r="V256" i="11"/>
  <c r="X256" i="11" s="1"/>
  <c r="V275" i="11"/>
  <c r="X275" i="11" s="1"/>
  <c r="V286" i="11"/>
  <c r="X286" i="11" s="1"/>
  <c r="V22" i="11"/>
  <c r="X22" i="11" s="1"/>
  <c r="V348" i="11"/>
  <c r="X348" i="11" s="1"/>
  <c r="V100" i="11"/>
  <c r="X100" i="11" s="1"/>
  <c r="V124" i="11"/>
  <c r="X124" i="11" s="1"/>
  <c r="V345" i="11"/>
  <c r="X345" i="11" s="1"/>
  <c r="V3" i="11"/>
  <c r="X3" i="11" s="1"/>
  <c r="V261" i="11"/>
  <c r="X261" i="11" s="1"/>
  <c r="V352" i="11"/>
  <c r="X352" i="11" s="1"/>
  <c r="V277" i="11"/>
  <c r="X277" i="11" s="1"/>
  <c r="V63" i="11"/>
  <c r="X63" i="11" s="1"/>
  <c r="V149" i="11"/>
  <c r="X149" i="11" s="1"/>
  <c r="V136" i="11"/>
  <c r="X136" i="11" s="1"/>
  <c r="V296" i="11"/>
  <c r="X296" i="11" s="1"/>
  <c r="V342" i="11"/>
  <c r="X342" i="11" s="1"/>
  <c r="V269" i="11"/>
  <c r="X269" i="11" s="1"/>
  <c r="V36" i="11"/>
  <c r="X36" i="11" s="1"/>
  <c r="V66" i="11"/>
  <c r="X66" i="11" s="1"/>
  <c r="V34" i="11"/>
  <c r="X34" i="11" s="1"/>
  <c r="V291" i="11"/>
  <c r="X291" i="11" s="1"/>
  <c r="V219" i="11"/>
  <c r="X219" i="11" s="1"/>
  <c r="V244" i="11"/>
  <c r="X244" i="11" s="1"/>
  <c r="V171" i="11"/>
  <c r="X171" i="11" s="1"/>
  <c r="V233" i="11"/>
  <c r="X233" i="11" s="1"/>
  <c r="V69" i="11"/>
  <c r="X69" i="11" s="1"/>
  <c r="V363" i="11"/>
  <c r="X363" i="11" s="1"/>
  <c r="V243" i="11"/>
  <c r="X243" i="11" s="1"/>
  <c r="V257" i="11"/>
  <c r="X257" i="11" s="1"/>
  <c r="V314" i="11"/>
  <c r="X314" i="11" s="1"/>
  <c r="V313" i="11"/>
  <c r="X313" i="11" s="1"/>
  <c r="V68" i="11"/>
  <c r="X68" i="11" s="1"/>
  <c r="V195" i="11"/>
  <c r="X195" i="11" s="1"/>
  <c r="V309" i="11"/>
  <c r="X309" i="11" s="1"/>
  <c r="V62" i="11"/>
  <c r="X62" i="11" s="1"/>
  <c r="V207" i="11"/>
  <c r="X207" i="11" s="1"/>
  <c r="V303" i="11"/>
  <c r="X303" i="11" s="1"/>
  <c r="V139" i="11"/>
  <c r="X139" i="11" s="1"/>
  <c r="V52" i="11"/>
  <c r="X52" i="11" s="1"/>
  <c r="V349" i="11"/>
  <c r="X349" i="11" s="1"/>
  <c r="V4" i="11"/>
  <c r="X4" i="11" s="1"/>
  <c r="V344" i="11"/>
  <c r="X344" i="11" s="1"/>
  <c r="V133" i="11"/>
  <c r="X133" i="11" s="1"/>
  <c r="V61" i="11"/>
  <c r="X61" i="11" s="1"/>
  <c r="V146" i="11"/>
  <c r="X146" i="11" s="1"/>
  <c r="V209" i="11"/>
  <c r="X209" i="11" s="1"/>
  <c r="V178" i="11"/>
  <c r="X178" i="11" s="1"/>
  <c r="V214" i="11"/>
  <c r="X214" i="11" s="1"/>
  <c r="V274" i="11"/>
  <c r="X274" i="11" s="1"/>
  <c r="V42" i="11"/>
  <c r="X42" i="11" s="1"/>
  <c r="V46" i="11"/>
  <c r="X46" i="11" s="1"/>
  <c r="V255" i="11"/>
  <c r="X255" i="11" s="1"/>
  <c r="V251" i="11"/>
  <c r="X251" i="11" s="1"/>
  <c r="V300" i="11"/>
  <c r="X300" i="11" s="1"/>
  <c r="V225" i="11"/>
  <c r="X225" i="11" s="1"/>
  <c r="V226" i="11"/>
  <c r="X226" i="11" s="1"/>
  <c r="V176" i="11"/>
  <c r="X176" i="11" s="1"/>
  <c r="V189" i="11"/>
  <c r="X189" i="11" s="1"/>
  <c r="V253" i="11"/>
  <c r="X253" i="11" s="1"/>
  <c r="V121" i="11"/>
  <c r="X121" i="11" s="1"/>
  <c r="V57" i="11"/>
  <c r="X57" i="11" s="1"/>
  <c r="V135" i="11"/>
  <c r="X135" i="11" s="1"/>
  <c r="V206" i="11"/>
  <c r="X206" i="11" s="1"/>
  <c r="V279" i="11"/>
  <c r="X279" i="11" s="1"/>
  <c r="V67" i="11"/>
  <c r="X67" i="11" s="1"/>
  <c r="V107" i="11"/>
  <c r="X107" i="11" s="1"/>
  <c r="V229" i="11"/>
  <c r="X229" i="11" s="1"/>
  <c r="V167" i="11"/>
  <c r="X167" i="11" s="1"/>
  <c r="V333" i="11"/>
  <c r="X333" i="11" s="1"/>
  <c r="V230" i="11"/>
  <c r="X230" i="11" s="1"/>
  <c r="V25" i="11"/>
  <c r="X25" i="11" s="1"/>
  <c r="V312" i="11"/>
  <c r="X312" i="11" s="1"/>
  <c r="V198" i="11"/>
  <c r="X198" i="11" s="1"/>
  <c r="V83" i="11"/>
  <c r="X83" i="11" s="1"/>
  <c r="V242" i="11"/>
  <c r="X242" i="11" s="1"/>
  <c r="V188" i="11"/>
  <c r="X188" i="11" s="1"/>
  <c r="V103" i="11"/>
  <c r="X103" i="11" s="1"/>
  <c r="V223" i="11"/>
  <c r="X223" i="11" s="1"/>
  <c r="V182" i="11"/>
  <c r="X182" i="11" s="1"/>
  <c r="V268" i="11"/>
  <c r="X268" i="11" s="1"/>
  <c r="V356" i="11"/>
  <c r="X356" i="11" s="1"/>
  <c r="V162" i="11"/>
  <c r="X162" i="11" s="1"/>
  <c r="V284" i="11"/>
  <c r="X284" i="11" s="1"/>
  <c r="V112" i="11"/>
  <c r="X112" i="11" s="1"/>
  <c r="V166" i="11"/>
  <c r="X166" i="11" s="1"/>
  <c r="V247" i="11"/>
  <c r="X247" i="11" s="1"/>
  <c r="V239" i="11"/>
  <c r="X239" i="11" s="1"/>
  <c r="V37" i="11"/>
  <c r="X37" i="11" s="1"/>
  <c r="V241" i="11"/>
  <c r="X241" i="11" s="1"/>
  <c r="V250" i="11"/>
  <c r="X250" i="11" s="1"/>
  <c r="V231" i="11"/>
  <c r="X231" i="11" s="1"/>
  <c r="V362" i="11"/>
  <c r="X362" i="11" s="1"/>
  <c r="V264" i="11"/>
  <c r="X264" i="11" s="1"/>
  <c r="V74" i="11"/>
  <c r="X74" i="11" s="1"/>
  <c r="V21" i="11"/>
  <c r="X21" i="11" s="1"/>
  <c r="V18" i="11"/>
  <c r="X18" i="11" s="1"/>
  <c r="V17" i="11"/>
  <c r="X17" i="11" s="1"/>
  <c r="V19" i="11"/>
  <c r="X19" i="11" s="1"/>
  <c r="V20" i="11"/>
  <c r="X20" i="11" s="1"/>
  <c r="V14" i="11"/>
  <c r="X14" i="11" s="1"/>
  <c r="V13" i="11"/>
  <c r="X13" i="11" s="1"/>
  <c r="V11" i="11"/>
  <c r="X11" i="11" s="1"/>
  <c r="V12" i="11"/>
  <c r="X12" i="11" s="1"/>
  <c r="AJ5" i="12"/>
  <c r="AJ4" i="12"/>
  <c r="AG10" i="12"/>
  <c r="AG9" i="12"/>
  <c r="AG5" i="12"/>
  <c r="AG4" i="12"/>
  <c r="AC9" i="12"/>
  <c r="AC11" i="12"/>
  <c r="AC10" i="12"/>
  <c r="I4" i="12"/>
  <c r="I5" i="12" s="1"/>
  <c r="I6" i="12" s="1"/>
  <c r="I7" i="12" s="1"/>
  <c r="I9" i="12" s="1"/>
  <c r="I10" i="12" s="1"/>
  <c r="I11" i="12" s="1"/>
  <c r="I12" i="12" s="1"/>
  <c r="I13" i="12" s="1"/>
  <c r="I14" i="12" s="1"/>
  <c r="I16" i="12" s="1"/>
  <c r="I17" i="12" s="1"/>
  <c r="I18" i="12" s="1"/>
  <c r="I19" i="12" s="1"/>
  <c r="I20" i="12" s="1"/>
  <c r="I21" i="12" s="1"/>
  <c r="I23" i="12" s="1"/>
  <c r="I24" i="12" s="1"/>
  <c r="I25" i="12" s="1"/>
  <c r="I26" i="12" s="1"/>
  <c r="I27" i="12" s="1"/>
  <c r="I28" i="12" s="1"/>
  <c r="I30" i="12" s="1"/>
  <c r="I31" i="12" s="1"/>
  <c r="I32" i="12" s="1"/>
  <c r="I33" i="12" s="1"/>
  <c r="I34" i="12" s="1"/>
  <c r="I35" i="12" s="1"/>
  <c r="I37" i="12" s="1"/>
  <c r="I38" i="12" s="1"/>
  <c r="I39" i="12" s="1"/>
  <c r="I40" i="12" s="1"/>
  <c r="I41" i="12" s="1"/>
  <c r="I42" i="12" s="1"/>
  <c r="I44" i="12" s="1"/>
  <c r="I45" i="12" s="1"/>
  <c r="I46" i="12" s="1"/>
  <c r="I47" i="12" s="1"/>
  <c r="I48" i="12" s="1"/>
  <c r="I49" i="12" s="1"/>
  <c r="AF9" i="10"/>
  <c r="AF10" i="10"/>
  <c r="AI5" i="10"/>
  <c r="AI4" i="10"/>
  <c r="I4" i="10"/>
  <c r="I5" i="10" s="1"/>
  <c r="I6" i="10" s="1"/>
  <c r="I7" i="10" s="1"/>
  <c r="I9" i="10" s="1"/>
  <c r="I10" i="10" s="1"/>
  <c r="I11" i="10" s="1"/>
  <c r="I12" i="10" s="1"/>
  <c r="I13" i="10" s="1"/>
  <c r="I14" i="10" s="1"/>
  <c r="I16" i="10" s="1"/>
  <c r="I17" i="10" s="1"/>
  <c r="I18" i="10" s="1"/>
  <c r="I19" i="10" s="1"/>
  <c r="I20" i="10" s="1"/>
  <c r="I21" i="10" s="1"/>
  <c r="I23" i="10" s="1"/>
  <c r="I24" i="10" s="1"/>
  <c r="I25" i="10" s="1"/>
  <c r="I26" i="10" s="1"/>
  <c r="I27" i="10" s="1"/>
  <c r="I28" i="10" s="1"/>
  <c r="I31" i="10" s="1"/>
  <c r="AF11" i="10"/>
  <c r="AB9" i="10"/>
  <c r="AF5" i="10"/>
  <c r="AB10" i="10"/>
  <c r="AB11" i="10"/>
  <c r="AF4" i="10"/>
  <c r="AB10" i="8"/>
  <c r="AB11" i="8"/>
  <c r="I4" i="8"/>
  <c r="I5" i="8" s="1"/>
  <c r="I6" i="8" s="1"/>
  <c r="I7" i="8" s="1"/>
  <c r="I9" i="8" s="1"/>
  <c r="I10" i="8" s="1"/>
  <c r="I12" i="8" s="1"/>
  <c r="I13" i="8" s="1"/>
  <c r="I14" i="8" s="1"/>
  <c r="I16" i="8" s="1"/>
  <c r="I17" i="8" s="1"/>
  <c r="I18" i="8" s="1"/>
  <c r="I19" i="8" s="1"/>
  <c r="I20" i="8" s="1"/>
  <c r="I21" i="8" s="1"/>
  <c r="I23" i="8" s="1"/>
  <c r="I24" i="8" s="1"/>
  <c r="I25" i="8" s="1"/>
  <c r="I26" i="8" s="1"/>
  <c r="I27" i="8" s="1"/>
  <c r="I28" i="8" s="1"/>
  <c r="I30" i="8" s="1"/>
  <c r="I31" i="8" s="1"/>
  <c r="I33" i="8" s="1"/>
  <c r="I34" i="8" s="1"/>
  <c r="I35" i="8" s="1"/>
  <c r="I37" i="8" s="1"/>
  <c r="I38" i="8" s="1"/>
  <c r="I39" i="8" s="1"/>
  <c r="I40" i="8" s="1"/>
  <c r="I41" i="8" s="1"/>
  <c r="I42" i="8" s="1"/>
  <c r="I44" i="8" s="1"/>
  <c r="I45" i="8" s="1"/>
  <c r="I46" i="8" s="1"/>
  <c r="I47" i="8" s="1"/>
  <c r="I48" i="8" s="1"/>
  <c r="I49" i="8" s="1"/>
  <c r="I51" i="8" s="1"/>
  <c r="I52" i="8" s="1"/>
  <c r="I53" i="8" s="1"/>
  <c r="I54" i="8" s="1"/>
  <c r="I55" i="8" s="1"/>
  <c r="I56" i="8" s="1"/>
  <c r="I58" i="8" s="1"/>
  <c r="I59" i="8" s="1"/>
  <c r="I60" i="8" s="1"/>
  <c r="AA11" i="9"/>
  <c r="AA10" i="9"/>
  <c r="AE11" i="9"/>
  <c r="AE10" i="9"/>
  <c r="J67" i="11"/>
  <c r="J68" i="11" s="1"/>
  <c r="J69" i="11"/>
  <c r="J70" i="11" s="1"/>
  <c r="J72" i="11" s="1"/>
  <c r="J73" i="11" s="1"/>
  <c r="J74" i="11" s="1"/>
  <c r="J75" i="11" s="1"/>
  <c r="J76" i="11" s="1"/>
  <c r="J77" i="11" s="1"/>
  <c r="I67" i="11"/>
  <c r="I68" i="11" s="1"/>
  <c r="I69" i="11"/>
  <c r="I70" i="11" s="1"/>
  <c r="I72" i="11" s="1"/>
  <c r="I73" i="11" s="1"/>
  <c r="I74" i="11" s="1"/>
  <c r="I75" i="11" s="1"/>
  <c r="I76" i="11" s="1"/>
  <c r="I77" i="11" s="1"/>
  <c r="AF4" i="8"/>
  <c r="AF5" i="8"/>
  <c r="AB9" i="8"/>
  <c r="AI5" i="8"/>
  <c r="AI4" i="8"/>
  <c r="AF9" i="8"/>
  <c r="AA9" i="9"/>
  <c r="AE9" i="9"/>
  <c r="AH4" i="9"/>
  <c r="AH5" i="9"/>
  <c r="AE4" i="9"/>
  <c r="AE5" i="9"/>
  <c r="J102" i="9"/>
  <c r="J103" i="9" s="1"/>
  <c r="J104" i="9" s="1"/>
  <c r="J105" i="9" s="1"/>
  <c r="J107" i="9" s="1"/>
  <c r="J108" i="9" s="1"/>
  <c r="I102" i="9"/>
  <c r="I103" i="9" s="1"/>
  <c r="I104" i="9" s="1"/>
  <c r="I105" i="9" s="1"/>
  <c r="I107" i="9" s="1"/>
  <c r="I108" i="9" s="1"/>
  <c r="G21" i="13"/>
  <c r="F32" i="13"/>
  <c r="F21" i="13"/>
  <c r="F10" i="13"/>
  <c r="G5" i="13"/>
  <c r="G10" i="13" s="1"/>
  <c r="H5" i="18"/>
  <c r="G5" i="18"/>
  <c r="H4" i="18"/>
  <c r="G4" i="18"/>
  <c r="J3" i="18"/>
  <c r="J4" i="18" s="1"/>
  <c r="J5" i="18" s="1"/>
  <c r="J6" i="18" s="1"/>
  <c r="J7" i="18" s="1"/>
  <c r="J9" i="18" s="1"/>
  <c r="J10" i="18" s="1"/>
  <c r="J11" i="18" s="1"/>
  <c r="J12" i="18" s="1"/>
  <c r="J13" i="18" s="1"/>
  <c r="J14" i="18" s="1"/>
  <c r="J16" i="18" s="1"/>
  <c r="J17" i="18" s="1"/>
  <c r="J18" i="18" s="1"/>
  <c r="J19" i="18" s="1"/>
  <c r="J20" i="18" s="1"/>
  <c r="J21" i="18" s="1"/>
  <c r="J23" i="18" s="1"/>
  <c r="J24" i="18" s="1"/>
  <c r="J25" i="18" s="1"/>
  <c r="J26" i="18" s="1"/>
  <c r="J27" i="18" s="1"/>
  <c r="J28" i="18" s="1"/>
  <c r="J31" i="18" s="1"/>
  <c r="J33" i="18" s="1"/>
  <c r="J34" i="18" s="1"/>
  <c r="J35" i="18" s="1"/>
  <c r="J37" i="18" s="1"/>
  <c r="J38" i="18" s="1"/>
  <c r="I3" i="18"/>
  <c r="H3" i="18"/>
  <c r="G3" i="18"/>
  <c r="AG11" i="11" l="1"/>
  <c r="AG6" i="12"/>
  <c r="AD5" i="12" s="1"/>
  <c r="AF6" i="8"/>
  <c r="AC5" i="8" s="1"/>
  <c r="AC5" i="12"/>
  <c r="AG11" i="12"/>
  <c r="AJ6" i="12"/>
  <c r="AD6" i="12" s="1"/>
  <c r="AI6" i="10"/>
  <c r="AC6" i="10" s="1"/>
  <c r="AF6" i="10"/>
  <c r="AC5" i="10" s="1"/>
  <c r="AF11" i="8"/>
  <c r="AF5" i="18"/>
  <c r="AB10" i="18"/>
  <c r="AB9" i="18"/>
  <c r="AF4" i="18"/>
  <c r="AI5" i="18"/>
  <c r="AI4" i="18"/>
  <c r="AB11" i="18"/>
  <c r="AF10" i="18"/>
  <c r="AF9" i="18"/>
  <c r="I4" i="18"/>
  <c r="I5" i="18" s="1"/>
  <c r="I6" i="18" s="1"/>
  <c r="I7" i="18" s="1"/>
  <c r="I9" i="18" s="1"/>
  <c r="I10" i="18" s="1"/>
  <c r="I11" i="18" s="1"/>
  <c r="I12" i="18" s="1"/>
  <c r="I13" i="18" s="1"/>
  <c r="I14" i="18" s="1"/>
  <c r="I16" i="18" s="1"/>
  <c r="I17" i="18" s="1"/>
  <c r="I18" i="18" s="1"/>
  <c r="I19" i="18" s="1"/>
  <c r="I20" i="18" s="1"/>
  <c r="I21" i="18" s="1"/>
  <c r="I23" i="18" s="1"/>
  <c r="I24" i="18" s="1"/>
  <c r="I25" i="18" s="1"/>
  <c r="I26" i="18" s="1"/>
  <c r="I27" i="18" s="1"/>
  <c r="I28" i="18" s="1"/>
  <c r="I31" i="18" s="1"/>
  <c r="J39" i="18"/>
  <c r="J41" i="18"/>
  <c r="J42" i="18" s="1"/>
  <c r="J44" i="18" s="1"/>
  <c r="J45" i="18" s="1"/>
  <c r="J46" i="18" s="1"/>
  <c r="J47" i="18" s="1"/>
  <c r="J48" i="18" s="1"/>
  <c r="J49" i="18" s="1"/>
  <c r="J51" i="18" s="1"/>
  <c r="J52" i="18" s="1"/>
  <c r="J53" i="18" s="1"/>
  <c r="J54" i="18" s="1"/>
  <c r="J55" i="18" s="1"/>
  <c r="J56" i="18" s="1"/>
  <c r="J58" i="18" s="1"/>
  <c r="J59" i="18" s="1"/>
  <c r="J60" i="18" s="1"/>
  <c r="J61" i="18" s="1"/>
  <c r="J62" i="18" s="1"/>
  <c r="J65" i="18" s="1"/>
  <c r="J66" i="18" s="1"/>
  <c r="J67" i="18" s="1"/>
  <c r="J68" i="18" s="1"/>
  <c r="J69" i="18" s="1"/>
  <c r="J70" i="18" s="1"/>
  <c r="J72" i="18" s="1"/>
  <c r="J73" i="18" s="1"/>
  <c r="J74" i="18" s="1"/>
  <c r="J75" i="18" s="1"/>
  <c r="J76" i="18" s="1"/>
  <c r="J77" i="18" s="1"/>
  <c r="J79" i="18" s="1"/>
  <c r="J80" i="18" s="1"/>
  <c r="J81" i="18" s="1"/>
  <c r="J84" i="18" s="1"/>
  <c r="J86" i="18" s="1"/>
  <c r="J87" i="18" s="1"/>
  <c r="J88" i="18" s="1"/>
  <c r="J89" i="18" s="1"/>
  <c r="J90" i="18" s="1"/>
  <c r="J91" i="18" s="1"/>
  <c r="J94" i="18" s="1"/>
  <c r="J95" i="18" s="1"/>
  <c r="J96" i="18" s="1"/>
  <c r="J97" i="18" s="1"/>
  <c r="J98" i="18" s="1"/>
  <c r="J100" i="18" s="1"/>
  <c r="J101" i="18" s="1"/>
  <c r="J102" i="18" s="1"/>
  <c r="J103" i="18" s="1"/>
  <c r="J104" i="18" s="1"/>
  <c r="J105" i="18" s="1"/>
  <c r="J107" i="18" s="1"/>
  <c r="J108" i="18" s="1"/>
  <c r="J109" i="18" s="1"/>
  <c r="J110" i="18" s="1"/>
  <c r="J111" i="18" s="1"/>
  <c r="J112" i="18" s="1"/>
  <c r="J114" i="18" s="1"/>
  <c r="J115" i="18" s="1"/>
  <c r="J116" i="18" s="1"/>
  <c r="J117" i="18" s="1"/>
  <c r="J118" i="18" s="1"/>
  <c r="J119" i="18" s="1"/>
  <c r="J121" i="18" s="1"/>
  <c r="J122" i="18" s="1"/>
  <c r="J123" i="18" s="1"/>
  <c r="AB5" i="8"/>
  <c r="AI6" i="8"/>
  <c r="AB6" i="8" s="1"/>
  <c r="AE6" i="9"/>
  <c r="AA5" i="9" s="1"/>
  <c r="AH6" i="9"/>
  <c r="AA6" i="9" s="1"/>
  <c r="I109" i="9"/>
  <c r="I110" i="9" s="1"/>
  <c r="I111" i="9" s="1"/>
  <c r="I112" i="9" s="1"/>
  <c r="I114" i="9" s="1"/>
  <c r="I115" i="9" s="1"/>
  <c r="J109" i="9"/>
  <c r="J110" i="9" s="1"/>
  <c r="J111" i="9" s="1"/>
  <c r="J112" i="9" s="1"/>
  <c r="J114" i="9" s="1"/>
  <c r="J115" i="9" s="1"/>
  <c r="V134" i="12" l="1"/>
  <c r="X134" i="12" s="1"/>
  <c r="U134" i="12"/>
  <c r="W134" i="12" s="1"/>
  <c r="I33" i="18"/>
  <c r="I34" i="18" s="1"/>
  <c r="I35" i="18" s="1"/>
  <c r="I37" i="18" s="1"/>
  <c r="I38" i="18" s="1"/>
  <c r="V128" i="12"/>
  <c r="X128" i="12" s="1"/>
  <c r="U128" i="12"/>
  <c r="W128" i="12" s="1"/>
  <c r="V124" i="12"/>
  <c r="X124" i="12" s="1"/>
  <c r="V127" i="12"/>
  <c r="X127" i="12" s="1"/>
  <c r="U130" i="12"/>
  <c r="W130" i="12" s="1"/>
  <c r="V126" i="12"/>
  <c r="X126" i="12" s="1"/>
  <c r="V129" i="12"/>
  <c r="X129" i="12" s="1"/>
  <c r="U132" i="12"/>
  <c r="W132" i="12" s="1"/>
  <c r="V131" i="12"/>
  <c r="X131" i="12" s="1"/>
  <c r="U125" i="12"/>
  <c r="W125" i="12" s="1"/>
  <c r="U124" i="12"/>
  <c r="W124" i="12" s="1"/>
  <c r="U127" i="12"/>
  <c r="W127" i="12" s="1"/>
  <c r="U126" i="12"/>
  <c r="W126" i="12" s="1"/>
  <c r="U131" i="12"/>
  <c r="W131" i="12" s="1"/>
  <c r="V130" i="12"/>
  <c r="X130" i="12" s="1"/>
  <c r="V133" i="12"/>
  <c r="X133" i="12" s="1"/>
  <c r="U133" i="12"/>
  <c r="W133" i="12" s="1"/>
  <c r="V132" i="12"/>
  <c r="X132" i="12" s="1"/>
  <c r="U129" i="12"/>
  <c r="W129" i="12" s="1"/>
  <c r="V125" i="12"/>
  <c r="X125" i="12" s="1"/>
  <c r="U2" i="12"/>
  <c r="W2" i="12" s="1"/>
  <c r="U121" i="12"/>
  <c r="W121" i="12" s="1"/>
  <c r="U117" i="12"/>
  <c r="W117" i="12" s="1"/>
  <c r="U113" i="12"/>
  <c r="W113" i="12" s="1"/>
  <c r="U109" i="12"/>
  <c r="W109" i="12" s="1"/>
  <c r="U105" i="12"/>
  <c r="W105" i="12" s="1"/>
  <c r="U101" i="12"/>
  <c r="W101" i="12" s="1"/>
  <c r="U97" i="12"/>
  <c r="W97" i="12" s="1"/>
  <c r="U93" i="12"/>
  <c r="W93" i="12" s="1"/>
  <c r="U89" i="12"/>
  <c r="W89" i="12" s="1"/>
  <c r="U85" i="12"/>
  <c r="W85" i="12" s="1"/>
  <c r="U81" i="12"/>
  <c r="W81" i="12" s="1"/>
  <c r="U77" i="12"/>
  <c r="W77" i="12" s="1"/>
  <c r="U73" i="12"/>
  <c r="W73" i="12" s="1"/>
  <c r="U69" i="12"/>
  <c r="W69" i="12" s="1"/>
  <c r="U65" i="12"/>
  <c r="W65" i="12" s="1"/>
  <c r="U61" i="12"/>
  <c r="W61" i="12" s="1"/>
  <c r="U57" i="12"/>
  <c r="W57" i="12" s="1"/>
  <c r="U53" i="12"/>
  <c r="W53" i="12" s="1"/>
  <c r="U49" i="12"/>
  <c r="W49" i="12" s="1"/>
  <c r="U45" i="12"/>
  <c r="W45" i="12" s="1"/>
  <c r="U41" i="12"/>
  <c r="W41" i="12" s="1"/>
  <c r="U37" i="12"/>
  <c r="W37" i="12" s="1"/>
  <c r="U33" i="12"/>
  <c r="W33" i="12" s="1"/>
  <c r="U29" i="12"/>
  <c r="W29" i="12" s="1"/>
  <c r="U25" i="12"/>
  <c r="W25" i="12" s="1"/>
  <c r="U21" i="12"/>
  <c r="W21" i="12" s="1"/>
  <c r="U17" i="12"/>
  <c r="W17" i="12" s="1"/>
  <c r="U13" i="12"/>
  <c r="W13" i="12" s="1"/>
  <c r="U9" i="12"/>
  <c r="W9" i="12" s="1"/>
  <c r="U5" i="12"/>
  <c r="W5" i="12" s="1"/>
  <c r="U110" i="12"/>
  <c r="W110" i="12" s="1"/>
  <c r="U90" i="12"/>
  <c r="W90" i="12" s="1"/>
  <c r="U70" i="12"/>
  <c r="W70" i="12" s="1"/>
  <c r="U50" i="12"/>
  <c r="W50" i="12" s="1"/>
  <c r="U30" i="12"/>
  <c r="W30" i="12" s="1"/>
  <c r="U14" i="12"/>
  <c r="W14" i="12" s="1"/>
  <c r="V117" i="12"/>
  <c r="X117" i="12" s="1"/>
  <c r="V97" i="12"/>
  <c r="X97" i="12" s="1"/>
  <c r="V73" i="12"/>
  <c r="X73" i="12" s="1"/>
  <c r="V57" i="12"/>
  <c r="X57" i="12" s="1"/>
  <c r="V41" i="12"/>
  <c r="X41" i="12" s="1"/>
  <c r="V21" i="12"/>
  <c r="X21" i="12" s="1"/>
  <c r="V9" i="12"/>
  <c r="X9" i="12" s="1"/>
  <c r="V3" i="12"/>
  <c r="X3" i="12" s="1"/>
  <c r="V120" i="12"/>
  <c r="X120" i="12" s="1"/>
  <c r="V116" i="12"/>
  <c r="X116" i="12" s="1"/>
  <c r="V112" i="12"/>
  <c r="X112" i="12" s="1"/>
  <c r="V108" i="12"/>
  <c r="X108" i="12" s="1"/>
  <c r="V104" i="12"/>
  <c r="X104" i="12" s="1"/>
  <c r="V100" i="12"/>
  <c r="X100" i="12" s="1"/>
  <c r="V96" i="12"/>
  <c r="X96" i="12" s="1"/>
  <c r="V92" i="12"/>
  <c r="X92" i="12" s="1"/>
  <c r="V88" i="12"/>
  <c r="X88" i="12" s="1"/>
  <c r="V84" i="12"/>
  <c r="X84" i="12" s="1"/>
  <c r="V80" i="12"/>
  <c r="X80" i="12" s="1"/>
  <c r="V76" i="12"/>
  <c r="X76" i="12" s="1"/>
  <c r="V72" i="12"/>
  <c r="X72" i="12" s="1"/>
  <c r="V68" i="12"/>
  <c r="X68" i="12" s="1"/>
  <c r="V64" i="12"/>
  <c r="X64" i="12" s="1"/>
  <c r="V60" i="12"/>
  <c r="X60" i="12" s="1"/>
  <c r="V56" i="12"/>
  <c r="X56" i="12" s="1"/>
  <c r="V52" i="12"/>
  <c r="X52" i="12" s="1"/>
  <c r="V48" i="12"/>
  <c r="X48" i="12" s="1"/>
  <c r="V44" i="12"/>
  <c r="X44" i="12" s="1"/>
  <c r="V40" i="12"/>
  <c r="X40" i="12" s="1"/>
  <c r="V36" i="12"/>
  <c r="X36" i="12" s="1"/>
  <c r="V32" i="12"/>
  <c r="X32" i="12" s="1"/>
  <c r="V28" i="12"/>
  <c r="X28" i="12" s="1"/>
  <c r="V24" i="12"/>
  <c r="X24" i="12" s="1"/>
  <c r="V20" i="12"/>
  <c r="X20" i="12" s="1"/>
  <c r="V16" i="12"/>
  <c r="X16" i="12" s="1"/>
  <c r="V12" i="12"/>
  <c r="X12" i="12" s="1"/>
  <c r="V8" i="12"/>
  <c r="X8" i="12" s="1"/>
  <c r="V4" i="12"/>
  <c r="X4" i="12" s="1"/>
  <c r="U114" i="12"/>
  <c r="W114" i="12" s="1"/>
  <c r="U94" i="12"/>
  <c r="W94" i="12" s="1"/>
  <c r="U74" i="12"/>
  <c r="W74" i="12" s="1"/>
  <c r="U58" i="12"/>
  <c r="W58" i="12" s="1"/>
  <c r="U34" i="12"/>
  <c r="W34" i="12" s="1"/>
  <c r="U18" i="12"/>
  <c r="W18" i="12" s="1"/>
  <c r="V113" i="12"/>
  <c r="X113" i="12" s="1"/>
  <c r="V105" i="12"/>
  <c r="X105" i="12" s="1"/>
  <c r="V85" i="12"/>
  <c r="X85" i="12" s="1"/>
  <c r="V65" i="12"/>
  <c r="X65" i="12" s="1"/>
  <c r="V49" i="12"/>
  <c r="X49" i="12" s="1"/>
  <c r="V25" i="12"/>
  <c r="X25" i="12" s="1"/>
  <c r="V13" i="12"/>
  <c r="X13" i="12" s="1"/>
  <c r="U3" i="12"/>
  <c r="W3" i="12" s="1"/>
  <c r="U120" i="12"/>
  <c r="W120" i="12" s="1"/>
  <c r="U116" i="12"/>
  <c r="W116" i="12" s="1"/>
  <c r="U112" i="12"/>
  <c r="W112" i="12" s="1"/>
  <c r="U108" i="12"/>
  <c r="W108" i="12" s="1"/>
  <c r="U104" i="12"/>
  <c r="W104" i="12" s="1"/>
  <c r="U100" i="12"/>
  <c r="W100" i="12" s="1"/>
  <c r="U96" i="12"/>
  <c r="W96" i="12" s="1"/>
  <c r="U92" i="12"/>
  <c r="W92" i="12" s="1"/>
  <c r="U88" i="12"/>
  <c r="W88" i="12" s="1"/>
  <c r="U84" i="12"/>
  <c r="W84" i="12" s="1"/>
  <c r="U80" i="12"/>
  <c r="W80" i="12" s="1"/>
  <c r="U76" i="12"/>
  <c r="W76" i="12" s="1"/>
  <c r="U72" i="12"/>
  <c r="W72" i="12" s="1"/>
  <c r="U68" i="12"/>
  <c r="W68" i="12" s="1"/>
  <c r="U64" i="12"/>
  <c r="W64" i="12" s="1"/>
  <c r="U60" i="12"/>
  <c r="W60" i="12" s="1"/>
  <c r="U56" i="12"/>
  <c r="W56" i="12" s="1"/>
  <c r="U52" i="12"/>
  <c r="W52" i="12" s="1"/>
  <c r="U48" i="12"/>
  <c r="W48" i="12" s="1"/>
  <c r="U44" i="12"/>
  <c r="W44" i="12" s="1"/>
  <c r="U40" i="12"/>
  <c r="W40" i="12" s="1"/>
  <c r="U36" i="12"/>
  <c r="W36" i="12" s="1"/>
  <c r="U32" i="12"/>
  <c r="W32" i="12" s="1"/>
  <c r="U28" i="12"/>
  <c r="W28" i="12" s="1"/>
  <c r="U24" i="12"/>
  <c r="W24" i="12" s="1"/>
  <c r="U20" i="12"/>
  <c r="W20" i="12" s="1"/>
  <c r="U16" i="12"/>
  <c r="W16" i="12" s="1"/>
  <c r="U12" i="12"/>
  <c r="W12" i="12" s="1"/>
  <c r="U8" i="12"/>
  <c r="W8" i="12" s="1"/>
  <c r="U4" i="12"/>
  <c r="W4" i="12" s="1"/>
  <c r="U102" i="12"/>
  <c r="W102" i="12" s="1"/>
  <c r="U54" i="12"/>
  <c r="W54" i="12" s="1"/>
  <c r="U10" i="12"/>
  <c r="W10" i="12" s="1"/>
  <c r="V89" i="12"/>
  <c r="X89" i="12" s="1"/>
  <c r="V45" i="12"/>
  <c r="X45" i="12" s="1"/>
  <c r="V123" i="12"/>
  <c r="X123" i="12" s="1"/>
  <c r="V119" i="12"/>
  <c r="X119" i="12" s="1"/>
  <c r="V115" i="12"/>
  <c r="X115" i="12" s="1"/>
  <c r="V111" i="12"/>
  <c r="X111" i="12" s="1"/>
  <c r="V107" i="12"/>
  <c r="X107" i="12" s="1"/>
  <c r="V103" i="12"/>
  <c r="X103" i="12" s="1"/>
  <c r="V99" i="12"/>
  <c r="X99" i="12" s="1"/>
  <c r="V95" i="12"/>
  <c r="X95" i="12" s="1"/>
  <c r="V91" i="12"/>
  <c r="X91" i="12" s="1"/>
  <c r="V87" i="12"/>
  <c r="X87" i="12" s="1"/>
  <c r="V83" i="12"/>
  <c r="X83" i="12" s="1"/>
  <c r="V79" i="12"/>
  <c r="X79" i="12" s="1"/>
  <c r="V75" i="12"/>
  <c r="X75" i="12" s="1"/>
  <c r="V71" i="12"/>
  <c r="X71" i="12" s="1"/>
  <c r="V67" i="12"/>
  <c r="X67" i="12" s="1"/>
  <c r="V63" i="12"/>
  <c r="X63" i="12" s="1"/>
  <c r="V59" i="12"/>
  <c r="X59" i="12" s="1"/>
  <c r="V55" i="12"/>
  <c r="X55" i="12" s="1"/>
  <c r="V51" i="12"/>
  <c r="X51" i="12" s="1"/>
  <c r="V47" i="12"/>
  <c r="X47" i="12" s="1"/>
  <c r="V43" i="12"/>
  <c r="X43" i="12" s="1"/>
  <c r="V39" i="12"/>
  <c r="X39" i="12" s="1"/>
  <c r="V35" i="12"/>
  <c r="X35" i="12" s="1"/>
  <c r="V31" i="12"/>
  <c r="X31" i="12" s="1"/>
  <c r="V27" i="12"/>
  <c r="X27" i="12" s="1"/>
  <c r="V23" i="12"/>
  <c r="X23" i="12" s="1"/>
  <c r="V19" i="12"/>
  <c r="X19" i="12" s="1"/>
  <c r="V15" i="12"/>
  <c r="X15" i="12" s="1"/>
  <c r="V11" i="12"/>
  <c r="X11" i="12" s="1"/>
  <c r="V7" i="12"/>
  <c r="X7" i="12" s="1"/>
  <c r="U122" i="12"/>
  <c r="W122" i="12" s="1"/>
  <c r="U82" i="12"/>
  <c r="W82" i="12" s="1"/>
  <c r="U38" i="12"/>
  <c r="W38" i="12" s="1"/>
  <c r="V81" i="12"/>
  <c r="X81" i="12" s="1"/>
  <c r="V33" i="12"/>
  <c r="X33" i="12" s="1"/>
  <c r="U123" i="12"/>
  <c r="W123" i="12" s="1"/>
  <c r="U119" i="12"/>
  <c r="W119" i="12" s="1"/>
  <c r="U115" i="12"/>
  <c r="W115" i="12" s="1"/>
  <c r="U111" i="12"/>
  <c r="W111" i="12" s="1"/>
  <c r="U107" i="12"/>
  <c r="W107" i="12" s="1"/>
  <c r="U103" i="12"/>
  <c r="W103" i="12" s="1"/>
  <c r="U99" i="12"/>
  <c r="W99" i="12" s="1"/>
  <c r="U95" i="12"/>
  <c r="W95" i="12" s="1"/>
  <c r="U91" i="12"/>
  <c r="W91" i="12" s="1"/>
  <c r="U87" i="12"/>
  <c r="W87" i="12" s="1"/>
  <c r="U83" i="12"/>
  <c r="W83" i="12" s="1"/>
  <c r="U79" i="12"/>
  <c r="W79" i="12" s="1"/>
  <c r="U75" i="12"/>
  <c r="W75" i="12" s="1"/>
  <c r="U71" i="12"/>
  <c r="W71" i="12" s="1"/>
  <c r="U67" i="12"/>
  <c r="W67" i="12" s="1"/>
  <c r="U63" i="12"/>
  <c r="W63" i="12" s="1"/>
  <c r="U59" i="12"/>
  <c r="W59" i="12" s="1"/>
  <c r="U55" i="12"/>
  <c r="W55" i="12" s="1"/>
  <c r="U51" i="12"/>
  <c r="W51" i="12" s="1"/>
  <c r="U47" i="12"/>
  <c r="W47" i="12" s="1"/>
  <c r="U43" i="12"/>
  <c r="W43" i="12" s="1"/>
  <c r="U39" i="12"/>
  <c r="W39" i="12" s="1"/>
  <c r="U35" i="12"/>
  <c r="W35" i="12" s="1"/>
  <c r="U31" i="12"/>
  <c r="W31" i="12" s="1"/>
  <c r="U27" i="12"/>
  <c r="W27" i="12" s="1"/>
  <c r="U23" i="12"/>
  <c r="W23" i="12" s="1"/>
  <c r="U19" i="12"/>
  <c r="W19" i="12" s="1"/>
  <c r="U15" i="12"/>
  <c r="W15" i="12" s="1"/>
  <c r="U11" i="12"/>
  <c r="W11" i="12" s="1"/>
  <c r="U7" i="12"/>
  <c r="W7" i="12" s="1"/>
  <c r="U118" i="12"/>
  <c r="W118" i="12" s="1"/>
  <c r="U98" i="12"/>
  <c r="W98" i="12" s="1"/>
  <c r="U78" i="12"/>
  <c r="W78" i="12" s="1"/>
  <c r="U62" i="12"/>
  <c r="W62" i="12" s="1"/>
  <c r="U42" i="12"/>
  <c r="W42" i="12" s="1"/>
  <c r="U22" i="12"/>
  <c r="W22" i="12" s="1"/>
  <c r="V121" i="12"/>
  <c r="X121" i="12" s="1"/>
  <c r="V101" i="12"/>
  <c r="X101" i="12" s="1"/>
  <c r="V77" i="12"/>
  <c r="X77" i="12" s="1"/>
  <c r="V61" i="12"/>
  <c r="X61" i="12" s="1"/>
  <c r="V37" i="12"/>
  <c r="X37" i="12" s="1"/>
  <c r="V17" i="12"/>
  <c r="X17" i="12" s="1"/>
  <c r="V122" i="12"/>
  <c r="X122" i="12" s="1"/>
  <c r="V118" i="12"/>
  <c r="X118" i="12" s="1"/>
  <c r="V114" i="12"/>
  <c r="X114" i="12" s="1"/>
  <c r="V110" i="12"/>
  <c r="X110" i="12" s="1"/>
  <c r="V106" i="12"/>
  <c r="X106" i="12" s="1"/>
  <c r="V102" i="12"/>
  <c r="X102" i="12" s="1"/>
  <c r="V98" i="12"/>
  <c r="X98" i="12" s="1"/>
  <c r="V94" i="12"/>
  <c r="X94" i="12" s="1"/>
  <c r="V90" i="12"/>
  <c r="X90" i="12" s="1"/>
  <c r="V86" i="12"/>
  <c r="X86" i="12" s="1"/>
  <c r="V82" i="12"/>
  <c r="X82" i="12" s="1"/>
  <c r="V78" i="12"/>
  <c r="X78" i="12" s="1"/>
  <c r="V74" i="12"/>
  <c r="X74" i="12" s="1"/>
  <c r="V70" i="12"/>
  <c r="X70" i="12" s="1"/>
  <c r="V66" i="12"/>
  <c r="X66" i="12" s="1"/>
  <c r="V62" i="12"/>
  <c r="X62" i="12" s="1"/>
  <c r="V58" i="12"/>
  <c r="X58" i="12" s="1"/>
  <c r="V54" i="12"/>
  <c r="X54" i="12" s="1"/>
  <c r="V50" i="12"/>
  <c r="X50" i="12" s="1"/>
  <c r="V46" i="12"/>
  <c r="X46" i="12" s="1"/>
  <c r="V42" i="12"/>
  <c r="X42" i="12" s="1"/>
  <c r="V38" i="12"/>
  <c r="X38" i="12" s="1"/>
  <c r="V34" i="12"/>
  <c r="X34" i="12" s="1"/>
  <c r="V30" i="12"/>
  <c r="X30" i="12" s="1"/>
  <c r="V26" i="12"/>
  <c r="X26" i="12" s="1"/>
  <c r="V22" i="12"/>
  <c r="X22" i="12" s="1"/>
  <c r="V18" i="12"/>
  <c r="X18" i="12" s="1"/>
  <c r="V14" i="12"/>
  <c r="X14" i="12" s="1"/>
  <c r="V10" i="12"/>
  <c r="X10" i="12" s="1"/>
  <c r="V6" i="12"/>
  <c r="X6" i="12" s="1"/>
  <c r="U106" i="12"/>
  <c r="W106" i="12" s="1"/>
  <c r="U86" i="12"/>
  <c r="W86" i="12" s="1"/>
  <c r="U66" i="12"/>
  <c r="W66" i="12" s="1"/>
  <c r="U46" i="12"/>
  <c r="W46" i="12" s="1"/>
  <c r="U26" i="12"/>
  <c r="W26" i="12" s="1"/>
  <c r="U6" i="12"/>
  <c r="W6" i="12" s="1"/>
  <c r="V109" i="12"/>
  <c r="X109" i="12" s="1"/>
  <c r="V93" i="12"/>
  <c r="X93" i="12" s="1"/>
  <c r="V69" i="12"/>
  <c r="X69" i="12" s="1"/>
  <c r="V53" i="12"/>
  <c r="X53" i="12" s="1"/>
  <c r="V29" i="12"/>
  <c r="X29" i="12" s="1"/>
  <c r="V5" i="12"/>
  <c r="X5" i="12" s="1"/>
  <c r="AC6" i="8"/>
  <c r="V43" i="8" s="1"/>
  <c r="X43" i="8" s="1"/>
  <c r="AC6" i="12"/>
  <c r="V2" i="12" s="1"/>
  <c r="X2" i="12" s="1"/>
  <c r="AB5" i="10"/>
  <c r="U134" i="10" s="1"/>
  <c r="W134" i="10" s="1"/>
  <c r="AB6" i="10"/>
  <c r="V134" i="10" s="1"/>
  <c r="X134" i="10" s="1"/>
  <c r="AB6" i="9"/>
  <c r="AI6" i="18"/>
  <c r="AC6" i="18" s="1"/>
  <c r="AF6" i="18"/>
  <c r="AB5" i="18" s="1"/>
  <c r="V86" i="8"/>
  <c r="X86" i="8" s="1"/>
  <c r="U7" i="8"/>
  <c r="W7" i="8" s="1"/>
  <c r="U11" i="8"/>
  <c r="W11" i="8" s="1"/>
  <c r="U15" i="8"/>
  <c r="W15" i="8" s="1"/>
  <c r="U43" i="8"/>
  <c r="W43" i="8" s="1"/>
  <c r="U71" i="8"/>
  <c r="W71" i="8" s="1"/>
  <c r="U99" i="8"/>
  <c r="W99" i="8" s="1"/>
  <c r="U127" i="8"/>
  <c r="W127" i="8" s="1"/>
  <c r="U131" i="8"/>
  <c r="W131" i="8" s="1"/>
  <c r="U135" i="8"/>
  <c r="W135" i="8" s="1"/>
  <c r="U139" i="8"/>
  <c r="W139" i="8" s="1"/>
  <c r="U143" i="8"/>
  <c r="W143" i="8" s="1"/>
  <c r="U147" i="8"/>
  <c r="W147" i="8" s="1"/>
  <c r="U151" i="8"/>
  <c r="W151" i="8" s="1"/>
  <c r="U155" i="8"/>
  <c r="W155" i="8" s="1"/>
  <c r="U159" i="8"/>
  <c r="W159" i="8" s="1"/>
  <c r="U163" i="8"/>
  <c r="W163" i="8" s="1"/>
  <c r="U167" i="8"/>
  <c r="W167" i="8" s="1"/>
  <c r="U171" i="8"/>
  <c r="W171" i="8" s="1"/>
  <c r="U175" i="8"/>
  <c r="W175" i="8" s="1"/>
  <c r="U179" i="8"/>
  <c r="W179" i="8" s="1"/>
  <c r="U183" i="8"/>
  <c r="W183" i="8" s="1"/>
  <c r="U187" i="8"/>
  <c r="W187" i="8" s="1"/>
  <c r="U191" i="8"/>
  <c r="W191" i="8" s="1"/>
  <c r="U195" i="8"/>
  <c r="W195" i="8" s="1"/>
  <c r="U199" i="8"/>
  <c r="W199" i="8" s="1"/>
  <c r="U203" i="8"/>
  <c r="W203" i="8" s="1"/>
  <c r="U207" i="8"/>
  <c r="W207" i="8" s="1"/>
  <c r="U211" i="8"/>
  <c r="W211" i="8" s="1"/>
  <c r="U215" i="8"/>
  <c r="W215" i="8" s="1"/>
  <c r="U219" i="8"/>
  <c r="W219" i="8" s="1"/>
  <c r="U223" i="8"/>
  <c r="W223" i="8" s="1"/>
  <c r="U227" i="8"/>
  <c r="W227" i="8" s="1"/>
  <c r="U231" i="8"/>
  <c r="W231" i="8" s="1"/>
  <c r="U235" i="8"/>
  <c r="W235" i="8" s="1"/>
  <c r="U239" i="8"/>
  <c r="W239" i="8" s="1"/>
  <c r="U243" i="8"/>
  <c r="W243" i="8" s="1"/>
  <c r="U247" i="8"/>
  <c r="W247" i="8" s="1"/>
  <c r="U251" i="8"/>
  <c r="W251" i="8" s="1"/>
  <c r="U255" i="8"/>
  <c r="W255" i="8" s="1"/>
  <c r="U259" i="8"/>
  <c r="W259" i="8" s="1"/>
  <c r="U263" i="8"/>
  <c r="W263" i="8" s="1"/>
  <c r="U267" i="8"/>
  <c r="W267" i="8" s="1"/>
  <c r="U271" i="8"/>
  <c r="W271" i="8" s="1"/>
  <c r="U275" i="8"/>
  <c r="W275" i="8" s="1"/>
  <c r="U279" i="8"/>
  <c r="W279" i="8" s="1"/>
  <c r="U283" i="8"/>
  <c r="W283" i="8" s="1"/>
  <c r="U287" i="8"/>
  <c r="W287" i="8" s="1"/>
  <c r="U291" i="8"/>
  <c r="W291" i="8" s="1"/>
  <c r="U295" i="8"/>
  <c r="W295" i="8" s="1"/>
  <c r="U299" i="8"/>
  <c r="W299" i="8" s="1"/>
  <c r="U303" i="8"/>
  <c r="W303" i="8" s="1"/>
  <c r="U307" i="8"/>
  <c r="W307" i="8" s="1"/>
  <c r="U311" i="8"/>
  <c r="W311" i="8" s="1"/>
  <c r="U315" i="8"/>
  <c r="W315" i="8" s="1"/>
  <c r="U319" i="8"/>
  <c r="W319" i="8" s="1"/>
  <c r="U323" i="8"/>
  <c r="W323" i="8" s="1"/>
  <c r="U327" i="8"/>
  <c r="W327" i="8" s="1"/>
  <c r="U331" i="8"/>
  <c r="W331" i="8" s="1"/>
  <c r="U335" i="8"/>
  <c r="W335" i="8" s="1"/>
  <c r="U339" i="8"/>
  <c r="W339" i="8" s="1"/>
  <c r="U8" i="8"/>
  <c r="W8" i="8" s="1"/>
  <c r="U32" i="8"/>
  <c r="W32" i="8" s="1"/>
  <c r="U36" i="8"/>
  <c r="W36" i="8" s="1"/>
  <c r="U64" i="8"/>
  <c r="W64" i="8" s="1"/>
  <c r="U68" i="8"/>
  <c r="W68" i="8" s="1"/>
  <c r="U92" i="8"/>
  <c r="W92" i="8" s="1"/>
  <c r="U120" i="8"/>
  <c r="W120" i="8" s="1"/>
  <c r="U124" i="8"/>
  <c r="W124" i="8" s="1"/>
  <c r="U128" i="8"/>
  <c r="W128" i="8" s="1"/>
  <c r="U132" i="8"/>
  <c r="W132" i="8" s="1"/>
  <c r="U136" i="8"/>
  <c r="W136" i="8" s="1"/>
  <c r="U140" i="8"/>
  <c r="W140" i="8" s="1"/>
  <c r="U144" i="8"/>
  <c r="W144" i="8" s="1"/>
  <c r="U148" i="8"/>
  <c r="W148" i="8" s="1"/>
  <c r="U152" i="8"/>
  <c r="W152" i="8" s="1"/>
  <c r="U156" i="8"/>
  <c r="W156" i="8" s="1"/>
  <c r="U160" i="8"/>
  <c r="W160" i="8" s="1"/>
  <c r="U164" i="8"/>
  <c r="W164" i="8" s="1"/>
  <c r="U168" i="8"/>
  <c r="W168" i="8" s="1"/>
  <c r="U172" i="8"/>
  <c r="W172" i="8" s="1"/>
  <c r="U176" i="8"/>
  <c r="W176" i="8" s="1"/>
  <c r="U180" i="8"/>
  <c r="W180" i="8" s="1"/>
  <c r="U184" i="8"/>
  <c r="W184" i="8" s="1"/>
  <c r="U188" i="8"/>
  <c r="W188" i="8" s="1"/>
  <c r="U192" i="8"/>
  <c r="W192" i="8" s="1"/>
  <c r="U196" i="8"/>
  <c r="W196" i="8" s="1"/>
  <c r="U200" i="8"/>
  <c r="W200" i="8" s="1"/>
  <c r="U204" i="8"/>
  <c r="W204" i="8" s="1"/>
  <c r="U208" i="8"/>
  <c r="W208" i="8" s="1"/>
  <c r="U212" i="8"/>
  <c r="W212" i="8" s="1"/>
  <c r="U216" i="8"/>
  <c r="W216" i="8" s="1"/>
  <c r="U220" i="8"/>
  <c r="W220" i="8" s="1"/>
  <c r="U224" i="8"/>
  <c r="W224" i="8" s="1"/>
  <c r="U9" i="8"/>
  <c r="W9" i="8" s="1"/>
  <c r="U29" i="8"/>
  <c r="W29" i="8" s="1"/>
  <c r="U57" i="8"/>
  <c r="W57" i="8" s="1"/>
  <c r="U61" i="8"/>
  <c r="W61" i="8" s="1"/>
  <c r="U69" i="8"/>
  <c r="W69" i="8" s="1"/>
  <c r="U81" i="8"/>
  <c r="W81" i="8" s="1"/>
  <c r="U85" i="8"/>
  <c r="W85" i="8" s="1"/>
  <c r="U113" i="8"/>
  <c r="W113" i="8" s="1"/>
  <c r="U125" i="8"/>
  <c r="W125" i="8" s="1"/>
  <c r="U129" i="8"/>
  <c r="W129" i="8" s="1"/>
  <c r="U133" i="8"/>
  <c r="W133" i="8" s="1"/>
  <c r="U137" i="8"/>
  <c r="W137" i="8" s="1"/>
  <c r="U141" i="8"/>
  <c r="W141" i="8" s="1"/>
  <c r="U145" i="8"/>
  <c r="W145" i="8" s="1"/>
  <c r="U149" i="8"/>
  <c r="W149" i="8" s="1"/>
  <c r="U153" i="8"/>
  <c r="W153" i="8" s="1"/>
  <c r="U157" i="8"/>
  <c r="W157" i="8" s="1"/>
  <c r="U161" i="8"/>
  <c r="W161" i="8" s="1"/>
  <c r="U165" i="8"/>
  <c r="W165" i="8" s="1"/>
  <c r="U169" i="8"/>
  <c r="W169" i="8" s="1"/>
  <c r="U173" i="8"/>
  <c r="W173" i="8" s="1"/>
  <c r="U177" i="8"/>
  <c r="W177" i="8" s="1"/>
  <c r="U181" i="8"/>
  <c r="W181" i="8" s="1"/>
  <c r="U6" i="8"/>
  <c r="W6" i="8" s="1"/>
  <c r="U22" i="8"/>
  <c r="W22" i="8" s="1"/>
  <c r="U50" i="8"/>
  <c r="W50" i="8" s="1"/>
  <c r="U62" i="8"/>
  <c r="W62" i="8" s="1"/>
  <c r="U78" i="8"/>
  <c r="W78" i="8" s="1"/>
  <c r="U106" i="8"/>
  <c r="W106" i="8" s="1"/>
  <c r="U126" i="8"/>
  <c r="W126" i="8" s="1"/>
  <c r="U130" i="8"/>
  <c r="W130" i="8" s="1"/>
  <c r="U134" i="8"/>
  <c r="W134" i="8" s="1"/>
  <c r="U138" i="8"/>
  <c r="W138" i="8" s="1"/>
  <c r="U142" i="8"/>
  <c r="W142" i="8" s="1"/>
  <c r="U146" i="8"/>
  <c r="W146" i="8" s="1"/>
  <c r="U150" i="8"/>
  <c r="W150" i="8" s="1"/>
  <c r="U154" i="8"/>
  <c r="W154" i="8" s="1"/>
  <c r="U158" i="8"/>
  <c r="W158" i="8" s="1"/>
  <c r="U162" i="8"/>
  <c r="W162" i="8" s="1"/>
  <c r="U166" i="8"/>
  <c r="W166" i="8" s="1"/>
  <c r="U170" i="8"/>
  <c r="W170" i="8" s="1"/>
  <c r="U174" i="8"/>
  <c r="W174" i="8" s="1"/>
  <c r="U178" i="8"/>
  <c r="W178" i="8" s="1"/>
  <c r="U182" i="8"/>
  <c r="W182" i="8" s="1"/>
  <c r="U186" i="8"/>
  <c r="W186" i="8" s="1"/>
  <c r="U190" i="8"/>
  <c r="W190" i="8" s="1"/>
  <c r="U194" i="8"/>
  <c r="W194" i="8" s="1"/>
  <c r="U198" i="8"/>
  <c r="W198" i="8" s="1"/>
  <c r="U202" i="8"/>
  <c r="W202" i="8" s="1"/>
  <c r="U206" i="8"/>
  <c r="W206" i="8" s="1"/>
  <c r="U210" i="8"/>
  <c r="W210" i="8" s="1"/>
  <c r="U214" i="8"/>
  <c r="W214" i="8" s="1"/>
  <c r="U218" i="8"/>
  <c r="W218" i="8" s="1"/>
  <c r="U222" i="8"/>
  <c r="W222" i="8" s="1"/>
  <c r="U226" i="8"/>
  <c r="W226" i="8" s="1"/>
  <c r="U230" i="8"/>
  <c r="W230" i="8" s="1"/>
  <c r="U234" i="8"/>
  <c r="W234" i="8" s="1"/>
  <c r="U238" i="8"/>
  <c r="W238" i="8" s="1"/>
  <c r="U242" i="8"/>
  <c r="W242" i="8" s="1"/>
  <c r="U246" i="8"/>
  <c r="W246" i="8" s="1"/>
  <c r="U250" i="8"/>
  <c r="W250" i="8" s="1"/>
  <c r="U245" i="8"/>
  <c r="W245" i="8" s="1"/>
  <c r="U244" i="8"/>
  <c r="W244" i="8" s="1"/>
  <c r="U273" i="8"/>
  <c r="W273" i="8" s="1"/>
  <c r="U300" i="8"/>
  <c r="W300" i="8" s="1"/>
  <c r="U326" i="8"/>
  <c r="W326" i="8" s="1"/>
  <c r="U354" i="8"/>
  <c r="W354" i="8" s="1"/>
  <c r="U193" i="8"/>
  <c r="W193" i="8" s="1"/>
  <c r="U209" i="8"/>
  <c r="W209" i="8" s="1"/>
  <c r="U225" i="8"/>
  <c r="W225" i="8" s="1"/>
  <c r="U236" i="8"/>
  <c r="W236" i="8" s="1"/>
  <c r="U253" i="8"/>
  <c r="W253" i="8" s="1"/>
  <c r="U258" i="8"/>
  <c r="W258" i="8" s="1"/>
  <c r="U264" i="8"/>
  <c r="W264" i="8" s="1"/>
  <c r="U269" i="8"/>
  <c r="W269" i="8" s="1"/>
  <c r="U274" i="8"/>
  <c r="W274" i="8" s="1"/>
  <c r="U280" i="8"/>
  <c r="W280" i="8" s="1"/>
  <c r="U285" i="8"/>
  <c r="W285" i="8" s="1"/>
  <c r="U290" i="8"/>
  <c r="W290" i="8" s="1"/>
  <c r="U296" i="8"/>
  <c r="W296" i="8" s="1"/>
  <c r="U301" i="8"/>
  <c r="W301" i="8" s="1"/>
  <c r="U306" i="8"/>
  <c r="W306" i="8" s="1"/>
  <c r="U312" i="8"/>
  <c r="W312" i="8" s="1"/>
  <c r="U317" i="8"/>
  <c r="W317" i="8" s="1"/>
  <c r="U322" i="8"/>
  <c r="W322" i="8" s="1"/>
  <c r="U328" i="8"/>
  <c r="W328" i="8" s="1"/>
  <c r="U333" i="8"/>
  <c r="W333" i="8" s="1"/>
  <c r="U338" i="8"/>
  <c r="W338" i="8" s="1"/>
  <c r="U343" i="8"/>
  <c r="W343" i="8" s="1"/>
  <c r="U347" i="8"/>
  <c r="W347" i="8" s="1"/>
  <c r="U351" i="8"/>
  <c r="W351" i="8" s="1"/>
  <c r="U355" i="8"/>
  <c r="W355" i="8" s="1"/>
  <c r="U359" i="8"/>
  <c r="W359" i="8" s="1"/>
  <c r="U363" i="8"/>
  <c r="W363" i="8" s="1"/>
  <c r="U189" i="8"/>
  <c r="W189" i="8" s="1"/>
  <c r="U252" i="8"/>
  <c r="W252" i="8" s="1"/>
  <c r="U289" i="8"/>
  <c r="W289" i="8" s="1"/>
  <c r="U321" i="8"/>
  <c r="W321" i="8" s="1"/>
  <c r="U350" i="8"/>
  <c r="W350" i="8" s="1"/>
  <c r="U237" i="8"/>
  <c r="W237" i="8" s="1"/>
  <c r="U248" i="8"/>
  <c r="W248" i="8" s="1"/>
  <c r="U2" i="8"/>
  <c r="W2" i="8" s="1"/>
  <c r="U221" i="8"/>
  <c r="W221" i="8" s="1"/>
  <c r="U268" i="8"/>
  <c r="W268" i="8" s="1"/>
  <c r="U284" i="8"/>
  <c r="W284" i="8" s="1"/>
  <c r="U310" i="8"/>
  <c r="W310" i="8" s="1"/>
  <c r="U342" i="8"/>
  <c r="W342" i="8" s="1"/>
  <c r="U366" i="8"/>
  <c r="W366" i="8" s="1"/>
  <c r="U197" i="8"/>
  <c r="W197" i="8" s="1"/>
  <c r="U213" i="8"/>
  <c r="W213" i="8" s="1"/>
  <c r="U228" i="8"/>
  <c r="W228" i="8" s="1"/>
  <c r="U254" i="8"/>
  <c r="W254" i="8" s="1"/>
  <c r="U260" i="8"/>
  <c r="W260" i="8" s="1"/>
  <c r="U265" i="8"/>
  <c r="W265" i="8" s="1"/>
  <c r="U270" i="8"/>
  <c r="W270" i="8" s="1"/>
  <c r="U276" i="8"/>
  <c r="W276" i="8" s="1"/>
  <c r="U281" i="8"/>
  <c r="W281" i="8" s="1"/>
  <c r="U286" i="8"/>
  <c r="W286" i="8" s="1"/>
  <c r="U292" i="8"/>
  <c r="W292" i="8" s="1"/>
  <c r="U297" i="8"/>
  <c r="W297" i="8" s="1"/>
  <c r="U302" i="8"/>
  <c r="W302" i="8" s="1"/>
  <c r="U308" i="8"/>
  <c r="W308" i="8" s="1"/>
  <c r="U313" i="8"/>
  <c r="W313" i="8" s="1"/>
  <c r="U318" i="8"/>
  <c r="W318" i="8" s="1"/>
  <c r="U324" i="8"/>
  <c r="W324" i="8" s="1"/>
  <c r="U329" i="8"/>
  <c r="W329" i="8" s="1"/>
  <c r="U334" i="8"/>
  <c r="W334" i="8" s="1"/>
  <c r="U340" i="8"/>
  <c r="W340" i="8" s="1"/>
  <c r="U344" i="8"/>
  <c r="W344" i="8" s="1"/>
  <c r="U348" i="8"/>
  <c r="W348" i="8" s="1"/>
  <c r="U352" i="8"/>
  <c r="W352" i="8" s="1"/>
  <c r="U356" i="8"/>
  <c r="W356" i="8" s="1"/>
  <c r="U360" i="8"/>
  <c r="W360" i="8" s="1"/>
  <c r="U364" i="8"/>
  <c r="W364" i="8" s="1"/>
  <c r="U262" i="8"/>
  <c r="W262" i="8" s="1"/>
  <c r="U316" i="8"/>
  <c r="W316" i="8" s="1"/>
  <c r="U346" i="8"/>
  <c r="W346" i="8" s="1"/>
  <c r="U229" i="8"/>
  <c r="W229" i="8" s="1"/>
  <c r="U240" i="8"/>
  <c r="W240" i="8" s="1"/>
  <c r="U249" i="8"/>
  <c r="W249" i="8" s="1"/>
  <c r="U232" i="8"/>
  <c r="W232" i="8" s="1"/>
  <c r="U233" i="8"/>
  <c r="W233" i="8" s="1"/>
  <c r="U294" i="8"/>
  <c r="W294" i="8" s="1"/>
  <c r="U337" i="8"/>
  <c r="W337" i="8" s="1"/>
  <c r="U362" i="8"/>
  <c r="W362" i="8" s="1"/>
  <c r="U185" i="8"/>
  <c r="W185" i="8" s="1"/>
  <c r="U201" i="8"/>
  <c r="W201" i="8" s="1"/>
  <c r="U217" i="8"/>
  <c r="W217" i="8" s="1"/>
  <c r="U241" i="8"/>
  <c r="W241" i="8" s="1"/>
  <c r="U256" i="8"/>
  <c r="W256" i="8" s="1"/>
  <c r="U261" i="8"/>
  <c r="W261" i="8" s="1"/>
  <c r="U266" i="8"/>
  <c r="W266" i="8" s="1"/>
  <c r="U272" i="8"/>
  <c r="W272" i="8" s="1"/>
  <c r="U277" i="8"/>
  <c r="W277" i="8" s="1"/>
  <c r="U282" i="8"/>
  <c r="W282" i="8" s="1"/>
  <c r="U288" i="8"/>
  <c r="W288" i="8" s="1"/>
  <c r="U293" i="8"/>
  <c r="W293" i="8" s="1"/>
  <c r="U298" i="8"/>
  <c r="W298" i="8" s="1"/>
  <c r="U304" i="8"/>
  <c r="W304" i="8" s="1"/>
  <c r="U309" i="8"/>
  <c r="W309" i="8" s="1"/>
  <c r="U314" i="8"/>
  <c r="W314" i="8" s="1"/>
  <c r="U320" i="8"/>
  <c r="W320" i="8" s="1"/>
  <c r="U325" i="8"/>
  <c r="W325" i="8" s="1"/>
  <c r="U330" i="8"/>
  <c r="W330" i="8" s="1"/>
  <c r="U336" i="8"/>
  <c r="W336" i="8" s="1"/>
  <c r="U341" i="8"/>
  <c r="W341" i="8" s="1"/>
  <c r="U345" i="8"/>
  <c r="W345" i="8" s="1"/>
  <c r="U349" i="8"/>
  <c r="W349" i="8" s="1"/>
  <c r="U353" i="8"/>
  <c r="W353" i="8" s="1"/>
  <c r="U357" i="8"/>
  <c r="W357" i="8" s="1"/>
  <c r="U361" i="8"/>
  <c r="W361" i="8" s="1"/>
  <c r="U365" i="8"/>
  <c r="W365" i="8" s="1"/>
  <c r="U205" i="8"/>
  <c r="W205" i="8" s="1"/>
  <c r="U257" i="8"/>
  <c r="W257" i="8" s="1"/>
  <c r="U278" i="8"/>
  <c r="W278" i="8" s="1"/>
  <c r="U305" i="8"/>
  <c r="W305" i="8" s="1"/>
  <c r="U332" i="8"/>
  <c r="W332" i="8" s="1"/>
  <c r="U358" i="8"/>
  <c r="W358" i="8" s="1"/>
  <c r="U122" i="8"/>
  <c r="W122" i="8" s="1"/>
  <c r="U123" i="8"/>
  <c r="W123" i="8" s="1"/>
  <c r="U121" i="8"/>
  <c r="W121" i="8" s="1"/>
  <c r="U117" i="8"/>
  <c r="W117" i="8" s="1"/>
  <c r="U116" i="8"/>
  <c r="W116" i="8" s="1"/>
  <c r="U119" i="8"/>
  <c r="W119" i="8" s="1"/>
  <c r="U118" i="8"/>
  <c r="W118" i="8" s="1"/>
  <c r="U115" i="8"/>
  <c r="W115" i="8" s="1"/>
  <c r="U107" i="8"/>
  <c r="W107" i="8" s="1"/>
  <c r="U111" i="8"/>
  <c r="W111" i="8" s="1"/>
  <c r="U108" i="8"/>
  <c r="W108" i="8" s="1"/>
  <c r="U112" i="8"/>
  <c r="W112" i="8" s="1"/>
  <c r="U109" i="8"/>
  <c r="W109" i="8" s="1"/>
  <c r="U114" i="8"/>
  <c r="W114" i="8" s="1"/>
  <c r="U110" i="8"/>
  <c r="W110" i="8" s="1"/>
  <c r="U93" i="8"/>
  <c r="W93" i="8" s="1"/>
  <c r="U95" i="8"/>
  <c r="W95" i="8" s="1"/>
  <c r="U94" i="8"/>
  <c r="W94" i="8" s="1"/>
  <c r="U100" i="8"/>
  <c r="W100" i="8" s="1"/>
  <c r="U96" i="8"/>
  <c r="W96" i="8" s="1"/>
  <c r="U105" i="8"/>
  <c r="W105" i="8" s="1"/>
  <c r="U98" i="8"/>
  <c r="W98" i="8" s="1"/>
  <c r="U104" i="8"/>
  <c r="W104" i="8" s="1"/>
  <c r="U101" i="8"/>
  <c r="W101" i="8" s="1"/>
  <c r="U97" i="8"/>
  <c r="W97" i="8" s="1"/>
  <c r="U103" i="8"/>
  <c r="W103" i="8" s="1"/>
  <c r="U102" i="8"/>
  <c r="W102" i="8" s="1"/>
  <c r="U90" i="8"/>
  <c r="W90" i="8" s="1"/>
  <c r="U88" i="8"/>
  <c r="W88" i="8" s="1"/>
  <c r="U89" i="8"/>
  <c r="W89" i="8" s="1"/>
  <c r="U86" i="8"/>
  <c r="W86" i="8" s="1"/>
  <c r="U87" i="8"/>
  <c r="W87" i="8" s="1"/>
  <c r="U91" i="8"/>
  <c r="W91" i="8" s="1"/>
  <c r="U82" i="8"/>
  <c r="W82" i="8" s="1"/>
  <c r="U83" i="8"/>
  <c r="W83" i="8" s="1"/>
  <c r="U84" i="8"/>
  <c r="W84" i="8" s="1"/>
  <c r="U65" i="8"/>
  <c r="W65" i="8" s="1"/>
  <c r="U72" i="8"/>
  <c r="W72" i="8" s="1"/>
  <c r="U76" i="8"/>
  <c r="W76" i="8" s="1"/>
  <c r="U67" i="8"/>
  <c r="W67" i="8" s="1"/>
  <c r="U73" i="8"/>
  <c r="W73" i="8" s="1"/>
  <c r="U70" i="8"/>
  <c r="W70" i="8" s="1"/>
  <c r="U79" i="8"/>
  <c r="W79" i="8" s="1"/>
  <c r="U80" i="8"/>
  <c r="W80" i="8" s="1"/>
  <c r="U66" i="8"/>
  <c r="W66" i="8" s="1"/>
  <c r="U74" i="8"/>
  <c r="W74" i="8" s="1"/>
  <c r="U77" i="8"/>
  <c r="W77" i="8" s="1"/>
  <c r="U75" i="8"/>
  <c r="W75" i="8" s="1"/>
  <c r="U63" i="8"/>
  <c r="W63" i="8" s="1"/>
  <c r="U58" i="8"/>
  <c r="W58" i="8" s="1"/>
  <c r="U59" i="8"/>
  <c r="W59" i="8" s="1"/>
  <c r="U60" i="8"/>
  <c r="W60" i="8" s="1"/>
  <c r="U54" i="8"/>
  <c r="W54" i="8" s="1"/>
  <c r="U55" i="8"/>
  <c r="W55" i="8" s="1"/>
  <c r="U56" i="8"/>
  <c r="W56" i="8" s="1"/>
  <c r="U53" i="8"/>
  <c r="W53" i="8" s="1"/>
  <c r="U52" i="8"/>
  <c r="W52" i="8" s="1"/>
  <c r="U51" i="8"/>
  <c r="W51" i="8" s="1"/>
  <c r="U44" i="8"/>
  <c r="W44" i="8" s="1"/>
  <c r="U48" i="8"/>
  <c r="W48" i="8" s="1"/>
  <c r="U49" i="8"/>
  <c r="W49" i="8" s="1"/>
  <c r="U46" i="8"/>
  <c r="W46" i="8" s="1"/>
  <c r="U45" i="8"/>
  <c r="W45" i="8" s="1"/>
  <c r="U47" i="8"/>
  <c r="W47" i="8" s="1"/>
  <c r="U37" i="8"/>
  <c r="W37" i="8" s="1"/>
  <c r="U41" i="8"/>
  <c r="W41" i="8" s="1"/>
  <c r="U38" i="8"/>
  <c r="W38" i="8" s="1"/>
  <c r="U42" i="8"/>
  <c r="W42" i="8" s="1"/>
  <c r="U34" i="8"/>
  <c r="W34" i="8" s="1"/>
  <c r="U39" i="8"/>
  <c r="W39" i="8" s="1"/>
  <c r="U40" i="8"/>
  <c r="W40" i="8" s="1"/>
  <c r="U33" i="8"/>
  <c r="W33" i="8" s="1"/>
  <c r="U35" i="8"/>
  <c r="W35" i="8" s="1"/>
  <c r="U30" i="8"/>
  <c r="W30" i="8" s="1"/>
  <c r="U31" i="8"/>
  <c r="W31" i="8" s="1"/>
  <c r="U26" i="8"/>
  <c r="W26" i="8" s="1"/>
  <c r="U23" i="8"/>
  <c r="W23" i="8" s="1"/>
  <c r="U27" i="8"/>
  <c r="W27" i="8" s="1"/>
  <c r="U24" i="8"/>
  <c r="W24" i="8" s="1"/>
  <c r="U28" i="8"/>
  <c r="W28" i="8" s="1"/>
  <c r="U25" i="8"/>
  <c r="W25" i="8" s="1"/>
  <c r="U20" i="8"/>
  <c r="W20" i="8" s="1"/>
  <c r="U19" i="8"/>
  <c r="W19" i="8" s="1"/>
  <c r="U18" i="8"/>
  <c r="W18" i="8" s="1"/>
  <c r="U21" i="8"/>
  <c r="W21" i="8" s="1"/>
  <c r="U16" i="8"/>
  <c r="W16" i="8" s="1"/>
  <c r="U17" i="8"/>
  <c r="W17" i="8" s="1"/>
  <c r="U14" i="8"/>
  <c r="W14" i="8" s="1"/>
  <c r="U12" i="8"/>
  <c r="W12" i="8" s="1"/>
  <c r="U4" i="8"/>
  <c r="W4" i="8" s="1"/>
  <c r="U10" i="8"/>
  <c r="W10" i="8" s="1"/>
  <c r="U13" i="8"/>
  <c r="W13" i="8" s="1"/>
  <c r="U5" i="8"/>
  <c r="W5" i="8" s="1"/>
  <c r="U3" i="8"/>
  <c r="W3" i="8" s="1"/>
  <c r="AB5" i="9"/>
  <c r="V3" i="9" s="1"/>
  <c r="X3" i="9" s="1"/>
  <c r="V57" i="9"/>
  <c r="X57" i="9" s="1"/>
  <c r="U94" i="9"/>
  <c r="W94" i="9" s="1"/>
  <c r="U18" i="9"/>
  <c r="W18" i="9" s="1"/>
  <c r="J116" i="9"/>
  <c r="J117" i="9" s="1"/>
  <c r="J118" i="9" s="1"/>
  <c r="J119" i="9" s="1"/>
  <c r="J121" i="9" s="1"/>
  <c r="J122" i="9" s="1"/>
  <c r="J123" i="9" s="1"/>
  <c r="I116" i="9"/>
  <c r="I117" i="9" s="1"/>
  <c r="I118" i="9" s="1"/>
  <c r="I119" i="9" s="1"/>
  <c r="I121" i="9" s="1"/>
  <c r="I122" i="9" s="1"/>
  <c r="I123" i="9" s="1"/>
  <c r="G7" i="20"/>
  <c r="H7" i="20" s="1"/>
  <c r="G8" i="20"/>
  <c r="H8" i="20" s="1"/>
  <c r="G9" i="20"/>
  <c r="H9" i="20" s="1"/>
  <c r="G10" i="20"/>
  <c r="H10" i="20" s="1"/>
  <c r="G11" i="20"/>
  <c r="H11" i="20" s="1"/>
  <c r="G6" i="20"/>
  <c r="H6" i="20" s="1"/>
  <c r="J12" i="20"/>
  <c r="I12" i="20"/>
  <c r="F12" i="20"/>
  <c r="E12" i="20"/>
  <c r="D12" i="20"/>
  <c r="I39" i="18" l="1"/>
  <c r="I41" i="18"/>
  <c r="I42" i="18" s="1"/>
  <c r="I44" i="18" s="1"/>
  <c r="I45" i="18" s="1"/>
  <c r="I46" i="18" s="1"/>
  <c r="I47" i="18" s="1"/>
  <c r="I48" i="18" s="1"/>
  <c r="I49" i="18" s="1"/>
  <c r="I51" i="18" s="1"/>
  <c r="I52" i="18" s="1"/>
  <c r="I53" i="18" s="1"/>
  <c r="I54" i="18" s="1"/>
  <c r="I55" i="18" s="1"/>
  <c r="I56" i="18" s="1"/>
  <c r="I58" i="18" s="1"/>
  <c r="I59" i="18" s="1"/>
  <c r="I60" i="18" s="1"/>
  <c r="I61" i="18" s="1"/>
  <c r="I62" i="18" s="1"/>
  <c r="I65" i="18" s="1"/>
  <c r="I66" i="18" s="1"/>
  <c r="I67" i="18" s="1"/>
  <c r="I68" i="18" s="1"/>
  <c r="I69" i="18" s="1"/>
  <c r="I70" i="18" s="1"/>
  <c r="I72" i="18" s="1"/>
  <c r="I73" i="18" s="1"/>
  <c r="I74" i="18" s="1"/>
  <c r="I75" i="18" s="1"/>
  <c r="I76" i="18" s="1"/>
  <c r="I77" i="18" s="1"/>
  <c r="I79" i="18" s="1"/>
  <c r="I80" i="18" s="1"/>
  <c r="I81" i="18" s="1"/>
  <c r="I84" i="18" s="1"/>
  <c r="I86" i="18" s="1"/>
  <c r="I87" i="18" s="1"/>
  <c r="I88" i="18" s="1"/>
  <c r="I89" i="18" s="1"/>
  <c r="I90" i="18" s="1"/>
  <c r="I91" i="18" s="1"/>
  <c r="I94" i="18" s="1"/>
  <c r="V93" i="8"/>
  <c r="X93" i="8" s="1"/>
  <c r="V62" i="8"/>
  <c r="X62" i="8" s="1"/>
  <c r="V324" i="8"/>
  <c r="X324" i="8" s="1"/>
  <c r="V126" i="8"/>
  <c r="X126" i="8" s="1"/>
  <c r="V306" i="8"/>
  <c r="X306" i="8" s="1"/>
  <c r="V31" i="8"/>
  <c r="X31" i="8" s="1"/>
  <c r="V321" i="8"/>
  <c r="X321" i="8" s="1"/>
  <c r="V45" i="8"/>
  <c r="X45" i="8" s="1"/>
  <c r="U31" i="9"/>
  <c r="W31" i="9" s="1"/>
  <c r="U112" i="9"/>
  <c r="W112" i="9" s="1"/>
  <c r="V26" i="9"/>
  <c r="X26" i="9" s="1"/>
  <c r="U35" i="9"/>
  <c r="W35" i="9" s="1"/>
  <c r="U117" i="9"/>
  <c r="W117" i="9" s="1"/>
  <c r="V48" i="9"/>
  <c r="X48" i="9" s="1"/>
  <c r="U41" i="9"/>
  <c r="W41" i="9" s="1"/>
  <c r="U102" i="9"/>
  <c r="W102" i="9" s="1"/>
  <c r="V34" i="9"/>
  <c r="X34" i="9" s="1"/>
  <c r="U59" i="9"/>
  <c r="W59" i="9" s="1"/>
  <c r="U50" i="9"/>
  <c r="W50" i="9" s="1"/>
  <c r="V39" i="9"/>
  <c r="X39" i="9" s="1"/>
  <c r="U66" i="9"/>
  <c r="W66" i="9" s="1"/>
  <c r="U78" i="9"/>
  <c r="W78" i="9" s="1"/>
  <c r="V70" i="9"/>
  <c r="X70" i="9" s="1"/>
  <c r="U76" i="9"/>
  <c r="W76" i="9" s="1"/>
  <c r="V12" i="9"/>
  <c r="X12" i="9" s="1"/>
  <c r="V111" i="9"/>
  <c r="X111" i="9" s="1"/>
  <c r="U11" i="9"/>
  <c r="W11" i="9" s="1"/>
  <c r="U96" i="9"/>
  <c r="W96" i="9" s="1"/>
  <c r="V42" i="9"/>
  <c r="X42" i="9" s="1"/>
  <c r="V30" i="9"/>
  <c r="X30" i="9" s="1"/>
  <c r="V84" i="9"/>
  <c r="X84" i="9" s="1"/>
  <c r="U13" i="9"/>
  <c r="W13" i="9" s="1"/>
  <c r="U17" i="9"/>
  <c r="W17" i="9" s="1"/>
  <c r="U30" i="9"/>
  <c r="W30" i="9" s="1"/>
  <c r="U34" i="9"/>
  <c r="W34" i="9" s="1"/>
  <c r="U48" i="9"/>
  <c r="W48" i="9" s="1"/>
  <c r="U58" i="9"/>
  <c r="W58" i="9" s="1"/>
  <c r="U69" i="9"/>
  <c r="W69" i="9" s="1"/>
  <c r="U77" i="9"/>
  <c r="W77" i="9" s="1"/>
  <c r="U105" i="9"/>
  <c r="W105" i="9" s="1"/>
  <c r="U103" i="9"/>
  <c r="W103" i="9" s="1"/>
  <c r="U107" i="9"/>
  <c r="W107" i="9" s="1"/>
  <c r="U123" i="9"/>
  <c r="W123" i="9" s="1"/>
  <c r="U92" i="9"/>
  <c r="W92" i="9" s="1"/>
  <c r="U9" i="9"/>
  <c r="W9" i="9" s="1"/>
  <c r="U54" i="9"/>
  <c r="W54" i="9" s="1"/>
  <c r="V21" i="9"/>
  <c r="X21" i="9" s="1"/>
  <c r="V121" i="9"/>
  <c r="X121" i="9" s="1"/>
  <c r="V49" i="9"/>
  <c r="X49" i="9" s="1"/>
  <c r="V104" i="9"/>
  <c r="X104" i="9" s="1"/>
  <c r="V40" i="9"/>
  <c r="X40" i="9" s="1"/>
  <c r="V113" i="9"/>
  <c r="X113" i="9" s="1"/>
  <c r="V31" i="9"/>
  <c r="X31" i="9" s="1"/>
  <c r="V54" i="9"/>
  <c r="X54" i="9" s="1"/>
  <c r="V95" i="9"/>
  <c r="X95" i="9" s="1"/>
  <c r="V117" i="9"/>
  <c r="X117" i="9" s="1"/>
  <c r="V37" i="9"/>
  <c r="X37" i="9" s="1"/>
  <c r="V76" i="9"/>
  <c r="X76" i="9" s="1"/>
  <c r="U4" i="9"/>
  <c r="W4" i="9" s="1"/>
  <c r="U24" i="9"/>
  <c r="W24" i="9" s="1"/>
  <c r="U37" i="9"/>
  <c r="W37" i="9" s="1"/>
  <c r="U40" i="9"/>
  <c r="W40" i="9" s="1"/>
  <c r="U53" i="9"/>
  <c r="W53" i="9" s="1"/>
  <c r="U62" i="9"/>
  <c r="W62" i="9" s="1"/>
  <c r="U75" i="9"/>
  <c r="W75" i="9" s="1"/>
  <c r="U81" i="9"/>
  <c r="W81" i="9" s="1"/>
  <c r="U90" i="9"/>
  <c r="W90" i="9" s="1"/>
  <c r="U98" i="9"/>
  <c r="W98" i="9" s="1"/>
  <c r="U111" i="9"/>
  <c r="W111" i="9" s="1"/>
  <c r="U121" i="9"/>
  <c r="W121" i="9" s="1"/>
  <c r="U36" i="9"/>
  <c r="W36" i="9" s="1"/>
  <c r="U2" i="9"/>
  <c r="W2" i="9" s="1"/>
  <c r="U22" i="9"/>
  <c r="W22" i="9" s="1"/>
  <c r="V18" i="9"/>
  <c r="X18" i="9" s="1"/>
  <c r="V105" i="9"/>
  <c r="X105" i="9" s="1"/>
  <c r="V41" i="9"/>
  <c r="X41" i="9" s="1"/>
  <c r="V96" i="9"/>
  <c r="X96" i="9" s="1"/>
  <c r="V32" i="9"/>
  <c r="X32" i="9" s="1"/>
  <c r="V119" i="9"/>
  <c r="X119" i="9" s="1"/>
  <c r="V23" i="9"/>
  <c r="X23" i="9" s="1"/>
  <c r="V38" i="9"/>
  <c r="X38" i="9" s="1"/>
  <c r="V118" i="9"/>
  <c r="X118" i="9" s="1"/>
  <c r="V101" i="9"/>
  <c r="X101" i="9" s="1"/>
  <c r="V29" i="9"/>
  <c r="X29" i="9" s="1"/>
  <c r="V68" i="9"/>
  <c r="X68" i="9" s="1"/>
  <c r="U3" i="9"/>
  <c r="W3" i="9" s="1"/>
  <c r="U7" i="9"/>
  <c r="W7" i="9" s="1"/>
  <c r="U26" i="9"/>
  <c r="W26" i="9" s="1"/>
  <c r="U33" i="9"/>
  <c r="W33" i="9" s="1"/>
  <c r="U45" i="9"/>
  <c r="W45" i="9" s="1"/>
  <c r="U56" i="9"/>
  <c r="W56" i="9" s="1"/>
  <c r="U70" i="9"/>
  <c r="W70" i="9" s="1"/>
  <c r="U80" i="9"/>
  <c r="W80" i="9" s="1"/>
  <c r="U84" i="9"/>
  <c r="W84" i="9" s="1"/>
  <c r="U89" i="9"/>
  <c r="W89" i="9" s="1"/>
  <c r="U104" i="9"/>
  <c r="W104" i="9" s="1"/>
  <c r="U122" i="9"/>
  <c r="W122" i="9" s="1"/>
  <c r="U114" i="9"/>
  <c r="W114" i="9" s="1"/>
  <c r="U99" i="9"/>
  <c r="W99" i="9" s="1"/>
  <c r="U71" i="9"/>
  <c r="W71" i="9" s="1"/>
  <c r="U6" i="9"/>
  <c r="W6" i="9" s="1"/>
  <c r="V19" i="9"/>
  <c r="X19" i="9" s="1"/>
  <c r="V97" i="9"/>
  <c r="X97" i="9" s="1"/>
  <c r="V33" i="9"/>
  <c r="X33" i="9" s="1"/>
  <c r="V88" i="9"/>
  <c r="X88" i="9" s="1"/>
  <c r="V24" i="9"/>
  <c r="X24" i="9" s="1"/>
  <c r="V87" i="9"/>
  <c r="X87" i="9" s="1"/>
  <c r="V15" i="9"/>
  <c r="X15" i="9" s="1"/>
  <c r="V22" i="9"/>
  <c r="X22" i="9" s="1"/>
  <c r="V94" i="9"/>
  <c r="X94" i="9" s="1"/>
  <c r="V93" i="9"/>
  <c r="X93" i="9" s="1"/>
  <c r="V5" i="9"/>
  <c r="X5" i="9" s="1"/>
  <c r="V60" i="9"/>
  <c r="X60" i="9" s="1"/>
  <c r="U12" i="9"/>
  <c r="W12" i="9" s="1"/>
  <c r="U21" i="9"/>
  <c r="W21" i="9" s="1"/>
  <c r="U23" i="9"/>
  <c r="W23" i="9" s="1"/>
  <c r="U47" i="9"/>
  <c r="W47" i="9" s="1"/>
  <c r="U44" i="9"/>
  <c r="W44" i="9" s="1"/>
  <c r="U51" i="9"/>
  <c r="W51" i="9" s="1"/>
  <c r="U65" i="9"/>
  <c r="W65" i="9" s="1"/>
  <c r="U74" i="9"/>
  <c r="W74" i="9" s="1"/>
  <c r="U83" i="9"/>
  <c r="W83" i="9" s="1"/>
  <c r="U86" i="9"/>
  <c r="W86" i="9" s="1"/>
  <c r="U88" i="9"/>
  <c r="W88" i="9" s="1"/>
  <c r="U115" i="9"/>
  <c r="W115" i="9" s="1"/>
  <c r="U109" i="9"/>
  <c r="W109" i="9" s="1"/>
  <c r="U43" i="9"/>
  <c r="W43" i="9" s="1"/>
  <c r="U15" i="9"/>
  <c r="W15" i="9" s="1"/>
  <c r="U95" i="9"/>
  <c r="W95" i="9" s="1"/>
  <c r="V17" i="9"/>
  <c r="X17" i="9" s="1"/>
  <c r="V89" i="9"/>
  <c r="X89" i="9" s="1"/>
  <c r="V25" i="9"/>
  <c r="X25" i="9" s="1"/>
  <c r="V80" i="9"/>
  <c r="X80" i="9" s="1"/>
  <c r="V16" i="9"/>
  <c r="X16" i="9" s="1"/>
  <c r="V79" i="9"/>
  <c r="X79" i="9" s="1"/>
  <c r="V7" i="9"/>
  <c r="X7" i="9" s="1"/>
  <c r="V90" i="9"/>
  <c r="X90" i="9" s="1"/>
  <c r="V86" i="9"/>
  <c r="X86" i="9" s="1"/>
  <c r="V85" i="9"/>
  <c r="X85" i="9" s="1"/>
  <c r="V106" i="9"/>
  <c r="X106" i="9" s="1"/>
  <c r="V52" i="9"/>
  <c r="X52" i="9" s="1"/>
  <c r="U5" i="9"/>
  <c r="W5" i="9" s="1"/>
  <c r="U19" i="9"/>
  <c r="W19" i="9" s="1"/>
  <c r="U27" i="9"/>
  <c r="W27" i="9" s="1"/>
  <c r="U42" i="9"/>
  <c r="W42" i="9" s="1"/>
  <c r="U39" i="9"/>
  <c r="W39" i="9" s="1"/>
  <c r="U55" i="9"/>
  <c r="W55" i="9" s="1"/>
  <c r="U68" i="9"/>
  <c r="W68" i="9" s="1"/>
  <c r="U73" i="9"/>
  <c r="W73" i="9" s="1"/>
  <c r="U82" i="9"/>
  <c r="W82" i="9" s="1"/>
  <c r="U97" i="9"/>
  <c r="W97" i="9" s="1"/>
  <c r="U91" i="9"/>
  <c r="W91" i="9" s="1"/>
  <c r="U118" i="9"/>
  <c r="W118" i="9" s="1"/>
  <c r="U85" i="9"/>
  <c r="W85" i="9" s="1"/>
  <c r="U64" i="9"/>
  <c r="W64" i="9" s="1"/>
  <c r="U120" i="9"/>
  <c r="W120" i="9" s="1"/>
  <c r="V14" i="9"/>
  <c r="X14" i="9" s="1"/>
  <c r="V20" i="9"/>
  <c r="X20" i="9" s="1"/>
  <c r="V81" i="9"/>
  <c r="X81" i="9" s="1"/>
  <c r="V9" i="9"/>
  <c r="X9" i="9" s="1"/>
  <c r="V72" i="9"/>
  <c r="X72" i="9" s="1"/>
  <c r="V8" i="9"/>
  <c r="X8" i="9" s="1"/>
  <c r="V71" i="9"/>
  <c r="X71" i="9" s="1"/>
  <c r="V120" i="9"/>
  <c r="X120" i="9" s="1"/>
  <c r="V50" i="9"/>
  <c r="X50" i="9" s="1"/>
  <c r="V78" i="9"/>
  <c r="X78" i="9" s="1"/>
  <c r="V77" i="9"/>
  <c r="X77" i="9" s="1"/>
  <c r="V116" i="9"/>
  <c r="X116" i="9" s="1"/>
  <c r="V44" i="9"/>
  <c r="X44" i="9" s="1"/>
  <c r="U10" i="9"/>
  <c r="W10" i="9" s="1"/>
  <c r="U20" i="9"/>
  <c r="W20" i="9" s="1"/>
  <c r="U28" i="9"/>
  <c r="W28" i="9" s="1"/>
  <c r="U32" i="9"/>
  <c r="W32" i="9" s="1"/>
  <c r="U46" i="9"/>
  <c r="W46" i="9" s="1"/>
  <c r="U52" i="9"/>
  <c r="W52" i="9" s="1"/>
  <c r="U63" i="9"/>
  <c r="W63" i="9" s="1"/>
  <c r="U72" i="9"/>
  <c r="W72" i="9" s="1"/>
  <c r="U101" i="9"/>
  <c r="W101" i="9" s="1"/>
  <c r="U100" i="9"/>
  <c r="W100" i="9" s="1"/>
  <c r="U110" i="9"/>
  <c r="W110" i="9" s="1"/>
  <c r="U119" i="9"/>
  <c r="W119" i="9" s="1"/>
  <c r="U61" i="9"/>
  <c r="W61" i="9" s="1"/>
  <c r="U8" i="9"/>
  <c r="W8" i="9" s="1"/>
  <c r="U57" i="9"/>
  <c r="W57" i="9" s="1"/>
  <c r="V11" i="9"/>
  <c r="X11" i="9" s="1"/>
  <c r="V114" i="9"/>
  <c r="X114" i="9" s="1"/>
  <c r="V73" i="9"/>
  <c r="X73" i="9" s="1"/>
  <c r="V122" i="9"/>
  <c r="X122" i="9" s="1"/>
  <c r="V64" i="9"/>
  <c r="X64" i="9" s="1"/>
  <c r="V98" i="9"/>
  <c r="X98" i="9" s="1"/>
  <c r="V55" i="9"/>
  <c r="X55" i="9" s="1"/>
  <c r="V103" i="9"/>
  <c r="X103" i="9" s="1"/>
  <c r="V10" i="9"/>
  <c r="X10" i="9" s="1"/>
  <c r="V62" i="9"/>
  <c r="X62" i="9" s="1"/>
  <c r="V69" i="9"/>
  <c r="X69" i="9" s="1"/>
  <c r="V108" i="9"/>
  <c r="X108" i="9" s="1"/>
  <c r="V28" i="9"/>
  <c r="X28" i="9" s="1"/>
  <c r="V53" i="9"/>
  <c r="X53" i="9" s="1"/>
  <c r="U14" i="9"/>
  <c r="W14" i="9" s="1"/>
  <c r="U16" i="9"/>
  <c r="W16" i="9" s="1"/>
  <c r="U25" i="9"/>
  <c r="W25" i="9" s="1"/>
  <c r="U38" i="9"/>
  <c r="W38" i="9" s="1"/>
  <c r="U49" i="9"/>
  <c r="W49" i="9" s="1"/>
  <c r="U60" i="9"/>
  <c r="W60" i="9" s="1"/>
  <c r="U67" i="9"/>
  <c r="W67" i="9" s="1"/>
  <c r="U79" i="9"/>
  <c r="W79" i="9" s="1"/>
  <c r="U87" i="9"/>
  <c r="W87" i="9" s="1"/>
  <c r="U93" i="9"/>
  <c r="W93" i="9" s="1"/>
  <c r="U108" i="9"/>
  <c r="W108" i="9" s="1"/>
  <c r="U116" i="9"/>
  <c r="W116" i="9" s="1"/>
  <c r="U29" i="9"/>
  <c r="W29" i="9" s="1"/>
  <c r="U113" i="9"/>
  <c r="W113" i="9" s="1"/>
  <c r="U106" i="9"/>
  <c r="W106" i="9" s="1"/>
  <c r="V13" i="9"/>
  <c r="X13" i="9" s="1"/>
  <c r="V66" i="9"/>
  <c r="X66" i="9" s="1"/>
  <c r="V65" i="9"/>
  <c r="X65" i="9" s="1"/>
  <c r="V74" i="9"/>
  <c r="X74" i="9" s="1"/>
  <c r="V56" i="9"/>
  <c r="X56" i="9" s="1"/>
  <c r="V58" i="9"/>
  <c r="X58" i="9" s="1"/>
  <c r="V47" i="9"/>
  <c r="X47" i="9" s="1"/>
  <c r="V110" i="9"/>
  <c r="X110" i="9" s="1"/>
  <c r="V112" i="9"/>
  <c r="X112" i="9" s="1"/>
  <c r="V46" i="9"/>
  <c r="X46" i="9" s="1"/>
  <c r="V61" i="9"/>
  <c r="X61" i="9" s="1"/>
  <c r="V92" i="9"/>
  <c r="X92" i="9" s="1"/>
  <c r="V4" i="9"/>
  <c r="X4" i="9" s="1"/>
  <c r="V133" i="10"/>
  <c r="X133" i="10" s="1"/>
  <c r="V132" i="10"/>
  <c r="X132" i="10" s="1"/>
  <c r="U133" i="10"/>
  <c r="W133" i="10" s="1"/>
  <c r="U132" i="10"/>
  <c r="W132" i="10" s="1"/>
  <c r="V129" i="10"/>
  <c r="X129" i="10" s="1"/>
  <c r="V125" i="10"/>
  <c r="X125" i="10" s="1"/>
  <c r="V131" i="10"/>
  <c r="X131" i="10" s="1"/>
  <c r="V126" i="10"/>
  <c r="X126" i="10" s="1"/>
  <c r="V124" i="10"/>
  <c r="X124" i="10" s="1"/>
  <c r="V130" i="10"/>
  <c r="X130" i="10" s="1"/>
  <c r="V128" i="10"/>
  <c r="X128" i="10" s="1"/>
  <c r="V127" i="10"/>
  <c r="X127" i="10" s="1"/>
  <c r="U124" i="10"/>
  <c r="W124" i="10" s="1"/>
  <c r="U127" i="10"/>
  <c r="W127" i="10" s="1"/>
  <c r="U129" i="10"/>
  <c r="W129" i="10" s="1"/>
  <c r="U125" i="10"/>
  <c r="W125" i="10" s="1"/>
  <c r="U128" i="10"/>
  <c r="W128" i="10" s="1"/>
  <c r="U131" i="10"/>
  <c r="W131" i="10" s="1"/>
  <c r="U126" i="10"/>
  <c r="W126" i="10" s="1"/>
  <c r="U130" i="10"/>
  <c r="W130" i="10" s="1"/>
  <c r="V34" i="8"/>
  <c r="X34" i="8" s="1"/>
  <c r="V97" i="8"/>
  <c r="X97" i="8" s="1"/>
  <c r="V348" i="8"/>
  <c r="X348" i="8" s="1"/>
  <c r="V338" i="8"/>
  <c r="X338" i="8" s="1"/>
  <c r="V278" i="8"/>
  <c r="X278" i="8" s="1"/>
  <c r="V54" i="8"/>
  <c r="X54" i="8" s="1"/>
  <c r="V114" i="8"/>
  <c r="X114" i="8" s="1"/>
  <c r="V292" i="8"/>
  <c r="X292" i="8" s="1"/>
  <c r="V274" i="8"/>
  <c r="X274" i="8" s="1"/>
  <c r="V169" i="8"/>
  <c r="X169" i="8" s="1"/>
  <c r="V233" i="8"/>
  <c r="X233" i="8" s="1"/>
  <c r="V59" i="8"/>
  <c r="X59" i="8" s="1"/>
  <c r="V110" i="8"/>
  <c r="X110" i="8" s="1"/>
  <c r="V265" i="8"/>
  <c r="X265" i="8" s="1"/>
  <c r="V210" i="8"/>
  <c r="X210" i="8" s="1"/>
  <c r="V61" i="8"/>
  <c r="X61" i="8" s="1"/>
  <c r="V12" i="8"/>
  <c r="X12" i="8" s="1"/>
  <c r="V76" i="8"/>
  <c r="X76" i="8" s="1"/>
  <c r="V115" i="8"/>
  <c r="X115" i="8" s="1"/>
  <c r="V182" i="8"/>
  <c r="X182" i="8" s="1"/>
  <c r="V330" i="8"/>
  <c r="X330" i="8" s="1"/>
  <c r="V176" i="8"/>
  <c r="X176" i="8" s="1"/>
  <c r="V17" i="8"/>
  <c r="X17" i="8" s="1"/>
  <c r="V75" i="8"/>
  <c r="X75" i="8" s="1"/>
  <c r="V349" i="8"/>
  <c r="X349" i="8" s="1"/>
  <c r="V250" i="8"/>
  <c r="X250" i="8" s="1"/>
  <c r="V106" i="8"/>
  <c r="X106" i="8" s="1"/>
  <c r="V159" i="8"/>
  <c r="X159" i="8" s="1"/>
  <c r="V24" i="8"/>
  <c r="X24" i="8" s="1"/>
  <c r="V83" i="8"/>
  <c r="X83" i="8" s="1"/>
  <c r="V230" i="8"/>
  <c r="X230" i="8" s="1"/>
  <c r="V178" i="8"/>
  <c r="X178" i="8" s="1"/>
  <c r="V358" i="8"/>
  <c r="X358" i="8" s="1"/>
  <c r="AC5" i="18"/>
  <c r="U134" i="18" s="1"/>
  <c r="W134" i="18" s="1"/>
  <c r="V4" i="8"/>
  <c r="X4" i="8" s="1"/>
  <c r="V33" i="8"/>
  <c r="X33" i="8" s="1"/>
  <c r="V65" i="8"/>
  <c r="X65" i="8" s="1"/>
  <c r="V94" i="8"/>
  <c r="X94" i="8" s="1"/>
  <c r="V121" i="8"/>
  <c r="X121" i="8" s="1"/>
  <c r="V344" i="8"/>
  <c r="X344" i="8" s="1"/>
  <c r="V22" i="8"/>
  <c r="X22" i="8" s="1"/>
  <c r="V333" i="8"/>
  <c r="X333" i="8" s="1"/>
  <c r="V288" i="8"/>
  <c r="X288" i="8" s="1"/>
  <c r="V273" i="8"/>
  <c r="X273" i="8" s="1"/>
  <c r="V165" i="8"/>
  <c r="X165" i="8" s="1"/>
  <c r="V152" i="8"/>
  <c r="X152" i="8" s="1"/>
  <c r="V19" i="8"/>
  <c r="X19" i="8" s="1"/>
  <c r="V27" i="8"/>
  <c r="X27" i="8" s="1"/>
  <c r="V39" i="8"/>
  <c r="X39" i="8" s="1"/>
  <c r="V53" i="8"/>
  <c r="X53" i="8" s="1"/>
  <c r="V80" i="8"/>
  <c r="X80" i="8" s="1"/>
  <c r="V84" i="8"/>
  <c r="X84" i="8" s="1"/>
  <c r="V105" i="8"/>
  <c r="X105" i="8" s="1"/>
  <c r="V108" i="8"/>
  <c r="X108" i="8" s="1"/>
  <c r="V123" i="8"/>
  <c r="X123" i="8" s="1"/>
  <c r="V336" i="8"/>
  <c r="X336" i="8" s="1"/>
  <c r="V334" i="8"/>
  <c r="X334" i="8" s="1"/>
  <c r="V281" i="8"/>
  <c r="X281" i="8" s="1"/>
  <c r="V345" i="8"/>
  <c r="X345" i="8" s="1"/>
  <c r="V320" i="8"/>
  <c r="X320" i="8" s="1"/>
  <c r="V328" i="8"/>
  <c r="X328" i="8" s="1"/>
  <c r="V253" i="8"/>
  <c r="X253" i="8" s="1"/>
  <c r="V158" i="8"/>
  <c r="X158" i="8" s="1"/>
  <c r="V346" i="8"/>
  <c r="X346" i="8" s="1"/>
  <c r="V262" i="8"/>
  <c r="X262" i="8" s="1"/>
  <c r="V221" i="8"/>
  <c r="X221" i="8" s="1"/>
  <c r="V157" i="8"/>
  <c r="X157" i="8" s="1"/>
  <c r="V9" i="8"/>
  <c r="X9" i="8" s="1"/>
  <c r="V144" i="8"/>
  <c r="X144" i="8" s="1"/>
  <c r="V25" i="8"/>
  <c r="X25" i="8" s="1"/>
  <c r="V52" i="8"/>
  <c r="X52" i="8" s="1"/>
  <c r="V82" i="8"/>
  <c r="X82" i="8" s="1"/>
  <c r="V111" i="8"/>
  <c r="X111" i="8" s="1"/>
  <c r="V361" i="8"/>
  <c r="X361" i="8" s="1"/>
  <c r="V286" i="8"/>
  <c r="X286" i="8" s="1"/>
  <c r="V50" i="8"/>
  <c r="X50" i="8" s="1"/>
  <c r="V264" i="8"/>
  <c r="X264" i="8" s="1"/>
  <c r="V354" i="8"/>
  <c r="X354" i="8" s="1"/>
  <c r="V229" i="8"/>
  <c r="X229" i="8" s="1"/>
  <c r="V57" i="8"/>
  <c r="X57" i="8" s="1"/>
  <c r="V18" i="8"/>
  <c r="X18" i="8" s="1"/>
  <c r="V30" i="8"/>
  <c r="X30" i="8" s="1"/>
  <c r="V49" i="8"/>
  <c r="X49" i="8" s="1"/>
  <c r="V56" i="8"/>
  <c r="X56" i="8" s="1"/>
  <c r="V70" i="8"/>
  <c r="X70" i="8" s="1"/>
  <c r="V88" i="8"/>
  <c r="X88" i="8" s="1"/>
  <c r="V103" i="8"/>
  <c r="X103" i="8" s="1"/>
  <c r="V107" i="8"/>
  <c r="X107" i="8" s="1"/>
  <c r="V130" i="8"/>
  <c r="X130" i="8" s="1"/>
  <c r="V304" i="8"/>
  <c r="X304" i="8" s="1"/>
  <c r="V329" i="8"/>
  <c r="X329" i="8" s="1"/>
  <c r="V270" i="8"/>
  <c r="X270" i="8" s="1"/>
  <c r="V314" i="8"/>
  <c r="X314" i="8" s="1"/>
  <c r="V266" i="8"/>
  <c r="X266" i="8" s="1"/>
  <c r="V317" i="8"/>
  <c r="X317" i="8" s="1"/>
  <c r="V226" i="8"/>
  <c r="X226" i="8" s="1"/>
  <c r="V246" i="8"/>
  <c r="X246" i="8" s="1"/>
  <c r="V337" i="8"/>
  <c r="X337" i="8" s="1"/>
  <c r="V252" i="8"/>
  <c r="X252" i="8" s="1"/>
  <c r="V213" i="8"/>
  <c r="X213" i="8" s="1"/>
  <c r="V149" i="8"/>
  <c r="X149" i="8" s="1"/>
  <c r="V240" i="8"/>
  <c r="X240" i="8" s="1"/>
  <c r="V327" i="8"/>
  <c r="X327" i="8" s="1"/>
  <c r="V206" i="8"/>
  <c r="X206" i="8" s="1"/>
  <c r="V137" i="8"/>
  <c r="X137" i="8" s="1"/>
  <c r="V299" i="8"/>
  <c r="X299" i="8" s="1"/>
  <c r="V13" i="8"/>
  <c r="X13" i="8" s="1"/>
  <c r="V21" i="8"/>
  <c r="X21" i="8" s="1"/>
  <c r="V40" i="8"/>
  <c r="X40" i="8" s="1"/>
  <c r="V48" i="8"/>
  <c r="X48" i="8" s="1"/>
  <c r="V60" i="8"/>
  <c r="X60" i="8" s="1"/>
  <c r="V77" i="8"/>
  <c r="X77" i="8" s="1"/>
  <c r="V87" i="8"/>
  <c r="X87" i="8" s="1"/>
  <c r="V101" i="8"/>
  <c r="X101" i="8" s="1"/>
  <c r="V119" i="8"/>
  <c r="X119" i="8" s="1"/>
  <c r="V325" i="8"/>
  <c r="X325" i="8" s="1"/>
  <c r="V364" i="8"/>
  <c r="X364" i="8" s="1"/>
  <c r="V313" i="8"/>
  <c r="X313" i="8" s="1"/>
  <c r="V260" i="8"/>
  <c r="X260" i="8" s="1"/>
  <c r="V202" i="8"/>
  <c r="X202" i="8" s="1"/>
  <c r="V363" i="8"/>
  <c r="X363" i="8" s="1"/>
  <c r="V296" i="8"/>
  <c r="X296" i="8" s="1"/>
  <c r="V174" i="8"/>
  <c r="X174" i="8" s="1"/>
  <c r="V365" i="8"/>
  <c r="X365" i="8" s="1"/>
  <c r="V316" i="8"/>
  <c r="X316" i="8" s="1"/>
  <c r="V190" i="8"/>
  <c r="X190" i="8" s="1"/>
  <c r="V197" i="8"/>
  <c r="X197" i="8" s="1"/>
  <c r="V133" i="8"/>
  <c r="X133" i="8" s="1"/>
  <c r="V224" i="8"/>
  <c r="X224" i="8" s="1"/>
  <c r="V295" i="8"/>
  <c r="X295" i="8" s="1"/>
  <c r="V201" i="8"/>
  <c r="X201" i="8" s="1"/>
  <c r="V228" i="8"/>
  <c r="X228" i="8" s="1"/>
  <c r="V10" i="8"/>
  <c r="X10" i="8" s="1"/>
  <c r="V16" i="8"/>
  <c r="X16" i="8" s="1"/>
  <c r="V35" i="8"/>
  <c r="X35" i="8" s="1"/>
  <c r="V46" i="8"/>
  <c r="X46" i="8" s="1"/>
  <c r="V58" i="8"/>
  <c r="X58" i="8" s="1"/>
  <c r="V73" i="8"/>
  <c r="X73" i="8" s="1"/>
  <c r="V89" i="8"/>
  <c r="X89" i="8" s="1"/>
  <c r="V104" i="8"/>
  <c r="X104" i="8" s="1"/>
  <c r="V117" i="8"/>
  <c r="X117" i="8" s="1"/>
  <c r="V261" i="8"/>
  <c r="X261" i="8" s="1"/>
  <c r="V360" i="8"/>
  <c r="X360" i="8" s="1"/>
  <c r="V308" i="8"/>
  <c r="X308" i="8" s="1"/>
  <c r="V214" i="8"/>
  <c r="X214" i="8" s="1"/>
  <c r="V248" i="8"/>
  <c r="X248" i="8" s="1"/>
  <c r="V355" i="8"/>
  <c r="X355" i="8" s="1"/>
  <c r="V290" i="8"/>
  <c r="X290" i="8" s="1"/>
  <c r="V78" i="8"/>
  <c r="X78" i="8" s="1"/>
  <c r="V309" i="8"/>
  <c r="X309" i="8" s="1"/>
  <c r="V305" i="8"/>
  <c r="X305" i="8" s="1"/>
  <c r="V134" i="8"/>
  <c r="X134" i="8" s="1"/>
  <c r="V189" i="8"/>
  <c r="X189" i="8" s="1"/>
  <c r="V125" i="8"/>
  <c r="X125" i="8" s="1"/>
  <c r="V208" i="8"/>
  <c r="X208" i="8" s="1"/>
  <c r="V271" i="8"/>
  <c r="X271" i="8" s="1"/>
  <c r="V5" i="8"/>
  <c r="X5" i="8" s="1"/>
  <c r="V28" i="8"/>
  <c r="X28" i="8" s="1"/>
  <c r="V42" i="8"/>
  <c r="X42" i="8" s="1"/>
  <c r="V47" i="8"/>
  <c r="X47" i="8" s="1"/>
  <c r="V72" i="8"/>
  <c r="X72" i="8" s="1"/>
  <c r="V67" i="8"/>
  <c r="X67" i="8" s="1"/>
  <c r="V96" i="8"/>
  <c r="X96" i="8" s="1"/>
  <c r="V95" i="8"/>
  <c r="X95" i="8" s="1"/>
  <c r="V118" i="8"/>
  <c r="X118" i="8" s="1"/>
  <c r="V249" i="8"/>
  <c r="X249" i="8" s="1"/>
  <c r="V352" i="8"/>
  <c r="X352" i="8" s="1"/>
  <c r="V302" i="8"/>
  <c r="X302" i="8" s="1"/>
  <c r="V198" i="8"/>
  <c r="X198" i="8" s="1"/>
  <c r="V238" i="8"/>
  <c r="X238" i="8" s="1"/>
  <c r="V347" i="8"/>
  <c r="X347" i="8" s="1"/>
  <c r="V285" i="8"/>
  <c r="X285" i="8" s="1"/>
  <c r="V357" i="8"/>
  <c r="X357" i="8" s="1"/>
  <c r="V218" i="8"/>
  <c r="X218" i="8" s="1"/>
  <c r="V294" i="8"/>
  <c r="X294" i="8" s="1"/>
  <c r="V245" i="8"/>
  <c r="X245" i="8" s="1"/>
  <c r="V181" i="8"/>
  <c r="X181" i="8" s="1"/>
  <c r="V85" i="8"/>
  <c r="X85" i="8" s="1"/>
  <c r="V180" i="8"/>
  <c r="X180" i="8" s="1"/>
  <c r="V263" i="8"/>
  <c r="X263" i="8" s="1"/>
  <c r="V92" i="8"/>
  <c r="X92" i="8" s="1"/>
  <c r="V235" i="8"/>
  <c r="X235" i="8" s="1"/>
  <c r="V68" i="8"/>
  <c r="X68" i="8" s="1"/>
  <c r="V231" i="8"/>
  <c r="X231" i="8" s="1"/>
  <c r="V216" i="8"/>
  <c r="X216" i="8" s="1"/>
  <c r="V335" i="8"/>
  <c r="X335" i="8" s="1"/>
  <c r="V207" i="8"/>
  <c r="X207" i="8" s="1"/>
  <c r="V242" i="8"/>
  <c r="X242" i="8" s="1"/>
  <c r="V353" i="8"/>
  <c r="X353" i="8" s="1"/>
  <c r="V351" i="8"/>
  <c r="X351" i="8" s="1"/>
  <c r="V312" i="8"/>
  <c r="X312" i="8" s="1"/>
  <c r="V269" i="8"/>
  <c r="X269" i="8" s="1"/>
  <c r="V142" i="8"/>
  <c r="X142" i="8" s="1"/>
  <c r="V2" i="8"/>
  <c r="X2" i="8" s="1"/>
  <c r="V277" i="8"/>
  <c r="X277" i="8" s="1"/>
  <c r="V342" i="8"/>
  <c r="X342" i="8" s="1"/>
  <c r="V300" i="8"/>
  <c r="X300" i="8" s="1"/>
  <c r="V257" i="8"/>
  <c r="X257" i="8" s="1"/>
  <c r="V6" i="8"/>
  <c r="X6" i="8" s="1"/>
  <c r="V217" i="8"/>
  <c r="X217" i="8" s="1"/>
  <c r="V185" i="8"/>
  <c r="X185" i="8" s="1"/>
  <c r="V153" i="8"/>
  <c r="X153" i="8" s="1"/>
  <c r="V113" i="8"/>
  <c r="X113" i="8" s="1"/>
  <c r="V244" i="8"/>
  <c r="X244" i="8" s="1"/>
  <c r="V212" i="8"/>
  <c r="X212" i="8" s="1"/>
  <c r="V148" i="8"/>
  <c r="X148" i="8" s="1"/>
  <c r="V331" i="8"/>
  <c r="X331" i="8" s="1"/>
  <c r="V267" i="8"/>
  <c r="X267" i="8" s="1"/>
  <c r="V203" i="8"/>
  <c r="X203" i="8" s="1"/>
  <c r="V7" i="8"/>
  <c r="X7" i="8" s="1"/>
  <c r="V191" i="8"/>
  <c r="X191" i="8" s="1"/>
  <c r="V14" i="8"/>
  <c r="X14" i="8" s="1"/>
  <c r="V26" i="8"/>
  <c r="X26" i="8" s="1"/>
  <c r="V37" i="8"/>
  <c r="X37" i="8" s="1"/>
  <c r="V41" i="8"/>
  <c r="X41" i="8" s="1"/>
  <c r="V51" i="8"/>
  <c r="X51" i="8" s="1"/>
  <c r="V63" i="8"/>
  <c r="X63" i="8" s="1"/>
  <c r="V79" i="8"/>
  <c r="X79" i="8" s="1"/>
  <c r="V91" i="8"/>
  <c r="X91" i="8" s="1"/>
  <c r="V100" i="8"/>
  <c r="X100" i="8" s="1"/>
  <c r="V102" i="8"/>
  <c r="X102" i="8" s="1"/>
  <c r="V112" i="8"/>
  <c r="X112" i="8" s="1"/>
  <c r="V122" i="8"/>
  <c r="X122" i="8" s="1"/>
  <c r="V154" i="8"/>
  <c r="X154" i="8" s="1"/>
  <c r="V356" i="8"/>
  <c r="X356" i="8" s="1"/>
  <c r="V318" i="8"/>
  <c r="X318" i="8" s="1"/>
  <c r="V276" i="8"/>
  <c r="X276" i="8" s="1"/>
  <c r="V150" i="8"/>
  <c r="X150" i="8" s="1"/>
  <c r="V186" i="8"/>
  <c r="X186" i="8" s="1"/>
  <c r="V293" i="8"/>
  <c r="X293" i="8" s="1"/>
  <c r="V343" i="8"/>
  <c r="X343" i="8" s="1"/>
  <c r="V301" i="8"/>
  <c r="X301" i="8" s="1"/>
  <c r="V258" i="8"/>
  <c r="X258" i="8" s="1"/>
  <c r="V162" i="8"/>
  <c r="X162" i="8" s="1"/>
  <c r="V170" i="8"/>
  <c r="X170" i="8" s="1"/>
  <c r="V366" i="8"/>
  <c r="X366" i="8" s="1"/>
  <c r="V332" i="8"/>
  <c r="X332" i="8" s="1"/>
  <c r="V289" i="8"/>
  <c r="X289" i="8" s="1"/>
  <c r="V234" i="8"/>
  <c r="X234" i="8" s="1"/>
  <c r="V241" i="8"/>
  <c r="X241" i="8" s="1"/>
  <c r="V209" i="8"/>
  <c r="X209" i="8" s="1"/>
  <c r="V177" i="8"/>
  <c r="X177" i="8" s="1"/>
  <c r="V145" i="8"/>
  <c r="X145" i="8" s="1"/>
  <c r="V81" i="8"/>
  <c r="X81" i="8" s="1"/>
  <c r="V236" i="8"/>
  <c r="X236" i="8" s="1"/>
  <c r="V200" i="8"/>
  <c r="X200" i="8" s="1"/>
  <c r="V136" i="8"/>
  <c r="X136" i="8" s="1"/>
  <c r="V319" i="8"/>
  <c r="X319" i="8" s="1"/>
  <c r="V255" i="8"/>
  <c r="X255" i="8" s="1"/>
  <c r="V175" i="8"/>
  <c r="X175" i="8" s="1"/>
  <c r="V138" i="8"/>
  <c r="X138" i="8" s="1"/>
  <c r="V362" i="8"/>
  <c r="X362" i="8" s="1"/>
  <c r="V326" i="8"/>
  <c r="X326" i="8" s="1"/>
  <c r="V284" i="8"/>
  <c r="X284" i="8" s="1"/>
  <c r="V222" i="8"/>
  <c r="X222" i="8" s="1"/>
  <c r="V237" i="8"/>
  <c r="X237" i="8" s="1"/>
  <c r="V205" i="8"/>
  <c r="X205" i="8" s="1"/>
  <c r="V173" i="8"/>
  <c r="X173" i="8" s="1"/>
  <c r="V141" i="8"/>
  <c r="X141" i="8" s="1"/>
  <c r="V69" i="8"/>
  <c r="X69" i="8" s="1"/>
  <c r="V232" i="8"/>
  <c r="X232" i="8" s="1"/>
  <c r="V184" i="8"/>
  <c r="X184" i="8" s="1"/>
  <c r="V120" i="8"/>
  <c r="X120" i="8" s="1"/>
  <c r="V303" i="8"/>
  <c r="X303" i="8" s="1"/>
  <c r="V239" i="8"/>
  <c r="X239" i="8" s="1"/>
  <c r="V171" i="8"/>
  <c r="X171" i="8" s="1"/>
  <c r="V143" i="8"/>
  <c r="X143" i="8" s="1"/>
  <c r="V3" i="8"/>
  <c r="X3" i="8" s="1"/>
  <c r="V20" i="8"/>
  <c r="X20" i="8" s="1"/>
  <c r="V23" i="8"/>
  <c r="X23" i="8" s="1"/>
  <c r="V38" i="8"/>
  <c r="X38" i="8" s="1"/>
  <c r="V44" i="8"/>
  <c r="X44" i="8" s="1"/>
  <c r="V55" i="8"/>
  <c r="X55" i="8" s="1"/>
  <c r="V74" i="8"/>
  <c r="X74" i="8" s="1"/>
  <c r="V66" i="8"/>
  <c r="X66" i="8" s="1"/>
  <c r="V90" i="8"/>
  <c r="X90" i="8" s="1"/>
  <c r="V98" i="8"/>
  <c r="X98" i="8" s="1"/>
  <c r="V109" i="8"/>
  <c r="X109" i="8" s="1"/>
  <c r="V116" i="8"/>
  <c r="X116" i="8" s="1"/>
  <c r="V298" i="8"/>
  <c r="X298" i="8" s="1"/>
  <c r="V272" i="8"/>
  <c r="X272" i="8" s="1"/>
  <c r="V340" i="8"/>
  <c r="X340" i="8" s="1"/>
  <c r="V297" i="8"/>
  <c r="X297" i="8" s="1"/>
  <c r="V254" i="8"/>
  <c r="X254" i="8" s="1"/>
  <c r="V282" i="8"/>
  <c r="X282" i="8" s="1"/>
  <c r="V146" i="8"/>
  <c r="X146" i="8" s="1"/>
  <c r="V359" i="8"/>
  <c r="X359" i="8" s="1"/>
  <c r="V322" i="8"/>
  <c r="X322" i="8" s="1"/>
  <c r="V280" i="8"/>
  <c r="X280" i="8" s="1"/>
  <c r="V194" i="8"/>
  <c r="X194" i="8" s="1"/>
  <c r="V256" i="8"/>
  <c r="X256" i="8" s="1"/>
  <c r="V341" i="8"/>
  <c r="X341" i="8" s="1"/>
  <c r="V350" i="8"/>
  <c r="X350" i="8" s="1"/>
  <c r="V310" i="8"/>
  <c r="X310" i="8" s="1"/>
  <c r="V268" i="8"/>
  <c r="X268" i="8" s="1"/>
  <c r="V166" i="8"/>
  <c r="X166" i="8" s="1"/>
  <c r="V225" i="8"/>
  <c r="X225" i="8" s="1"/>
  <c r="V193" i="8"/>
  <c r="X193" i="8" s="1"/>
  <c r="V161" i="8"/>
  <c r="X161" i="8" s="1"/>
  <c r="V129" i="8"/>
  <c r="X129" i="8" s="1"/>
  <c r="V29" i="8"/>
  <c r="X29" i="8" s="1"/>
  <c r="V220" i="8"/>
  <c r="X220" i="8" s="1"/>
  <c r="V168" i="8"/>
  <c r="X168" i="8" s="1"/>
  <c r="V36" i="8"/>
  <c r="X36" i="8" s="1"/>
  <c r="V287" i="8"/>
  <c r="X287" i="8" s="1"/>
  <c r="V223" i="8"/>
  <c r="X223" i="8" s="1"/>
  <c r="V139" i="8"/>
  <c r="X139" i="8" s="1"/>
  <c r="V99" i="8"/>
  <c r="X99" i="8" s="1"/>
  <c r="V115" i="9"/>
  <c r="X115" i="9" s="1"/>
  <c r="V107" i="9"/>
  <c r="X107" i="9" s="1"/>
  <c r="V75" i="9"/>
  <c r="X75" i="9" s="1"/>
  <c r="V123" i="9"/>
  <c r="X123" i="9" s="1"/>
  <c r="V67" i="9"/>
  <c r="X67" i="9" s="1"/>
  <c r="V126" i="9"/>
  <c r="X126" i="9" s="1"/>
  <c r="V128" i="9"/>
  <c r="X128" i="9" s="1"/>
  <c r="V127" i="9"/>
  <c r="X127" i="9" s="1"/>
  <c r="U126" i="9"/>
  <c r="W126" i="9" s="1"/>
  <c r="U132" i="9"/>
  <c r="W132" i="9" s="1"/>
  <c r="V130" i="9"/>
  <c r="X130" i="9" s="1"/>
  <c r="V125" i="9"/>
  <c r="X125" i="9" s="1"/>
  <c r="U130" i="9"/>
  <c r="W130" i="9" s="1"/>
  <c r="U134" i="9"/>
  <c r="W134" i="9" s="1"/>
  <c r="U125" i="9"/>
  <c r="W125" i="9" s="1"/>
  <c r="V124" i="9"/>
  <c r="X124" i="9" s="1"/>
  <c r="V131" i="9"/>
  <c r="X131" i="9" s="1"/>
  <c r="V133" i="9"/>
  <c r="X133" i="9" s="1"/>
  <c r="U128" i="9"/>
  <c r="W128" i="9" s="1"/>
  <c r="V134" i="9"/>
  <c r="X134" i="9" s="1"/>
  <c r="U127" i="9"/>
  <c r="W127" i="9" s="1"/>
  <c r="V129" i="9"/>
  <c r="X129" i="9" s="1"/>
  <c r="U129" i="9"/>
  <c r="W129" i="9" s="1"/>
  <c r="U124" i="9"/>
  <c r="W124" i="9" s="1"/>
  <c r="V132" i="9"/>
  <c r="X132" i="9" s="1"/>
  <c r="U135" i="9"/>
  <c r="W135" i="9" s="1"/>
  <c r="U131" i="9"/>
  <c r="W131" i="9" s="1"/>
  <c r="V135" i="9"/>
  <c r="X135" i="9" s="1"/>
  <c r="U133" i="9"/>
  <c r="W133" i="9" s="1"/>
  <c r="V91" i="9"/>
  <c r="X91" i="9" s="1"/>
  <c r="V59" i="9"/>
  <c r="X59" i="9" s="1"/>
  <c r="V51" i="9"/>
  <c r="X51" i="9" s="1"/>
  <c r="V27" i="9"/>
  <c r="X27" i="9" s="1"/>
  <c r="V199" i="8"/>
  <c r="X199" i="8" s="1"/>
  <c r="V167" i="8"/>
  <c r="X167" i="8" s="1"/>
  <c r="V135" i="8"/>
  <c r="X135" i="8" s="1"/>
  <c r="V204" i="8"/>
  <c r="X204" i="8" s="1"/>
  <c r="V172" i="8"/>
  <c r="X172" i="8" s="1"/>
  <c r="V140" i="8"/>
  <c r="X140" i="8" s="1"/>
  <c r="V64" i="8"/>
  <c r="X64" i="8" s="1"/>
  <c r="V323" i="8"/>
  <c r="X323" i="8" s="1"/>
  <c r="V291" i="8"/>
  <c r="X291" i="8" s="1"/>
  <c r="V259" i="8"/>
  <c r="X259" i="8" s="1"/>
  <c r="V227" i="8"/>
  <c r="X227" i="8" s="1"/>
  <c r="V195" i="8"/>
  <c r="X195" i="8" s="1"/>
  <c r="V163" i="8"/>
  <c r="X163" i="8" s="1"/>
  <c r="V127" i="8"/>
  <c r="X127" i="8" s="1"/>
  <c r="V196" i="8"/>
  <c r="X196" i="8" s="1"/>
  <c r="V164" i="8"/>
  <c r="X164" i="8" s="1"/>
  <c r="V132" i="8"/>
  <c r="X132" i="8" s="1"/>
  <c r="V32" i="8"/>
  <c r="X32" i="8" s="1"/>
  <c r="V315" i="8"/>
  <c r="X315" i="8" s="1"/>
  <c r="V283" i="8"/>
  <c r="X283" i="8" s="1"/>
  <c r="V251" i="8"/>
  <c r="X251" i="8" s="1"/>
  <c r="V219" i="8"/>
  <c r="X219" i="8" s="1"/>
  <c r="V187" i="8"/>
  <c r="X187" i="8" s="1"/>
  <c r="V155" i="8"/>
  <c r="X155" i="8" s="1"/>
  <c r="V71" i="8"/>
  <c r="X71" i="8" s="1"/>
  <c r="V192" i="8"/>
  <c r="X192" i="8" s="1"/>
  <c r="V160" i="8"/>
  <c r="X160" i="8" s="1"/>
  <c r="V128" i="8"/>
  <c r="X128" i="8" s="1"/>
  <c r="V8" i="8"/>
  <c r="X8" i="8" s="1"/>
  <c r="V311" i="8"/>
  <c r="X311" i="8" s="1"/>
  <c r="V279" i="8"/>
  <c r="X279" i="8" s="1"/>
  <c r="V247" i="8"/>
  <c r="X247" i="8" s="1"/>
  <c r="V215" i="8"/>
  <c r="X215" i="8" s="1"/>
  <c r="V183" i="8"/>
  <c r="X183" i="8" s="1"/>
  <c r="V151" i="8"/>
  <c r="X151" i="8" s="1"/>
  <c r="V15" i="8"/>
  <c r="X15" i="8" s="1"/>
  <c r="V188" i="8"/>
  <c r="X188" i="8" s="1"/>
  <c r="V156" i="8"/>
  <c r="X156" i="8" s="1"/>
  <c r="V124" i="8"/>
  <c r="X124" i="8" s="1"/>
  <c r="V339" i="8"/>
  <c r="X339" i="8" s="1"/>
  <c r="V307" i="8"/>
  <c r="X307" i="8" s="1"/>
  <c r="V275" i="8"/>
  <c r="X275" i="8" s="1"/>
  <c r="V243" i="8"/>
  <c r="X243" i="8" s="1"/>
  <c r="V211" i="8"/>
  <c r="X211" i="8" s="1"/>
  <c r="V179" i="8"/>
  <c r="X179" i="8" s="1"/>
  <c r="V147" i="8"/>
  <c r="X147" i="8" s="1"/>
  <c r="V11" i="8"/>
  <c r="X11" i="8" s="1"/>
  <c r="V131" i="8"/>
  <c r="X131" i="8" s="1"/>
  <c r="V122" i="10"/>
  <c r="X122" i="10" s="1"/>
  <c r="V114" i="10"/>
  <c r="V106" i="10"/>
  <c r="V98" i="10"/>
  <c r="X98" i="10" s="1"/>
  <c r="V90" i="10"/>
  <c r="V82" i="10"/>
  <c r="X82" i="10" s="1"/>
  <c r="V74" i="10"/>
  <c r="V66" i="10"/>
  <c r="X66" i="10" s="1"/>
  <c r="V58" i="10"/>
  <c r="X58" i="10" s="1"/>
  <c r="V50" i="10"/>
  <c r="X50" i="10" s="1"/>
  <c r="V42" i="10"/>
  <c r="X42" i="10" s="1"/>
  <c r="V34" i="10"/>
  <c r="X34" i="10" s="1"/>
  <c r="V26" i="10"/>
  <c r="V18" i="10"/>
  <c r="V10" i="10"/>
  <c r="V2" i="10"/>
  <c r="X2" i="10" s="1"/>
  <c r="V118" i="10"/>
  <c r="X118" i="10" s="1"/>
  <c r="V94" i="10"/>
  <c r="V78" i="10"/>
  <c r="X78" i="10" s="1"/>
  <c r="V62" i="10"/>
  <c r="X62" i="10" s="1"/>
  <c r="V46" i="10"/>
  <c r="V14" i="10"/>
  <c r="X14" i="10" s="1"/>
  <c r="V117" i="10"/>
  <c r="V93" i="10"/>
  <c r="X93" i="10" s="1"/>
  <c r="V61" i="10"/>
  <c r="X61" i="10" s="1"/>
  <c r="V45" i="10"/>
  <c r="V21" i="10"/>
  <c r="X21" i="10" s="1"/>
  <c r="V121" i="10"/>
  <c r="X121" i="10" s="1"/>
  <c r="V113" i="10"/>
  <c r="V105" i="10"/>
  <c r="X105" i="10" s="1"/>
  <c r="V97" i="10"/>
  <c r="V89" i="10"/>
  <c r="X89" i="10" s="1"/>
  <c r="V81" i="10"/>
  <c r="X81" i="10" s="1"/>
  <c r="V73" i="10"/>
  <c r="V65" i="10"/>
  <c r="X65" i="10" s="1"/>
  <c r="V57" i="10"/>
  <c r="X57" i="10" s="1"/>
  <c r="V49" i="10"/>
  <c r="V41" i="10"/>
  <c r="X41" i="10" s="1"/>
  <c r="V33" i="10"/>
  <c r="V25" i="10"/>
  <c r="X25" i="10" s="1"/>
  <c r="V17" i="10"/>
  <c r="X17" i="10" s="1"/>
  <c r="V9" i="10"/>
  <c r="X9" i="10" s="1"/>
  <c r="V22" i="10"/>
  <c r="X22" i="10" s="1"/>
  <c r="V120" i="10"/>
  <c r="X120" i="10" s="1"/>
  <c r="V112" i="10"/>
  <c r="V104" i="10"/>
  <c r="V96" i="10"/>
  <c r="V88" i="10"/>
  <c r="X88" i="10" s="1"/>
  <c r="V80" i="10"/>
  <c r="X80" i="10" s="1"/>
  <c r="V72" i="10"/>
  <c r="V64" i="10"/>
  <c r="X64" i="10" s="1"/>
  <c r="V56" i="10"/>
  <c r="X56" i="10" s="1"/>
  <c r="V48" i="10"/>
  <c r="X48" i="10" s="1"/>
  <c r="V40" i="10"/>
  <c r="X40" i="10" s="1"/>
  <c r="V32" i="10"/>
  <c r="V24" i="10"/>
  <c r="X24" i="10" s="1"/>
  <c r="V16" i="10"/>
  <c r="V8" i="10"/>
  <c r="X8" i="10" s="1"/>
  <c r="V102" i="10"/>
  <c r="X102" i="10" s="1"/>
  <c r="V38" i="10"/>
  <c r="X38" i="10" s="1"/>
  <c r="V109" i="10"/>
  <c r="V69" i="10"/>
  <c r="V37" i="10"/>
  <c r="V5" i="10"/>
  <c r="X5" i="10" s="1"/>
  <c r="V119" i="10"/>
  <c r="X119" i="10" s="1"/>
  <c r="V111" i="10"/>
  <c r="X111" i="10" s="1"/>
  <c r="V103" i="10"/>
  <c r="X103" i="10" s="1"/>
  <c r="V95" i="10"/>
  <c r="X95" i="10" s="1"/>
  <c r="V87" i="10"/>
  <c r="V79" i="10"/>
  <c r="X79" i="10" s="1"/>
  <c r="V71" i="10"/>
  <c r="V63" i="10"/>
  <c r="X63" i="10" s="1"/>
  <c r="V55" i="10"/>
  <c r="X55" i="10" s="1"/>
  <c r="V47" i="10"/>
  <c r="X47" i="10" s="1"/>
  <c r="V39" i="10"/>
  <c r="X39" i="10" s="1"/>
  <c r="V31" i="10"/>
  <c r="X31" i="10" s="1"/>
  <c r="V23" i="10"/>
  <c r="V15" i="10"/>
  <c r="X15" i="10" s="1"/>
  <c r="V7" i="10"/>
  <c r="V110" i="10"/>
  <c r="X110" i="10" s="1"/>
  <c r="V86" i="10"/>
  <c r="X86" i="10" s="1"/>
  <c r="V70" i="10"/>
  <c r="X70" i="10" s="1"/>
  <c r="V54" i="10"/>
  <c r="X54" i="10" s="1"/>
  <c r="V30" i="10"/>
  <c r="X30" i="10" s="1"/>
  <c r="V6" i="10"/>
  <c r="V101" i="10"/>
  <c r="X101" i="10" s="1"/>
  <c r="V77" i="10"/>
  <c r="V53" i="10"/>
  <c r="X53" i="10" s="1"/>
  <c r="V29" i="10"/>
  <c r="V13" i="10"/>
  <c r="V116" i="10"/>
  <c r="X116" i="10" s="1"/>
  <c r="V108" i="10"/>
  <c r="X108" i="10" s="1"/>
  <c r="V100" i="10"/>
  <c r="X100" i="10" s="1"/>
  <c r="V92" i="10"/>
  <c r="X92" i="10" s="1"/>
  <c r="V84" i="10"/>
  <c r="V76" i="10"/>
  <c r="X76" i="10" s="1"/>
  <c r="V68" i="10"/>
  <c r="X68" i="10" s="1"/>
  <c r="V60" i="10"/>
  <c r="X60" i="10" s="1"/>
  <c r="V52" i="10"/>
  <c r="X52" i="10" s="1"/>
  <c r="V44" i="10"/>
  <c r="X44" i="10" s="1"/>
  <c r="V36" i="10"/>
  <c r="V28" i="10"/>
  <c r="X28" i="10" s="1"/>
  <c r="V20" i="10"/>
  <c r="V12" i="10"/>
  <c r="X12" i="10" s="1"/>
  <c r="V4" i="10"/>
  <c r="X4" i="10" s="1"/>
  <c r="V123" i="10"/>
  <c r="X123" i="10" s="1"/>
  <c r="V115" i="10"/>
  <c r="X115" i="10" s="1"/>
  <c r="V107" i="10"/>
  <c r="X107" i="10" s="1"/>
  <c r="V99" i="10"/>
  <c r="X99" i="10" s="1"/>
  <c r="V91" i="10"/>
  <c r="X91" i="10" s="1"/>
  <c r="V83" i="10"/>
  <c r="V75" i="10"/>
  <c r="X75" i="10" s="1"/>
  <c r="V67" i="10"/>
  <c r="X67" i="10" s="1"/>
  <c r="V59" i="10"/>
  <c r="X59" i="10" s="1"/>
  <c r="V51" i="10"/>
  <c r="X51" i="10" s="1"/>
  <c r="V43" i="10"/>
  <c r="X43" i="10" s="1"/>
  <c r="V35" i="10"/>
  <c r="V27" i="10"/>
  <c r="X27" i="10" s="1"/>
  <c r="V19" i="10"/>
  <c r="V11" i="10"/>
  <c r="X11" i="10" s="1"/>
  <c r="V3" i="10"/>
  <c r="X3" i="10" s="1"/>
  <c r="V85" i="10"/>
  <c r="X85" i="10" s="1"/>
  <c r="U62" i="18"/>
  <c r="W62" i="18" s="1"/>
  <c r="U21" i="18"/>
  <c r="W21" i="18" s="1"/>
  <c r="U117" i="18"/>
  <c r="W117" i="18" s="1"/>
  <c r="U53" i="18"/>
  <c r="W53" i="18" s="1"/>
  <c r="U18" i="18"/>
  <c r="W18" i="18" s="1"/>
  <c r="U60" i="18"/>
  <c r="W60" i="18" s="1"/>
  <c r="U123" i="18"/>
  <c r="W123" i="18" s="1"/>
  <c r="U59" i="18"/>
  <c r="W59" i="18" s="1"/>
  <c r="U122" i="18"/>
  <c r="W122" i="18" s="1"/>
  <c r="U104" i="18"/>
  <c r="W104" i="18" s="1"/>
  <c r="U40" i="18"/>
  <c r="W40" i="18" s="1"/>
  <c r="U15" i="18"/>
  <c r="W15" i="18" s="1"/>
  <c r="U65" i="18"/>
  <c r="W65" i="18" s="1"/>
  <c r="U25" i="18"/>
  <c r="W25" i="18" s="1"/>
  <c r="U55" i="18"/>
  <c r="W55" i="18" s="1"/>
  <c r="V2" i="9"/>
  <c r="X2" i="9" s="1"/>
  <c r="X71" i="10"/>
  <c r="U107" i="10"/>
  <c r="W107" i="10" s="1"/>
  <c r="U99" i="10"/>
  <c r="W99" i="10" s="1"/>
  <c r="U71" i="10"/>
  <c r="W71" i="10" s="1"/>
  <c r="U51" i="10"/>
  <c r="W51" i="10" s="1"/>
  <c r="U43" i="10"/>
  <c r="W43" i="10" s="1"/>
  <c r="U39" i="10"/>
  <c r="W39" i="10" s="1"/>
  <c r="U15" i="10"/>
  <c r="W15" i="10" s="1"/>
  <c r="X106" i="10"/>
  <c r="X6" i="10"/>
  <c r="U106" i="10"/>
  <c r="W106" i="10" s="1"/>
  <c r="U78" i="10"/>
  <c r="W78" i="10" s="1"/>
  <c r="U58" i="10"/>
  <c r="W58" i="10" s="1"/>
  <c r="U50" i="10"/>
  <c r="W50" i="10" s="1"/>
  <c r="U30" i="10"/>
  <c r="W30" i="10" s="1"/>
  <c r="U22" i="10"/>
  <c r="W22" i="10" s="1"/>
  <c r="U6" i="10"/>
  <c r="W6" i="10" s="1"/>
  <c r="U2" i="10"/>
  <c r="W2" i="10" s="1"/>
  <c r="X36" i="10"/>
  <c r="X113" i="10"/>
  <c r="X37" i="10"/>
  <c r="X29" i="10"/>
  <c r="U120" i="10"/>
  <c r="W120" i="10" s="1"/>
  <c r="U113" i="10"/>
  <c r="W113" i="10" s="1"/>
  <c r="U93" i="10"/>
  <c r="W93" i="10" s="1"/>
  <c r="U85" i="10"/>
  <c r="W85" i="10" s="1"/>
  <c r="U57" i="10"/>
  <c r="W57" i="10" s="1"/>
  <c r="U37" i="10"/>
  <c r="W37" i="10" s="1"/>
  <c r="U29" i="10"/>
  <c r="W29" i="10" s="1"/>
  <c r="U9" i="10"/>
  <c r="W9" i="10" s="1"/>
  <c r="X32" i="10"/>
  <c r="U92" i="10"/>
  <c r="W92" i="10" s="1"/>
  <c r="U36" i="10"/>
  <c r="W36" i="10" s="1"/>
  <c r="U64" i="10"/>
  <c r="W64" i="10" s="1"/>
  <c r="U32" i="10"/>
  <c r="W32" i="10" s="1"/>
  <c r="U8" i="10"/>
  <c r="W8" i="10" s="1"/>
  <c r="U100" i="10"/>
  <c r="W100" i="10" s="1"/>
  <c r="U115" i="10"/>
  <c r="W115" i="10" s="1"/>
  <c r="U118" i="10"/>
  <c r="W118" i="10" s="1"/>
  <c r="U121" i="10"/>
  <c r="W121" i="10" s="1"/>
  <c r="U122" i="10"/>
  <c r="W122" i="10" s="1"/>
  <c r="X114" i="10"/>
  <c r="U119" i="10"/>
  <c r="W119" i="10" s="1"/>
  <c r="U116" i="10"/>
  <c r="W116" i="10" s="1"/>
  <c r="U117" i="10"/>
  <c r="W117" i="10" s="1"/>
  <c r="X117" i="10"/>
  <c r="U114" i="10"/>
  <c r="W114" i="10" s="1"/>
  <c r="U123" i="10"/>
  <c r="W123" i="10" s="1"/>
  <c r="X109" i="10"/>
  <c r="U112" i="10"/>
  <c r="W112" i="10" s="1"/>
  <c r="U108" i="10"/>
  <c r="W108" i="10" s="1"/>
  <c r="X112" i="10"/>
  <c r="U109" i="10"/>
  <c r="W109" i="10" s="1"/>
  <c r="U111" i="10"/>
  <c r="W111" i="10" s="1"/>
  <c r="U110" i="10"/>
  <c r="W110" i="10" s="1"/>
  <c r="U102" i="10"/>
  <c r="W102" i="10" s="1"/>
  <c r="X97" i="10"/>
  <c r="X96" i="10"/>
  <c r="U105" i="10"/>
  <c r="W105" i="10" s="1"/>
  <c r="U98" i="10"/>
  <c r="W98" i="10" s="1"/>
  <c r="X104" i="10"/>
  <c r="U104" i="10"/>
  <c r="W104" i="10" s="1"/>
  <c r="X94" i="10"/>
  <c r="U103" i="10"/>
  <c r="W103" i="10" s="1"/>
  <c r="U95" i="10"/>
  <c r="W95" i="10" s="1"/>
  <c r="U97" i="10"/>
  <c r="W97" i="10" s="1"/>
  <c r="U96" i="10"/>
  <c r="W96" i="10" s="1"/>
  <c r="U94" i="10"/>
  <c r="W94" i="10" s="1"/>
  <c r="U101" i="10"/>
  <c r="W101" i="10" s="1"/>
  <c r="U90" i="10"/>
  <c r="W90" i="10" s="1"/>
  <c r="U88" i="10"/>
  <c r="W88" i="10" s="1"/>
  <c r="U87" i="10"/>
  <c r="W87" i="10" s="1"/>
  <c r="U86" i="10"/>
  <c r="W86" i="10" s="1"/>
  <c r="U91" i="10"/>
  <c r="W91" i="10" s="1"/>
  <c r="X90" i="10"/>
  <c r="X87" i="10"/>
  <c r="U89" i="10"/>
  <c r="W89" i="10" s="1"/>
  <c r="U79" i="10"/>
  <c r="W79" i="10" s="1"/>
  <c r="U80" i="10"/>
  <c r="W80" i="10" s="1"/>
  <c r="U81" i="10"/>
  <c r="W81" i="10" s="1"/>
  <c r="U84" i="10"/>
  <c r="W84" i="10" s="1"/>
  <c r="U83" i="10"/>
  <c r="W83" i="10" s="1"/>
  <c r="X83" i="10"/>
  <c r="X84" i="10"/>
  <c r="U82" i="10"/>
  <c r="W82" i="10" s="1"/>
  <c r="U76" i="10"/>
  <c r="W76" i="10" s="1"/>
  <c r="X73" i="10"/>
  <c r="U73" i="10"/>
  <c r="W73" i="10" s="1"/>
  <c r="X74" i="10"/>
  <c r="U77" i="10"/>
  <c r="W77" i="10" s="1"/>
  <c r="X77" i="10"/>
  <c r="U75" i="10"/>
  <c r="W75" i="10" s="1"/>
  <c r="U72" i="10"/>
  <c r="W72" i="10" s="1"/>
  <c r="U74" i="10"/>
  <c r="W74" i="10" s="1"/>
  <c r="X72" i="10"/>
  <c r="U38" i="10"/>
  <c r="W38" i="10" s="1"/>
  <c r="U48" i="10"/>
  <c r="W48" i="10" s="1"/>
  <c r="U35" i="10"/>
  <c r="W35" i="10" s="1"/>
  <c r="U61" i="10"/>
  <c r="W61" i="10" s="1"/>
  <c r="X69" i="10"/>
  <c r="X45" i="10"/>
  <c r="U42" i="10"/>
  <c r="W42" i="10" s="1"/>
  <c r="U70" i="10"/>
  <c r="W70" i="10" s="1"/>
  <c r="U45" i="10"/>
  <c r="W45" i="10" s="1"/>
  <c r="X49" i="10"/>
  <c r="X33" i="10"/>
  <c r="U41" i="10"/>
  <c r="W41" i="10" s="1"/>
  <c r="U46" i="10"/>
  <c r="W46" i="10" s="1"/>
  <c r="X35" i="10"/>
  <c r="U63" i="10"/>
  <c r="W63" i="10" s="1"/>
  <c r="U67" i="10"/>
  <c r="W67" i="10" s="1"/>
  <c r="U54" i="10"/>
  <c r="W54" i="10" s="1"/>
  <c r="U53" i="10"/>
  <c r="W53" i="10" s="1"/>
  <c r="U55" i="10"/>
  <c r="W55" i="10" s="1"/>
  <c r="U40" i="10"/>
  <c r="W40" i="10" s="1"/>
  <c r="U66" i="10"/>
  <c r="W66" i="10" s="1"/>
  <c r="U49" i="10"/>
  <c r="W49" i="10" s="1"/>
  <c r="U60" i="10"/>
  <c r="W60" i="10" s="1"/>
  <c r="U62" i="10"/>
  <c r="W62" i="10" s="1"/>
  <c r="U69" i="10"/>
  <c r="W69" i="10" s="1"/>
  <c r="U52" i="10"/>
  <c r="W52" i="10" s="1"/>
  <c r="X46" i="10"/>
  <c r="U56" i="10"/>
  <c r="W56" i="10" s="1"/>
  <c r="U47" i="10"/>
  <c r="W47" i="10" s="1"/>
  <c r="U65" i="10"/>
  <c r="W65" i="10" s="1"/>
  <c r="U44" i="10"/>
  <c r="W44" i="10" s="1"/>
  <c r="U34" i="10"/>
  <c r="W34" i="10" s="1"/>
  <c r="U59" i="10"/>
  <c r="W59" i="10" s="1"/>
  <c r="U68" i="10"/>
  <c r="W68" i="10" s="1"/>
  <c r="U33" i="10"/>
  <c r="W33" i="10" s="1"/>
  <c r="U31" i="10"/>
  <c r="W31" i="10" s="1"/>
  <c r="X26" i="10"/>
  <c r="U23" i="10"/>
  <c r="W23" i="10" s="1"/>
  <c r="U24" i="10"/>
  <c r="W24" i="10" s="1"/>
  <c r="U26" i="10"/>
  <c r="W26" i="10" s="1"/>
  <c r="X23" i="10"/>
  <c r="U25" i="10"/>
  <c r="W25" i="10" s="1"/>
  <c r="U28" i="10"/>
  <c r="W28" i="10" s="1"/>
  <c r="U27" i="10"/>
  <c r="W27" i="10" s="1"/>
  <c r="X18" i="10"/>
  <c r="X20" i="10"/>
  <c r="U20" i="10"/>
  <c r="W20" i="10" s="1"/>
  <c r="U19" i="10"/>
  <c r="W19" i="10" s="1"/>
  <c r="U18" i="10"/>
  <c r="W18" i="10" s="1"/>
  <c r="X16" i="10"/>
  <c r="U17" i="10"/>
  <c r="W17" i="10" s="1"/>
  <c r="U16" i="10"/>
  <c r="W16" i="10" s="1"/>
  <c r="X19" i="10"/>
  <c r="U21" i="10"/>
  <c r="W21" i="10" s="1"/>
  <c r="X7" i="10"/>
  <c r="X13" i="10"/>
  <c r="U14" i="10"/>
  <c r="W14" i="10" s="1"/>
  <c r="U7" i="10"/>
  <c r="W7" i="10" s="1"/>
  <c r="U13" i="10"/>
  <c r="W13" i="10" s="1"/>
  <c r="U5" i="10"/>
  <c r="W5" i="10" s="1"/>
  <c r="X10" i="10"/>
  <c r="U11" i="10"/>
  <c r="W11" i="10" s="1"/>
  <c r="U10" i="10"/>
  <c r="W10" i="10" s="1"/>
  <c r="U12" i="10"/>
  <c r="W12" i="10" s="1"/>
  <c r="U3" i="10"/>
  <c r="W3" i="10" s="1"/>
  <c r="U4" i="10"/>
  <c r="W4" i="10" s="1"/>
  <c r="AB6" i="18"/>
  <c r="V134" i="18" s="1"/>
  <c r="X134" i="18" s="1"/>
  <c r="V43" i="9"/>
  <c r="X43" i="9" s="1"/>
  <c r="V99" i="9"/>
  <c r="X99" i="9" s="1"/>
  <c r="V35" i="9"/>
  <c r="X35" i="9" s="1"/>
  <c r="V63" i="9"/>
  <c r="X63" i="9" s="1"/>
  <c r="V82" i="9"/>
  <c r="X82" i="9" s="1"/>
  <c r="V6" i="9"/>
  <c r="X6" i="9" s="1"/>
  <c r="V102" i="9"/>
  <c r="X102" i="9" s="1"/>
  <c r="V109" i="9"/>
  <c r="X109" i="9" s="1"/>
  <c r="V45" i="9"/>
  <c r="X45" i="9" s="1"/>
  <c r="V100" i="9"/>
  <c r="X100" i="9" s="1"/>
  <c r="V36" i="9"/>
  <c r="X36" i="9" s="1"/>
  <c r="V83" i="9"/>
  <c r="X83" i="9" s="1"/>
  <c r="H12" i="20"/>
  <c r="G12" i="20"/>
  <c r="I95" i="18" l="1"/>
  <c r="I96" i="18" s="1"/>
  <c r="I97" i="18" s="1"/>
  <c r="I98" i="18" s="1"/>
  <c r="I100" i="18" s="1"/>
  <c r="I101" i="18" s="1"/>
  <c r="I102" i="18" s="1"/>
  <c r="I103" i="18" s="1"/>
  <c r="I104" i="18" s="1"/>
  <c r="I105" i="18" s="1"/>
  <c r="I107" i="18" s="1"/>
  <c r="I108" i="18" s="1"/>
  <c r="I109" i="18" s="1"/>
  <c r="I110" i="18" s="1"/>
  <c r="I111" i="18" s="1"/>
  <c r="I112" i="18" s="1"/>
  <c r="I114" i="18" s="1"/>
  <c r="I115" i="18" s="1"/>
  <c r="I116" i="18" s="1"/>
  <c r="I117" i="18" s="1"/>
  <c r="I118" i="18" s="1"/>
  <c r="I119" i="18" s="1"/>
  <c r="I121" i="18" s="1"/>
  <c r="I122" i="18" s="1"/>
  <c r="I123" i="18" s="1"/>
  <c r="AF11" i="18"/>
  <c r="U87" i="18"/>
  <c r="W87" i="18" s="1"/>
  <c r="U17" i="18"/>
  <c r="W17" i="18" s="1"/>
  <c r="U7" i="18"/>
  <c r="W7" i="18" s="1"/>
  <c r="U47" i="18"/>
  <c r="W47" i="18" s="1"/>
  <c r="U48" i="18"/>
  <c r="W48" i="18" s="1"/>
  <c r="U112" i="18"/>
  <c r="W112" i="18" s="1"/>
  <c r="U3" i="18"/>
  <c r="W3" i="18" s="1"/>
  <c r="U67" i="18"/>
  <c r="W67" i="18" s="1"/>
  <c r="U4" i="18"/>
  <c r="W4" i="18" s="1"/>
  <c r="U68" i="18"/>
  <c r="W68" i="18" s="1"/>
  <c r="U42" i="18"/>
  <c r="W42" i="18" s="1"/>
  <c r="U61" i="18"/>
  <c r="W61" i="18" s="1"/>
  <c r="U2" i="18"/>
  <c r="W2" i="18" s="1"/>
  <c r="U6" i="18"/>
  <c r="W6" i="18" s="1"/>
  <c r="U70" i="18"/>
  <c r="W70" i="18" s="1"/>
  <c r="U128" i="18"/>
  <c r="W128" i="18" s="1"/>
  <c r="U126" i="18"/>
  <c r="W126" i="18" s="1"/>
  <c r="U119" i="18"/>
  <c r="W119" i="18" s="1"/>
  <c r="U57" i="18"/>
  <c r="W57" i="18" s="1"/>
  <c r="U39" i="18"/>
  <c r="W39" i="18" s="1"/>
  <c r="U79" i="18"/>
  <c r="W79" i="18" s="1"/>
  <c r="U56" i="18"/>
  <c r="W56" i="18" s="1"/>
  <c r="U120" i="18"/>
  <c r="W120" i="18" s="1"/>
  <c r="U11" i="18"/>
  <c r="W11" i="18" s="1"/>
  <c r="U75" i="18"/>
  <c r="W75" i="18" s="1"/>
  <c r="U12" i="18"/>
  <c r="W12" i="18" s="1"/>
  <c r="U76" i="18"/>
  <c r="W76" i="18" s="1"/>
  <c r="U74" i="18"/>
  <c r="W74" i="18" s="1"/>
  <c r="U69" i="18"/>
  <c r="W69" i="18" s="1"/>
  <c r="U26" i="18"/>
  <c r="W26" i="18" s="1"/>
  <c r="U14" i="18"/>
  <c r="W14" i="18" s="1"/>
  <c r="U78" i="18"/>
  <c r="W78" i="18" s="1"/>
  <c r="U129" i="18"/>
  <c r="W129" i="18" s="1"/>
  <c r="U81" i="18"/>
  <c r="W81" i="18" s="1"/>
  <c r="U33" i="18"/>
  <c r="W33" i="18" s="1"/>
  <c r="U103" i="18"/>
  <c r="W103" i="18" s="1"/>
  <c r="U111" i="18"/>
  <c r="W111" i="18" s="1"/>
  <c r="U64" i="18"/>
  <c r="W64" i="18" s="1"/>
  <c r="U10" i="18"/>
  <c r="W10" i="18" s="1"/>
  <c r="U19" i="18"/>
  <c r="W19" i="18" s="1"/>
  <c r="U83" i="18"/>
  <c r="W83" i="18" s="1"/>
  <c r="U20" i="18"/>
  <c r="W20" i="18" s="1"/>
  <c r="U84" i="18"/>
  <c r="W84" i="18" s="1"/>
  <c r="U98" i="18"/>
  <c r="W98" i="18" s="1"/>
  <c r="U77" i="18"/>
  <c r="W77" i="18" s="1"/>
  <c r="U50" i="18"/>
  <c r="W50" i="18" s="1"/>
  <c r="U22" i="18"/>
  <c r="W22" i="18" s="1"/>
  <c r="U86" i="18"/>
  <c r="W86" i="18" s="1"/>
  <c r="U133" i="18"/>
  <c r="W133" i="18" s="1"/>
  <c r="U121" i="18"/>
  <c r="W121" i="18" s="1"/>
  <c r="U71" i="18"/>
  <c r="W71" i="18" s="1"/>
  <c r="U9" i="18"/>
  <c r="W9" i="18" s="1"/>
  <c r="U8" i="18"/>
  <c r="W8" i="18" s="1"/>
  <c r="U72" i="18"/>
  <c r="W72" i="18" s="1"/>
  <c r="U34" i="18"/>
  <c r="W34" i="18" s="1"/>
  <c r="U27" i="18"/>
  <c r="W27" i="18" s="1"/>
  <c r="U91" i="18"/>
  <c r="W91" i="18" s="1"/>
  <c r="U28" i="18"/>
  <c r="W28" i="18" s="1"/>
  <c r="U92" i="18"/>
  <c r="W92" i="18" s="1"/>
  <c r="U13" i="18"/>
  <c r="W13" i="18" s="1"/>
  <c r="U85" i="18"/>
  <c r="W85" i="18" s="1"/>
  <c r="U66" i="18"/>
  <c r="W66" i="18" s="1"/>
  <c r="U30" i="18"/>
  <c r="W30" i="18" s="1"/>
  <c r="U94" i="18"/>
  <c r="W94" i="18" s="1"/>
  <c r="U130" i="18"/>
  <c r="W130" i="18" s="1"/>
  <c r="U31" i="18"/>
  <c r="W31" i="18" s="1"/>
  <c r="U97" i="18"/>
  <c r="W97" i="18" s="1"/>
  <c r="U41" i="18"/>
  <c r="W41" i="18" s="1"/>
  <c r="U16" i="18"/>
  <c r="W16" i="18" s="1"/>
  <c r="U80" i="18"/>
  <c r="W80" i="18" s="1"/>
  <c r="U58" i="18"/>
  <c r="W58" i="18" s="1"/>
  <c r="U35" i="18"/>
  <c r="W35" i="18" s="1"/>
  <c r="U99" i="18"/>
  <c r="W99" i="18" s="1"/>
  <c r="U36" i="18"/>
  <c r="W36" i="18" s="1"/>
  <c r="U100" i="18"/>
  <c r="W100" i="18" s="1"/>
  <c r="U29" i="18"/>
  <c r="W29" i="18" s="1"/>
  <c r="U93" i="18"/>
  <c r="W93" i="18" s="1"/>
  <c r="U90" i="18"/>
  <c r="W90" i="18" s="1"/>
  <c r="U38" i="18"/>
  <c r="W38" i="18" s="1"/>
  <c r="U102" i="18"/>
  <c r="W102" i="18" s="1"/>
  <c r="U127" i="18"/>
  <c r="W127" i="18" s="1"/>
  <c r="U131" i="18"/>
  <c r="W131" i="18" s="1"/>
  <c r="U113" i="18"/>
  <c r="W113" i="18" s="1"/>
  <c r="U63" i="18"/>
  <c r="W63" i="18" s="1"/>
  <c r="U49" i="18"/>
  <c r="W49" i="18" s="1"/>
  <c r="U73" i="18"/>
  <c r="W73" i="18" s="1"/>
  <c r="U24" i="18"/>
  <c r="W24" i="18" s="1"/>
  <c r="U88" i="18"/>
  <c r="W88" i="18" s="1"/>
  <c r="U82" i="18"/>
  <c r="W82" i="18" s="1"/>
  <c r="U43" i="18"/>
  <c r="W43" i="18" s="1"/>
  <c r="U107" i="18"/>
  <c r="W107" i="18" s="1"/>
  <c r="U44" i="18"/>
  <c r="W44" i="18" s="1"/>
  <c r="U108" i="18"/>
  <c r="W108" i="18" s="1"/>
  <c r="U37" i="18"/>
  <c r="W37" i="18" s="1"/>
  <c r="U101" i="18"/>
  <c r="W101" i="18" s="1"/>
  <c r="U114" i="18"/>
  <c r="W114" i="18" s="1"/>
  <c r="U46" i="18"/>
  <c r="W46" i="18" s="1"/>
  <c r="U110" i="18"/>
  <c r="W110" i="18" s="1"/>
  <c r="U124" i="18"/>
  <c r="W124" i="18" s="1"/>
  <c r="U132" i="18"/>
  <c r="W132" i="18" s="1"/>
  <c r="U23" i="18"/>
  <c r="W23" i="18" s="1"/>
  <c r="U95" i="18"/>
  <c r="W95" i="18" s="1"/>
  <c r="U89" i="18"/>
  <c r="W89" i="18" s="1"/>
  <c r="U105" i="18"/>
  <c r="W105" i="18" s="1"/>
  <c r="U32" i="18"/>
  <c r="W32" i="18" s="1"/>
  <c r="U96" i="18"/>
  <c r="W96" i="18" s="1"/>
  <c r="U106" i="18"/>
  <c r="W106" i="18" s="1"/>
  <c r="U51" i="18"/>
  <c r="W51" i="18" s="1"/>
  <c r="U115" i="18"/>
  <c r="W115" i="18" s="1"/>
  <c r="U52" i="18"/>
  <c r="W52" i="18" s="1"/>
  <c r="U116" i="18"/>
  <c r="W116" i="18" s="1"/>
  <c r="U45" i="18"/>
  <c r="W45" i="18" s="1"/>
  <c r="U109" i="18"/>
  <c r="W109" i="18" s="1"/>
  <c r="U5" i="18"/>
  <c r="W5" i="18" s="1"/>
  <c r="U54" i="18"/>
  <c r="W54" i="18" s="1"/>
  <c r="U118" i="18"/>
  <c r="W118" i="18" s="1"/>
  <c r="U125" i="18"/>
  <c r="W125" i="18" s="1"/>
  <c r="V130" i="18"/>
  <c r="X130" i="18" s="1"/>
  <c r="V133" i="18"/>
  <c r="X133" i="18" s="1"/>
  <c r="V132" i="18"/>
  <c r="X132" i="18" s="1"/>
  <c r="V131" i="18"/>
  <c r="X131" i="18" s="1"/>
  <c r="V129" i="18"/>
  <c r="X129" i="18" s="1"/>
  <c r="V124" i="18"/>
  <c r="X124" i="18" s="1"/>
  <c r="V128" i="18"/>
  <c r="X128" i="18" s="1"/>
  <c r="V125" i="18"/>
  <c r="X125" i="18" s="1"/>
  <c r="V127" i="18"/>
  <c r="X127" i="18" s="1"/>
  <c r="V126" i="18"/>
  <c r="X126" i="18" s="1"/>
  <c r="V122" i="18"/>
  <c r="X122" i="18" s="1"/>
  <c r="V114" i="18"/>
  <c r="X114" i="18" s="1"/>
  <c r="V106" i="18"/>
  <c r="X106" i="18" s="1"/>
  <c r="V98" i="18"/>
  <c r="X98" i="18" s="1"/>
  <c r="V90" i="18"/>
  <c r="X90" i="18" s="1"/>
  <c r="V82" i="18"/>
  <c r="X82" i="18" s="1"/>
  <c r="V74" i="18"/>
  <c r="X74" i="18" s="1"/>
  <c r="V66" i="18"/>
  <c r="X66" i="18" s="1"/>
  <c r="V58" i="18"/>
  <c r="X58" i="18" s="1"/>
  <c r="V50" i="18"/>
  <c r="X50" i="18" s="1"/>
  <c r="V42" i="18"/>
  <c r="X42" i="18" s="1"/>
  <c r="V34" i="18"/>
  <c r="X34" i="18" s="1"/>
  <c r="V26" i="18"/>
  <c r="X26" i="18" s="1"/>
  <c r="V18" i="18"/>
  <c r="X18" i="18" s="1"/>
  <c r="V10" i="18"/>
  <c r="X10" i="18" s="1"/>
  <c r="V94" i="18"/>
  <c r="X94" i="18" s="1"/>
  <c r="V78" i="18"/>
  <c r="X78" i="18" s="1"/>
  <c r="V62" i="18"/>
  <c r="X62" i="18" s="1"/>
  <c r="V38" i="18"/>
  <c r="X38" i="18" s="1"/>
  <c r="V22" i="18"/>
  <c r="X22" i="18" s="1"/>
  <c r="V121" i="18"/>
  <c r="X121" i="18" s="1"/>
  <c r="V113" i="18"/>
  <c r="X113" i="18" s="1"/>
  <c r="V105" i="18"/>
  <c r="X105" i="18" s="1"/>
  <c r="V97" i="18"/>
  <c r="X97" i="18" s="1"/>
  <c r="V89" i="18"/>
  <c r="X89" i="18" s="1"/>
  <c r="V81" i="18"/>
  <c r="X81" i="18" s="1"/>
  <c r="V73" i="18"/>
  <c r="X73" i="18" s="1"/>
  <c r="V65" i="18"/>
  <c r="X65" i="18" s="1"/>
  <c r="V57" i="18"/>
  <c r="X57" i="18" s="1"/>
  <c r="V49" i="18"/>
  <c r="X49" i="18" s="1"/>
  <c r="V41" i="18"/>
  <c r="X41" i="18" s="1"/>
  <c r="V33" i="18"/>
  <c r="X33" i="18" s="1"/>
  <c r="V25" i="18"/>
  <c r="X25" i="18" s="1"/>
  <c r="V17" i="18"/>
  <c r="X17" i="18" s="1"/>
  <c r="V9" i="18"/>
  <c r="X9" i="18" s="1"/>
  <c r="V86" i="18"/>
  <c r="X86" i="18" s="1"/>
  <c r="V54" i="18"/>
  <c r="X54" i="18" s="1"/>
  <c r="V30" i="18"/>
  <c r="X30" i="18" s="1"/>
  <c r="V6" i="18"/>
  <c r="X6" i="18" s="1"/>
  <c r="V120" i="18"/>
  <c r="X120" i="18" s="1"/>
  <c r="V112" i="18"/>
  <c r="X112" i="18" s="1"/>
  <c r="V104" i="18"/>
  <c r="X104" i="18" s="1"/>
  <c r="V96" i="18"/>
  <c r="X96" i="18" s="1"/>
  <c r="V88" i="18"/>
  <c r="X88" i="18" s="1"/>
  <c r="V80" i="18"/>
  <c r="X80" i="18" s="1"/>
  <c r="V72" i="18"/>
  <c r="X72" i="18" s="1"/>
  <c r="V64" i="18"/>
  <c r="X64" i="18" s="1"/>
  <c r="V56" i="18"/>
  <c r="X56" i="18" s="1"/>
  <c r="V48" i="18"/>
  <c r="X48" i="18" s="1"/>
  <c r="V40" i="18"/>
  <c r="X40" i="18" s="1"/>
  <c r="V32" i="18"/>
  <c r="X32" i="18" s="1"/>
  <c r="V24" i="18"/>
  <c r="X24" i="18" s="1"/>
  <c r="V16" i="18"/>
  <c r="X16" i="18" s="1"/>
  <c r="V8" i="18"/>
  <c r="X8" i="18" s="1"/>
  <c r="V102" i="18"/>
  <c r="X102" i="18" s="1"/>
  <c r="V119" i="18"/>
  <c r="X119" i="18" s="1"/>
  <c r="V111" i="18"/>
  <c r="X111" i="18" s="1"/>
  <c r="V103" i="18"/>
  <c r="X103" i="18" s="1"/>
  <c r="V95" i="18"/>
  <c r="X95" i="18" s="1"/>
  <c r="V87" i="18"/>
  <c r="X87" i="18" s="1"/>
  <c r="V79" i="18"/>
  <c r="X79" i="18" s="1"/>
  <c r="V71" i="18"/>
  <c r="X71" i="18" s="1"/>
  <c r="V63" i="18"/>
  <c r="X63" i="18" s="1"/>
  <c r="V55" i="18"/>
  <c r="X55" i="18" s="1"/>
  <c r="V47" i="18"/>
  <c r="X47" i="18" s="1"/>
  <c r="V39" i="18"/>
  <c r="X39" i="18" s="1"/>
  <c r="V31" i="18"/>
  <c r="X31" i="18" s="1"/>
  <c r="V23" i="18"/>
  <c r="X23" i="18" s="1"/>
  <c r="V15" i="18"/>
  <c r="X15" i="18" s="1"/>
  <c r="V7" i="18"/>
  <c r="X7" i="18" s="1"/>
  <c r="V110" i="18"/>
  <c r="X110" i="18" s="1"/>
  <c r="V70" i="18"/>
  <c r="X70" i="18" s="1"/>
  <c r="V46" i="18"/>
  <c r="X46" i="18" s="1"/>
  <c r="V14" i="18"/>
  <c r="X14" i="18" s="1"/>
  <c r="V118" i="18"/>
  <c r="X118" i="18" s="1"/>
  <c r="V117" i="18"/>
  <c r="X117" i="18" s="1"/>
  <c r="V109" i="18"/>
  <c r="X109" i="18" s="1"/>
  <c r="V101" i="18"/>
  <c r="X101" i="18" s="1"/>
  <c r="V93" i="18"/>
  <c r="X93" i="18" s="1"/>
  <c r="V85" i="18"/>
  <c r="X85" i="18" s="1"/>
  <c r="V77" i="18"/>
  <c r="X77" i="18" s="1"/>
  <c r="V69" i="18"/>
  <c r="X69" i="18" s="1"/>
  <c r="V61" i="18"/>
  <c r="X61" i="18" s="1"/>
  <c r="V53" i="18"/>
  <c r="X53" i="18" s="1"/>
  <c r="V45" i="18"/>
  <c r="X45" i="18" s="1"/>
  <c r="V37" i="18"/>
  <c r="X37" i="18" s="1"/>
  <c r="V29" i="18"/>
  <c r="X29" i="18" s="1"/>
  <c r="V21" i="18"/>
  <c r="X21" i="18" s="1"/>
  <c r="V13" i="18"/>
  <c r="X13" i="18" s="1"/>
  <c r="V5" i="18"/>
  <c r="X5" i="18" s="1"/>
  <c r="V116" i="18"/>
  <c r="X116" i="18" s="1"/>
  <c r="V108" i="18"/>
  <c r="X108" i="18" s="1"/>
  <c r="V100" i="18"/>
  <c r="X100" i="18" s="1"/>
  <c r="V92" i="18"/>
  <c r="X92" i="18" s="1"/>
  <c r="V84" i="18"/>
  <c r="X84" i="18" s="1"/>
  <c r="V76" i="18"/>
  <c r="X76" i="18" s="1"/>
  <c r="V68" i="18"/>
  <c r="X68" i="18" s="1"/>
  <c r="V60" i="18"/>
  <c r="X60" i="18" s="1"/>
  <c r="V52" i="18"/>
  <c r="X52" i="18" s="1"/>
  <c r="V44" i="18"/>
  <c r="X44" i="18" s="1"/>
  <c r="V36" i="18"/>
  <c r="X36" i="18" s="1"/>
  <c r="V28" i="18"/>
  <c r="X28" i="18" s="1"/>
  <c r="V20" i="18"/>
  <c r="X20" i="18" s="1"/>
  <c r="V12" i="18"/>
  <c r="X12" i="18" s="1"/>
  <c r="V4" i="18"/>
  <c r="X4" i="18" s="1"/>
  <c r="V115" i="18"/>
  <c r="X115" i="18" s="1"/>
  <c r="V51" i="18"/>
  <c r="X51" i="18" s="1"/>
  <c r="V107" i="18"/>
  <c r="X107" i="18" s="1"/>
  <c r="V43" i="18"/>
  <c r="X43" i="18" s="1"/>
  <c r="V2" i="18"/>
  <c r="X2" i="18" s="1"/>
  <c r="V99" i="18"/>
  <c r="X99" i="18" s="1"/>
  <c r="V35" i="18"/>
  <c r="X35" i="18" s="1"/>
  <c r="V11" i="18"/>
  <c r="X11" i="18" s="1"/>
  <c r="V91" i="18"/>
  <c r="X91" i="18" s="1"/>
  <c r="V27" i="18"/>
  <c r="X27" i="18" s="1"/>
  <c r="V83" i="18"/>
  <c r="X83" i="18" s="1"/>
  <c r="V19" i="18"/>
  <c r="X19" i="18" s="1"/>
  <c r="V75" i="18"/>
  <c r="X75" i="18" s="1"/>
  <c r="V67" i="18"/>
  <c r="X67" i="18" s="1"/>
  <c r="V3" i="18"/>
  <c r="X3" i="18" s="1"/>
  <c r="V123" i="18"/>
  <c r="X123" i="18" s="1"/>
  <c r="V59" i="18"/>
  <c r="X59" i="18" s="1"/>
  <c r="J23" i="15"/>
  <c r="I23" i="15"/>
  <c r="F23" i="15"/>
  <c r="E23" i="15"/>
  <c r="D23" i="15"/>
  <c r="G22" i="15"/>
  <c r="H22" i="15" s="1"/>
  <c r="G21" i="15"/>
  <c r="H21" i="15" s="1"/>
  <c r="G20" i="15"/>
  <c r="H20" i="15" s="1"/>
  <c r="G19" i="15"/>
  <c r="H19" i="15" s="1"/>
  <c r="G18" i="15"/>
  <c r="H18" i="15" s="1"/>
  <c r="G17" i="15"/>
  <c r="H17" i="15" s="1"/>
  <c r="G23" i="15" l="1"/>
  <c r="H23" i="15"/>
  <c r="H86" i="15" l="1"/>
  <c r="I86" i="15"/>
  <c r="E86" i="15"/>
  <c r="F22" i="16" l="1"/>
  <c r="E20" i="16"/>
  <c r="B22" i="16"/>
  <c r="C20" i="16"/>
  <c r="G21" i="16"/>
  <c r="F21" i="16"/>
  <c r="D22" i="16"/>
  <c r="D21" i="16"/>
  <c r="B21" i="16"/>
  <c r="F20" i="16"/>
  <c r="D20" i="16"/>
  <c r="B20" i="16"/>
  <c r="C22" i="16" l="1"/>
  <c r="C21" i="16"/>
  <c r="E21" i="16"/>
  <c r="E22" i="16"/>
  <c r="G20" i="16"/>
  <c r="G22" i="16"/>
  <c r="F83" i="15" l="1"/>
  <c r="G83" i="15" s="1"/>
  <c r="F84" i="15"/>
  <c r="G84" i="15" s="1"/>
  <c r="F85" i="15"/>
  <c r="G85" i="15" s="1"/>
  <c r="F82" i="15"/>
  <c r="G82" i="15" s="1"/>
  <c r="F81" i="15"/>
  <c r="G81" i="15" s="1"/>
  <c r="F80" i="15"/>
  <c r="G80" i="15" l="1"/>
  <c r="G86" i="15" s="1"/>
  <c r="F86" i="15"/>
  <c r="D86" i="15" l="1"/>
  <c r="C86" i="15"/>
</calcChain>
</file>

<file path=xl/sharedStrings.xml><?xml version="1.0" encoding="utf-8"?>
<sst xmlns="http://schemas.openxmlformats.org/spreadsheetml/2006/main" count="3016" uniqueCount="184">
  <si>
    <t>KPIs</t>
  </si>
  <si>
    <t>Targets</t>
  </si>
  <si>
    <t>TTO</t>
  </si>
  <si>
    <t>JAM</t>
  </si>
  <si>
    <t>BAR</t>
  </si>
  <si>
    <t>OECS</t>
  </si>
  <si>
    <t>GUY</t>
  </si>
  <si>
    <t>BEL</t>
  </si>
  <si>
    <t>Average Response Time</t>
  </si>
  <si>
    <t>1 min</t>
  </si>
  <si>
    <t>Response Time</t>
  </si>
  <si>
    <t>1 min (85%)</t>
  </si>
  <si>
    <t>Average Wait Time</t>
  </si>
  <si>
    <t>Wait Time</t>
  </si>
  <si>
    <t>Average Chat Duration</t>
  </si>
  <si>
    <t>12 mins</t>
  </si>
  <si>
    <t>Chat Duration</t>
  </si>
  <si>
    <t>12 mins (85%)</t>
  </si>
  <si>
    <t>CSAT</t>
  </si>
  <si>
    <t>Chats Rated</t>
  </si>
  <si>
    <t>-</t>
  </si>
  <si>
    <t>Percent Chats Rated</t>
  </si>
  <si>
    <t>Chats served</t>
  </si>
  <si>
    <t>Chats Missed W.H</t>
  </si>
  <si>
    <t>Chats Missed Outside</t>
  </si>
  <si>
    <t>Total Chats</t>
  </si>
  <si>
    <t>Service Level - 85%</t>
  </si>
  <si>
    <t>% of Missed Chats Outside W.H</t>
  </si>
  <si>
    <t>Missed Chat (ABR) - 15%</t>
  </si>
  <si>
    <t>% of Missed Chats Outside</t>
  </si>
  <si>
    <t>Date</t>
  </si>
  <si>
    <t>Day of the week</t>
  </si>
  <si>
    <t>Fiscal</t>
  </si>
  <si>
    <t>Calls Off</t>
  </si>
  <si>
    <t>Calls Ans</t>
  </si>
  <si>
    <t>WoW % change (offer)</t>
  </si>
  <si>
    <t>WoW % change (ans)</t>
  </si>
  <si>
    <t>MTD Calls Offered</t>
  </si>
  <si>
    <t>MTD Calls Ans</t>
  </si>
  <si>
    <t>SL</t>
  </si>
  <si>
    <t>ABR</t>
  </si>
  <si>
    <t>ANS</t>
  </si>
  <si>
    <t>AO/AU</t>
  </si>
  <si>
    <t>AA</t>
  </si>
  <si>
    <t>AHT</t>
  </si>
  <si>
    <t>AWT</t>
  </si>
  <si>
    <t>Agents Log</t>
  </si>
  <si>
    <t>HOL</t>
  </si>
  <si>
    <t>FY25</t>
  </si>
  <si>
    <t>T</t>
  </si>
  <si>
    <t>W</t>
  </si>
  <si>
    <t>R</t>
  </si>
  <si>
    <t>F</t>
  </si>
  <si>
    <t>S</t>
  </si>
  <si>
    <t>D</t>
  </si>
  <si>
    <t>M</t>
  </si>
  <si>
    <t>rec'd</t>
  </si>
  <si>
    <t>ans</t>
  </si>
  <si>
    <t>WoW % change offer</t>
  </si>
  <si>
    <t>WoW % change ans</t>
  </si>
  <si>
    <t>Comments</t>
  </si>
  <si>
    <t>Login Issues</t>
  </si>
  <si>
    <t>Agent Absence - Health</t>
  </si>
  <si>
    <t>Column Chart</t>
  </si>
  <si>
    <t>Bands</t>
  </si>
  <si>
    <t>Value</t>
  </si>
  <si>
    <t>Start</t>
  </si>
  <si>
    <t>Initial</t>
  </si>
  <si>
    <t>Middle</t>
  </si>
  <si>
    <t>End</t>
  </si>
  <si>
    <t>AO</t>
  </si>
  <si>
    <t>SVL</t>
  </si>
  <si>
    <t>AU</t>
  </si>
  <si>
    <t>Regional CC Performance Report (FY-25 Week 1: Apr-1 to Apr-6)</t>
  </si>
  <si>
    <t xml:space="preserve">Country </t>
  </si>
  <si>
    <t>Calls Presented</t>
  </si>
  <si>
    <t>Calls Handled</t>
  </si>
  <si>
    <t>AU/AO</t>
  </si>
  <si>
    <t>Target</t>
  </si>
  <si>
    <t>Region</t>
  </si>
  <si>
    <t>Regional CC Performance Report (FY-25 Week 2: Apr-8 to Apr-13)</t>
  </si>
  <si>
    <t>Regional CC Performance Report (FY-25 Week 3: Apr-15 to Apr-20)</t>
  </si>
  <si>
    <t>Regional CC Performance Report (FY-25 Week 4: Apr-22 to Apr-27)</t>
  </si>
  <si>
    <t>Regional CC Performance Report (Jan FY-24)</t>
  </si>
  <si>
    <t>Comparisons Matrix Jan to Feb FY24</t>
  </si>
  <si>
    <t>Regional CC Performance Report (DEC-FY23)</t>
  </si>
  <si>
    <t>Percentage Change Calls Offered (MoM)</t>
  </si>
  <si>
    <t>Percentage Change Calls Answered (MoM)</t>
  </si>
  <si>
    <t>TT</t>
  </si>
  <si>
    <r>
      <t>20%</t>
    </r>
    <r>
      <rPr>
        <sz val="11"/>
        <color rgb="FF00B050"/>
        <rFont val="Wingdings"/>
        <charset val="2"/>
      </rPr>
      <t>é</t>
    </r>
  </si>
  <si>
    <r>
      <t xml:space="preserve">9% </t>
    </r>
    <r>
      <rPr>
        <sz val="11"/>
        <color rgb="FF00B050"/>
        <rFont val="Wingdings"/>
        <charset val="2"/>
      </rPr>
      <t>é</t>
    </r>
  </si>
  <si>
    <r>
      <t xml:space="preserve"> -9% </t>
    </r>
    <r>
      <rPr>
        <sz val="11"/>
        <color rgb="FFFF0000"/>
        <rFont val="Wingdings"/>
        <charset val="2"/>
      </rPr>
      <t>ê</t>
    </r>
  </si>
  <si>
    <r>
      <t xml:space="preserve"> -12% </t>
    </r>
    <r>
      <rPr>
        <sz val="11"/>
        <color rgb="FFFF0000"/>
        <rFont val="Wingdings"/>
        <charset val="2"/>
      </rPr>
      <t>ê</t>
    </r>
  </si>
  <si>
    <r>
      <t xml:space="preserve">7% </t>
    </r>
    <r>
      <rPr>
        <sz val="11"/>
        <color rgb="FF00B050"/>
        <rFont val="Wingdings"/>
        <charset val="2"/>
      </rPr>
      <t>é</t>
    </r>
  </si>
  <si>
    <r>
      <t xml:space="preserve"> -7% </t>
    </r>
    <r>
      <rPr>
        <sz val="11"/>
        <color rgb="FFFF0000"/>
        <rFont val="Wingdings"/>
        <charset val="2"/>
      </rPr>
      <t>ê</t>
    </r>
  </si>
  <si>
    <r>
      <t xml:space="preserve"> -2% </t>
    </r>
    <r>
      <rPr>
        <sz val="11"/>
        <color rgb="FFFF0000"/>
        <rFont val="Wingdings"/>
        <charset val="2"/>
      </rPr>
      <t>ê</t>
    </r>
  </si>
  <si>
    <r>
      <t xml:space="preserve">2% </t>
    </r>
    <r>
      <rPr>
        <sz val="11"/>
        <color rgb="FF00B050"/>
        <rFont val="Wingdings"/>
        <charset val="2"/>
      </rPr>
      <t>é</t>
    </r>
  </si>
  <si>
    <r>
      <t xml:space="preserve"> -1% </t>
    </r>
    <r>
      <rPr>
        <sz val="11"/>
        <color rgb="FFFF0000"/>
        <rFont val="Wingdings"/>
        <charset val="2"/>
      </rPr>
      <t>ê</t>
    </r>
  </si>
  <si>
    <r>
      <rPr>
        <sz val="11"/>
        <color rgb="FFFF0000"/>
        <rFont val="Calibri"/>
        <family val="2"/>
        <scheme val="minor"/>
      </rPr>
      <t xml:space="preserve"> -3%</t>
    </r>
    <r>
      <rPr>
        <sz val="11"/>
        <color rgb="FFFF0000"/>
        <rFont val="Wingdings"/>
        <charset val="2"/>
      </rPr>
      <t>ê</t>
    </r>
  </si>
  <si>
    <r>
      <t xml:space="preserve">1% </t>
    </r>
    <r>
      <rPr>
        <sz val="11"/>
        <color rgb="FF00B050"/>
        <rFont val="Wingdings"/>
        <charset val="2"/>
      </rPr>
      <t>é</t>
    </r>
  </si>
  <si>
    <r>
      <t xml:space="preserve">4% </t>
    </r>
    <r>
      <rPr>
        <sz val="11"/>
        <color rgb="FF00B050"/>
        <rFont val="Wingdings"/>
        <charset val="2"/>
      </rPr>
      <t>é</t>
    </r>
  </si>
  <si>
    <r>
      <t xml:space="preserve">0% </t>
    </r>
    <r>
      <rPr>
        <sz val="11"/>
        <color theme="5"/>
        <rFont val="Wingdings"/>
        <charset val="2"/>
      </rPr>
      <t>ó</t>
    </r>
  </si>
  <si>
    <t>JA</t>
  </si>
  <si>
    <r>
      <t xml:space="preserve">5% </t>
    </r>
    <r>
      <rPr>
        <sz val="11"/>
        <color rgb="FF00B050"/>
        <rFont val="Wingdings"/>
        <charset val="2"/>
      </rPr>
      <t>é</t>
    </r>
  </si>
  <si>
    <r>
      <t xml:space="preserve">3% </t>
    </r>
    <r>
      <rPr>
        <sz val="11"/>
        <color rgb="FF00B050"/>
        <rFont val="Wingdings"/>
        <charset val="2"/>
      </rPr>
      <t>é</t>
    </r>
  </si>
  <si>
    <r>
      <t xml:space="preserve"> -3% </t>
    </r>
    <r>
      <rPr>
        <sz val="11"/>
        <color rgb="FFFF0000"/>
        <rFont val="Wingdings"/>
        <charset val="2"/>
      </rPr>
      <t>ê</t>
    </r>
  </si>
  <si>
    <r>
      <t xml:space="preserve"> -6% </t>
    </r>
    <r>
      <rPr>
        <sz val="11"/>
        <color rgb="FFFF0000"/>
        <rFont val="Wingdings"/>
        <charset val="2"/>
      </rPr>
      <t>ê</t>
    </r>
  </si>
  <si>
    <r>
      <t xml:space="preserve">16% </t>
    </r>
    <r>
      <rPr>
        <sz val="11"/>
        <color rgb="FF00B050"/>
        <rFont val="Wingdings"/>
        <charset val="2"/>
      </rPr>
      <t>é</t>
    </r>
  </si>
  <si>
    <r>
      <t xml:space="preserve">14% </t>
    </r>
    <r>
      <rPr>
        <sz val="11"/>
        <color rgb="FF00B050"/>
        <rFont val="Wingdings"/>
        <charset val="2"/>
      </rPr>
      <t>é</t>
    </r>
  </si>
  <si>
    <r>
      <t xml:space="preserve"> -14% </t>
    </r>
    <r>
      <rPr>
        <sz val="11"/>
        <color rgb="FFFF0000"/>
        <rFont val="Wingdings"/>
        <charset val="2"/>
      </rPr>
      <t>ê</t>
    </r>
  </si>
  <si>
    <r>
      <t xml:space="preserve"> -4% </t>
    </r>
    <r>
      <rPr>
        <sz val="11"/>
        <color rgb="FFFF0000"/>
        <rFont val="Wingdings"/>
        <charset val="2"/>
      </rPr>
      <t>ê</t>
    </r>
  </si>
  <si>
    <t>Regional CC Performance Report (FEB FY-24)</t>
  </si>
  <si>
    <t>é</t>
  </si>
  <si>
    <t>ê</t>
  </si>
  <si>
    <t>ó</t>
  </si>
  <si>
    <t>Regional CC Performance Report (NOV FY-23)</t>
  </si>
  <si>
    <t>Regional CC Performance Report (JAN-FY23)</t>
  </si>
  <si>
    <t>Regional CC Performance Report (Feb-FY23)</t>
  </si>
  <si>
    <t>Regional CC Performance Report (Mar-FY23)</t>
  </si>
  <si>
    <t>Regional CC Performance Report (Apr-FY24)</t>
  </si>
  <si>
    <t>Regional CC Performance Report (Apr-FY25)</t>
  </si>
  <si>
    <t>Regional CC Performance Report (May-FY24)</t>
  </si>
  <si>
    <t>Regional CC Performance Report (FY-25 Complete)</t>
  </si>
  <si>
    <t>IT related</t>
  </si>
  <si>
    <t>Live Chat KPIs - Week 4 FY25 (Apr-22 to Apr-27)</t>
  </si>
  <si>
    <t>Regional CC Performance Report (FY-25 Week 5: Apr-29 to May-4)</t>
  </si>
  <si>
    <t>Regional CC Performance Report (FY-25 Week 6: May-6 to May-11)</t>
  </si>
  <si>
    <t>IT related shortcoming</t>
  </si>
  <si>
    <t>Regional CC Performance Report (FY-25 Week 7: May-13 to May-18)</t>
  </si>
  <si>
    <t>Regional CC Performance Report (FY-25 Week 8: May-20 to May-25)</t>
  </si>
  <si>
    <t>Regional CC Performance Report (May-FY25)</t>
  </si>
  <si>
    <t>Regional CC Performance Report (FY-25 Week 9: May-27 to Jun-2)</t>
  </si>
  <si>
    <t>Country Specific outage</t>
  </si>
  <si>
    <t>Agent sick, power outage</t>
  </si>
  <si>
    <t>Regional CC Performance Report (FY-25 Week 9: Jun-3 to Jun-9)</t>
  </si>
  <si>
    <t>Regional CC Performance Report (FY-25 Week 10: Jun-10 to Jun-16)</t>
  </si>
  <si>
    <t>ISP issues</t>
  </si>
  <si>
    <t>ISP issues and Facilities</t>
  </si>
  <si>
    <t>Regional CC Performance Report (FY-25 Week 11: Jun-17 to Jun-22)</t>
  </si>
  <si>
    <t>Regional CC Performance Report (FY-25 Week 12: Jun-24 to Jun-29)</t>
  </si>
  <si>
    <t>Regional CC Performance Report (Q1 FY-25)</t>
  </si>
  <si>
    <t>Regional CC Performance Report (Jun-FY25)</t>
  </si>
  <si>
    <t>SVL (Q1 FY24)</t>
  </si>
  <si>
    <t>ABR (Q1 FY24)</t>
  </si>
  <si>
    <t>AU (Q1 FY25)</t>
  </si>
  <si>
    <t>N/A</t>
  </si>
  <si>
    <t>AA (Q1 FY25)2</t>
  </si>
  <si>
    <t>Hurricane</t>
  </si>
  <si>
    <t>Regional CC Performance Report (FY-25 Week 13: Jul-1 to Jul-6)</t>
  </si>
  <si>
    <t>Regional CC Performance Report (FY-25 Week 14: Jul-8 to Jul-13)</t>
  </si>
  <si>
    <t>Regional CC Performance Report (FY-25 Week 15: Jul-15 to Jul-20)</t>
  </si>
  <si>
    <t>Live Chat KPIs - Jul FY25</t>
  </si>
  <si>
    <t>Regional CC Performance Report (Jul-FY25)</t>
  </si>
  <si>
    <t>Quartile Stats</t>
  </si>
  <si>
    <t>Q1</t>
  </si>
  <si>
    <t>Q3</t>
  </si>
  <si>
    <t>Lower Bound</t>
  </si>
  <si>
    <t>Upper Bound</t>
  </si>
  <si>
    <t>IQR</t>
  </si>
  <si>
    <t>IQR Calls Offered</t>
  </si>
  <si>
    <t>IQR Calls Ans</t>
  </si>
  <si>
    <t>Statistic</t>
  </si>
  <si>
    <t>Calls Offered</t>
  </si>
  <si>
    <t>Change Percentage (Call Ans) Oulier Bool</t>
  </si>
  <si>
    <t>Change Percentage (Call Offered) Oulier Bool</t>
  </si>
  <si>
    <t>Mean</t>
  </si>
  <si>
    <t>Median</t>
  </si>
  <si>
    <t>Mode</t>
  </si>
  <si>
    <t>Descriptive Stats - Ans</t>
  </si>
  <si>
    <t>Descriptive Stats - Off</t>
  </si>
  <si>
    <t>Winsorized Values - Ans</t>
  </si>
  <si>
    <t>Winsorized Values - Offered</t>
  </si>
  <si>
    <t>Week Number</t>
  </si>
  <si>
    <t>Row Labels</t>
  </si>
  <si>
    <t>Grand Total</t>
  </si>
  <si>
    <t>Sum of Calls Off</t>
  </si>
  <si>
    <t>Sum of Calls Ans</t>
  </si>
  <si>
    <t>Average of SL</t>
  </si>
  <si>
    <t>Average of AU</t>
  </si>
  <si>
    <t>Regional CC Performance Report (FY-25 Week 16: Jul-22 to Jul-27)</t>
  </si>
  <si>
    <t>Regional CC Performance Report (FY-25 Week 18: Jul-28 to Aug-3)</t>
  </si>
  <si>
    <t>Regional CC Performance Report (FY-25 Week 19: Aug-4 to Aug-10)</t>
  </si>
  <si>
    <t>YTD Calls Offer</t>
  </si>
  <si>
    <t>YTD Calls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</si>
</sst>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mm]:ss"/>
    <numFmt numFmtId="165" formatCode="_-* #,##0_-;\-* #,##0_-;_-* &quot;-&quot;??_-;_-@_-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Wingdings"/>
      <charset val="2"/>
    </font>
    <font>
      <sz val="11"/>
      <color rgb="FF00B050"/>
      <name val="Calibri"/>
      <family val="2"/>
    </font>
    <font>
      <sz val="11"/>
      <color rgb="FF00B050"/>
      <name val="Wingdings"/>
      <charset val="2"/>
    </font>
    <font>
      <sz val="11"/>
      <color rgb="FFFF0000"/>
      <name val="Wingdings"/>
      <charset val="2"/>
    </font>
    <font>
      <sz val="11"/>
      <color rgb="FFFF0000"/>
      <name val="Wingdings"/>
      <family val="2"/>
      <charset val="2"/>
    </font>
    <font>
      <sz val="11"/>
      <color theme="5"/>
      <name val="Calibri"/>
      <family val="2"/>
    </font>
    <font>
      <sz val="11"/>
      <color theme="5"/>
      <name val="Wingdings"/>
      <charset val="2"/>
    </font>
    <font>
      <b/>
      <sz val="11"/>
      <color rgb="FF00B050"/>
      <name val="Calibri"/>
      <family val="2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Arial Unicode MS"/>
    </font>
    <font>
      <sz val="11"/>
      <color rgb="FF548235"/>
      <name val="Calibri"/>
      <family val="2"/>
    </font>
    <font>
      <sz val="11"/>
      <color rgb="FF375623"/>
      <name val="Calibri"/>
      <family val="2"/>
    </font>
    <font>
      <b/>
      <sz val="11"/>
      <color rgb="FF375623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theme="4" tint="0.79998168889431442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" fontId="0" fillId="0" borderId="0" xfId="0" applyNumberFormat="1"/>
    <xf numFmtId="16" fontId="0" fillId="0" borderId="1" xfId="0" applyNumberFormat="1" applyBorder="1"/>
    <xf numFmtId="9" fontId="0" fillId="0" borderId="2" xfId="0" applyNumberFormat="1" applyBorder="1"/>
    <xf numFmtId="0" fontId="5" fillId="5" borderId="0" xfId="0" applyFont="1" applyFill="1" applyAlignment="1">
      <alignment horizontal="center"/>
    </xf>
    <xf numFmtId="16" fontId="0" fillId="0" borderId="4" xfId="0" applyNumberFormat="1" applyBorder="1"/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4" borderId="1" xfId="0" applyFill="1" applyBorder="1"/>
    <xf numFmtId="16" fontId="0" fillId="0" borderId="8" xfId="0" applyNumberFormat="1" applyBorder="1"/>
    <xf numFmtId="16" fontId="0" fillId="4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/>
    <xf numFmtId="0" fontId="0" fillId="0" borderId="9" xfId="0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7" borderId="0" xfId="0" applyFill="1"/>
    <xf numFmtId="16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9" fontId="0" fillId="7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6" borderId="1" xfId="0" applyNumberFormat="1" applyFill="1" applyBorder="1" applyAlignment="1">
      <alignment horizontal="center"/>
    </xf>
    <xf numFmtId="10" fontId="0" fillId="4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4" borderId="1" xfId="1" applyFont="1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8" borderId="1" xfId="0" applyFill="1" applyBorder="1"/>
    <xf numFmtId="10" fontId="0" fillId="7" borderId="1" xfId="0" applyNumberFormat="1" applyFill="1" applyBorder="1"/>
    <xf numFmtId="10" fontId="0" fillId="2" borderId="1" xfId="0" applyNumberFormat="1" applyFill="1" applyBorder="1"/>
    <xf numFmtId="10" fontId="0" fillId="0" borderId="9" xfId="0" applyNumberFormat="1" applyBorder="1"/>
    <xf numFmtId="10" fontId="0" fillId="0" borderId="1" xfId="1" applyNumberFormat="1" applyFont="1" applyFill="1" applyBorder="1"/>
    <xf numFmtId="0" fontId="0" fillId="8" borderId="1" xfId="0" applyFill="1" applyBorder="1" applyAlignment="1">
      <alignment horizontal="center"/>
    </xf>
    <xf numFmtId="9" fontId="0" fillId="8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9" fontId="0" fillId="4" borderId="2" xfId="1" applyFont="1" applyFill="1" applyBorder="1"/>
    <xf numFmtId="9" fontId="0" fillId="0" borderId="2" xfId="1" applyFont="1" applyBorder="1"/>
    <xf numFmtId="0" fontId="5" fillId="5" borderId="5" xfId="0" applyFont="1" applyFill="1" applyBorder="1"/>
    <xf numFmtId="16" fontId="0" fillId="0" borderId="9" xfId="0" applyNumberFormat="1" applyBorder="1" applyAlignment="1">
      <alignment horizontal="center"/>
    </xf>
    <xf numFmtId="9" fontId="0" fillId="0" borderId="9" xfId="1" applyFont="1" applyBorder="1"/>
    <xf numFmtId="9" fontId="0" fillId="0" borderId="12" xfId="1" applyFont="1" applyBorder="1"/>
    <xf numFmtId="0" fontId="0" fillId="7" borderId="1" xfId="0" applyFill="1" applyBorder="1" applyAlignment="1">
      <alignment horizontal="right"/>
    </xf>
    <xf numFmtId="9" fontId="0" fillId="7" borderId="1" xfId="0" applyNumberFormat="1" applyFill="1" applyBorder="1" applyAlignment="1">
      <alignment horizontal="right"/>
    </xf>
    <xf numFmtId="16" fontId="0" fillId="9" borderId="1" xfId="0" applyNumberFormat="1" applyFill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9" fontId="0" fillId="7" borderId="1" xfId="1" applyFont="1" applyFill="1" applyBorder="1"/>
    <xf numFmtId="9" fontId="0" fillId="7" borderId="2" xfId="1" applyFont="1" applyFill="1" applyBorder="1"/>
    <xf numFmtId="16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10" fontId="0" fillId="10" borderId="1" xfId="0" applyNumberFormat="1" applyFill="1" applyBorder="1"/>
    <xf numFmtId="9" fontId="0" fillId="10" borderId="1" xfId="1" applyFont="1" applyFill="1" applyBorder="1"/>
    <xf numFmtId="9" fontId="0" fillId="10" borderId="2" xfId="1" applyFont="1" applyFill="1" applyBorder="1"/>
    <xf numFmtId="0" fontId="6" fillId="0" borderId="1" xfId="0" applyFont="1" applyBorder="1" applyAlignment="1">
      <alignment horizontal="center"/>
    </xf>
    <xf numFmtId="16" fontId="0" fillId="12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9" fontId="0" fillId="11" borderId="1" xfId="0" applyNumberFormat="1" applyFill="1" applyBorder="1"/>
    <xf numFmtId="9" fontId="0" fillId="11" borderId="1" xfId="0" applyNumberFormat="1" applyFill="1" applyBorder="1" applyAlignment="1">
      <alignment horizontal="right"/>
    </xf>
    <xf numFmtId="0" fontId="0" fillId="11" borderId="0" xfId="0" applyFill="1"/>
    <xf numFmtId="2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5" borderId="6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9" fontId="0" fillId="0" borderId="1" xfId="1" applyFont="1" applyFill="1" applyBorder="1"/>
    <xf numFmtId="10" fontId="7" fillId="0" borderId="9" xfId="1" applyNumberFormat="1" applyFont="1" applyBorder="1" applyAlignment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3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9" fontId="0" fillId="2" borderId="1" xfId="1" applyFont="1" applyFill="1" applyBorder="1"/>
    <xf numFmtId="9" fontId="0" fillId="2" borderId="2" xfId="1" applyFont="1" applyFill="1" applyBorder="1"/>
    <xf numFmtId="2" fontId="0" fillId="2" borderId="1" xfId="1" applyNumberFormat="1" applyFon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2" xfId="1" applyNumberFormat="1" applyFont="1" applyBorder="1"/>
    <xf numFmtId="164" fontId="0" fillId="0" borderId="0" xfId="0" applyNumberFormat="1"/>
    <xf numFmtId="164" fontId="0" fillId="7" borderId="2" xfId="1" applyNumberFormat="1" applyFont="1" applyFill="1" applyBorder="1"/>
    <xf numFmtId="2" fontId="0" fillId="7" borderId="1" xfId="1" applyNumberFormat="1" applyFont="1" applyFill="1" applyBorder="1"/>
    <xf numFmtId="9" fontId="10" fillId="0" borderId="2" xfId="1" applyFont="1" applyFill="1" applyBorder="1" applyAlignment="1">
      <alignment horizontal="right"/>
    </xf>
    <xf numFmtId="45" fontId="7" fillId="0" borderId="1" xfId="0" applyNumberFormat="1" applyFont="1" applyBorder="1" applyAlignment="1">
      <alignment horizontal="center"/>
    </xf>
    <xf numFmtId="9" fontId="0" fillId="0" borderId="0" xfId="1" applyFont="1"/>
    <xf numFmtId="164" fontId="0" fillId="2" borderId="1" xfId="0" applyNumberFormat="1" applyFill="1" applyBorder="1"/>
    <xf numFmtId="0" fontId="0" fillId="4" borderId="1" xfId="0" quotePrefix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" xfId="0" quotePrefix="1" applyNumberFormat="1" applyFill="1" applyBorder="1" applyAlignment="1">
      <alignment horizontal="right"/>
    </xf>
    <xf numFmtId="164" fontId="0" fillId="7" borderId="1" xfId="0" quotePrefix="1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0" borderId="9" xfId="0" applyNumberFormat="1" applyBorder="1"/>
    <xf numFmtId="164" fontId="0" fillId="4" borderId="7" xfId="1" applyNumberFormat="1" applyFont="1" applyFill="1" applyBorder="1"/>
    <xf numFmtId="164" fontId="0" fillId="4" borderId="2" xfId="1" applyNumberFormat="1" applyFont="1" applyFill="1" applyBorder="1"/>
    <xf numFmtId="164" fontId="0" fillId="0" borderId="12" xfId="1" applyNumberFormat="1" applyFont="1" applyBorder="1"/>
    <xf numFmtId="164" fontId="0" fillId="10" borderId="2" xfId="1" applyNumberFormat="1" applyFont="1" applyFill="1" applyBorder="1"/>
    <xf numFmtId="164" fontId="0" fillId="2" borderId="2" xfId="1" applyNumberFormat="1" applyFont="1" applyFill="1" applyBorder="1"/>
    <xf numFmtId="2" fontId="0" fillId="0" borderId="6" xfId="1" applyNumberFormat="1" applyFont="1" applyBorder="1"/>
    <xf numFmtId="2" fontId="0" fillId="0" borderId="9" xfId="1" applyNumberFormat="1" applyFont="1" applyBorder="1"/>
    <xf numFmtId="2" fontId="0" fillId="0" borderId="1" xfId="2" applyNumberFormat="1" applyFont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0" fillId="0" borderId="1" xfId="1" applyNumberFormat="1" applyFont="1" applyFill="1" applyBorder="1"/>
    <xf numFmtId="164" fontId="7" fillId="0" borderId="1" xfId="0" applyNumberFormat="1" applyFont="1" applyBorder="1" applyAlignment="1">
      <alignment horizontal="right"/>
    </xf>
    <xf numFmtId="0" fontId="7" fillId="0" borderId="2" xfId="0" quotePrefix="1" applyFont="1" applyBorder="1" applyAlignment="1">
      <alignment horizontal="right"/>
    </xf>
    <xf numFmtId="9" fontId="6" fillId="0" borderId="2" xfId="0" quotePrefix="1" applyNumberFormat="1" applyFont="1" applyBorder="1"/>
    <xf numFmtId="2" fontId="0" fillId="4" borderId="1" xfId="1" applyNumberFormat="1" applyFont="1" applyFill="1" applyBorder="1"/>
    <xf numFmtId="164" fontId="0" fillId="0" borderId="14" xfId="1" applyNumberFormat="1" applyFont="1" applyBorder="1"/>
    <xf numFmtId="164" fontId="0" fillId="4" borderId="14" xfId="1" applyNumberFormat="1" applyFont="1" applyFill="1" applyBorder="1"/>
    <xf numFmtId="2" fontId="0" fillId="0" borderId="13" xfId="1" applyNumberFormat="1" applyFont="1" applyBorder="1"/>
    <xf numFmtId="2" fontId="0" fillId="4" borderId="13" xfId="1" applyNumberFormat="1" applyFont="1" applyFill="1" applyBorder="1"/>
    <xf numFmtId="46" fontId="0" fillId="0" borderId="2" xfId="1" applyNumberFormat="1" applyFont="1" applyBorder="1"/>
    <xf numFmtId="0" fontId="0" fillId="4" borderId="13" xfId="0" applyFill="1" applyBorder="1"/>
    <xf numFmtId="16" fontId="0" fillId="4" borderId="13" xfId="0" applyNumberFormat="1" applyFill="1" applyBorder="1" applyAlignment="1">
      <alignment horizontal="center"/>
    </xf>
    <xf numFmtId="9" fontId="0" fillId="4" borderId="13" xfId="1" applyFont="1" applyFill="1" applyBorder="1"/>
    <xf numFmtId="9" fontId="0" fillId="4" borderId="14" xfId="1" applyFont="1" applyFill="1" applyBorder="1"/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9" fontId="7" fillId="0" borderId="1" xfId="0" quotePrefix="1" applyNumberFormat="1" applyFont="1" applyBorder="1" applyAlignment="1">
      <alignment horizontal="right"/>
    </xf>
    <xf numFmtId="9" fontId="6" fillId="0" borderId="2" xfId="0" quotePrefix="1" applyNumberFormat="1" applyFont="1" applyBorder="1" applyAlignment="1">
      <alignment horizontal="right"/>
    </xf>
    <xf numFmtId="9" fontId="7" fillId="0" borderId="2" xfId="0" quotePrefix="1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9" fontId="6" fillId="0" borderId="1" xfId="0" quotePrefix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4" borderId="1" xfId="1" applyNumberFormat="1" applyFont="1" applyFill="1" applyBorder="1"/>
    <xf numFmtId="9" fontId="0" fillId="0" borderId="0" xfId="0" applyNumberFormat="1"/>
    <xf numFmtId="0" fontId="7" fillId="0" borderId="1" xfId="0" quotePrefix="1" applyFont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10" fontId="0" fillId="8" borderId="1" xfId="0" applyNumberFormat="1" applyFill="1" applyBorder="1"/>
    <xf numFmtId="9" fontId="0" fillId="8" borderId="1" xfId="1" applyFont="1" applyFill="1" applyBorder="1"/>
    <xf numFmtId="164" fontId="0" fillId="8" borderId="1" xfId="1" applyNumberFormat="1" applyFont="1" applyFill="1" applyBorder="1"/>
    <xf numFmtId="2" fontId="0" fillId="8" borderId="1" xfId="1" applyNumberFormat="1" applyFont="1" applyFill="1" applyBorder="1"/>
    <xf numFmtId="164" fontId="0" fillId="0" borderId="2" xfId="1" applyNumberFormat="1" applyFont="1" applyBorder="1" applyAlignment="1">
      <alignment horizontal="right"/>
    </xf>
    <xf numFmtId="164" fontId="0" fillId="4" borderId="1" xfId="1" applyNumberFormat="1" applyFon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16" fontId="0" fillId="4" borderId="1" xfId="0" applyNumberFormat="1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21" fontId="7" fillId="0" borderId="1" xfId="0" applyNumberFormat="1" applyFont="1" applyBorder="1" applyAlignment="1">
      <alignment horizontal="center" vertical="center"/>
    </xf>
    <xf numFmtId="46" fontId="7" fillId="0" borderId="1" xfId="0" applyNumberFormat="1" applyFont="1" applyBorder="1" applyAlignment="1">
      <alignment horizontal="center" vertical="center"/>
    </xf>
    <xf numFmtId="21" fontId="6" fillId="0" borderId="1" xfId="0" applyNumberFormat="1" applyFont="1" applyBorder="1" applyAlignment="1">
      <alignment horizontal="center"/>
    </xf>
    <xf numFmtId="21" fontId="7" fillId="0" borderId="1" xfId="0" applyNumberFormat="1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9" fontId="2" fillId="0" borderId="0" xfId="1" applyFont="1" applyFill="1" applyBorder="1" applyAlignment="1">
      <alignment horizontal="right"/>
    </xf>
    <xf numFmtId="10" fontId="4" fillId="0" borderId="0" xfId="1" applyNumberFormat="1" applyFont="1" applyBorder="1"/>
    <xf numFmtId="9" fontId="2" fillId="0" borderId="0" xfId="1" quotePrefix="1" applyFont="1" applyFill="1" applyBorder="1" applyAlignment="1">
      <alignment horizontal="right"/>
    </xf>
    <xf numFmtId="0" fontId="13" fillId="15" borderId="18" xfId="0" applyFont="1" applyFill="1" applyBorder="1" applyAlignment="1">
      <alignment vertical="center"/>
    </xf>
    <xf numFmtId="0" fontId="13" fillId="15" borderId="19" xfId="0" applyFont="1" applyFill="1" applyBorder="1" applyAlignment="1">
      <alignment vertical="center"/>
    </xf>
    <xf numFmtId="0" fontId="12" fillId="16" borderId="18" xfId="0" applyFont="1" applyFill="1" applyBorder="1" applyAlignment="1">
      <alignment vertical="center"/>
    </xf>
    <xf numFmtId="0" fontId="12" fillId="16" borderId="19" xfId="0" applyFont="1" applyFill="1" applyBorder="1" applyAlignment="1">
      <alignment vertical="center"/>
    </xf>
    <xf numFmtId="9" fontId="12" fillId="17" borderId="19" xfId="0" applyNumberFormat="1" applyFont="1" applyFill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1" fillId="0" borderId="19" xfId="0" applyFont="1" applyBorder="1" applyAlignment="1">
      <alignment horizontal="right" vertical="center"/>
    </xf>
    <xf numFmtId="9" fontId="14" fillId="0" borderId="19" xfId="0" applyNumberFormat="1" applyFont="1" applyBorder="1" applyAlignment="1">
      <alignment horizontal="right" vertical="center"/>
    </xf>
    <xf numFmtId="0" fontId="12" fillId="16" borderId="20" xfId="0" applyFont="1" applyFill="1" applyBorder="1" applyAlignment="1">
      <alignment horizontal="right" vertical="center"/>
    </xf>
    <xf numFmtId="0" fontId="12" fillId="16" borderId="18" xfId="0" applyFont="1" applyFill="1" applyBorder="1" applyAlignment="1">
      <alignment horizontal="right" vertical="center"/>
    </xf>
    <xf numFmtId="9" fontId="14" fillId="16" borderId="19" xfId="0" applyNumberFormat="1" applyFont="1" applyFill="1" applyBorder="1" applyAlignment="1">
      <alignment horizontal="right" vertical="center"/>
    </xf>
    <xf numFmtId="9" fontId="11" fillId="16" borderId="19" xfId="0" applyNumberFormat="1" applyFont="1" applyFill="1" applyBorder="1" applyAlignment="1">
      <alignment horizontal="right" vertical="center"/>
    </xf>
    <xf numFmtId="9" fontId="11" fillId="0" borderId="19" xfId="0" applyNumberFormat="1" applyFont="1" applyBorder="1" applyAlignment="1">
      <alignment horizontal="right" vertical="center"/>
    </xf>
    <xf numFmtId="0" fontId="11" fillId="16" borderId="19" xfId="0" applyFont="1" applyFill="1" applyBorder="1" applyAlignment="1">
      <alignment horizontal="right" vertical="center"/>
    </xf>
    <xf numFmtId="0" fontId="11" fillId="16" borderId="19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right" vertical="center"/>
    </xf>
    <xf numFmtId="0" fontId="11" fillId="0" borderId="22" xfId="0" applyFont="1" applyBorder="1" applyAlignment="1">
      <alignment horizontal="right" vertical="center"/>
    </xf>
    <xf numFmtId="9" fontId="14" fillId="0" borderId="22" xfId="0" applyNumberFormat="1" applyFont="1" applyBorder="1" applyAlignment="1">
      <alignment horizontal="right" vertical="center"/>
    </xf>
    <xf numFmtId="9" fontId="14" fillId="0" borderId="18" xfId="0" applyNumberFormat="1" applyFont="1" applyBorder="1" applyAlignment="1">
      <alignment horizontal="right" vertical="center"/>
    </xf>
    <xf numFmtId="9" fontId="14" fillId="0" borderId="21" xfId="0" applyNumberFormat="1" applyFont="1" applyBorder="1" applyAlignment="1">
      <alignment horizontal="right" vertical="center"/>
    </xf>
    <xf numFmtId="9" fontId="11" fillId="0" borderId="18" xfId="0" applyNumberFormat="1" applyFont="1" applyBorder="1" applyAlignment="1">
      <alignment horizontal="right" vertical="center"/>
    </xf>
    <xf numFmtId="0" fontId="12" fillId="16" borderId="19" xfId="0" applyFont="1" applyFill="1" applyBorder="1" applyAlignment="1">
      <alignment horizontal="right" vertical="center"/>
    </xf>
    <xf numFmtId="9" fontId="12" fillId="16" borderId="19" xfId="0" applyNumberFormat="1" applyFont="1" applyFill="1" applyBorder="1" applyAlignment="1">
      <alignment horizontal="right" vertical="center"/>
    </xf>
    <xf numFmtId="0" fontId="12" fillId="16" borderId="19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horizontal="right" vertical="center"/>
    </xf>
    <xf numFmtId="9" fontId="16" fillId="0" borderId="21" xfId="0" applyNumberFormat="1" applyFont="1" applyBorder="1" applyAlignment="1">
      <alignment horizontal="right" vertical="center"/>
    </xf>
    <xf numFmtId="9" fontId="16" fillId="0" borderId="22" xfId="0" applyNumberFormat="1" applyFont="1" applyBorder="1" applyAlignment="1">
      <alignment horizontal="right" vertical="center"/>
    </xf>
    <xf numFmtId="9" fontId="16" fillId="0" borderId="18" xfId="0" applyNumberFormat="1" applyFont="1" applyBorder="1" applyAlignment="1">
      <alignment horizontal="right" vertical="center"/>
    </xf>
    <xf numFmtId="9" fontId="0" fillId="2" borderId="0" xfId="0" applyNumberFormat="1" applyFill="1"/>
    <xf numFmtId="9" fontId="6" fillId="0" borderId="0" xfId="0" applyNumberFormat="1" applyFont="1"/>
    <xf numFmtId="9" fontId="7" fillId="0" borderId="0" xfId="1" applyFont="1" applyFill="1" applyBorder="1"/>
    <xf numFmtId="9" fontId="7" fillId="0" borderId="0" xfId="1" quotePrefix="1" applyFont="1" applyFill="1" applyBorder="1" applyAlignment="1">
      <alignment horizontal="center" vertical="center"/>
    </xf>
    <xf numFmtId="9" fontId="7" fillId="0" borderId="0" xfId="0" applyNumberFormat="1" applyFont="1"/>
    <xf numFmtId="0" fontId="0" fillId="3" borderId="0" xfId="0" applyFill="1" applyAlignment="1">
      <alignment horizontal="center"/>
    </xf>
    <xf numFmtId="9" fontId="16" fillId="0" borderId="19" xfId="1" applyFont="1" applyBorder="1" applyAlignment="1">
      <alignment horizontal="right" vertical="center"/>
    </xf>
    <xf numFmtId="9" fontId="17" fillId="16" borderId="19" xfId="0" quotePrefix="1" applyNumberFormat="1" applyFont="1" applyFill="1" applyBorder="1" applyAlignment="1">
      <alignment horizontal="right" vertical="center"/>
    </xf>
    <xf numFmtId="0" fontId="18" fillId="0" borderId="0" xfId="0" applyFont="1"/>
    <xf numFmtId="9" fontId="19" fillId="0" borderId="19" xfId="0" applyNumberFormat="1" applyFont="1" applyBorder="1" applyAlignment="1">
      <alignment horizontal="right" vertical="center"/>
    </xf>
    <xf numFmtId="9" fontId="22" fillId="0" borderId="19" xfId="0" applyNumberFormat="1" applyFont="1" applyBorder="1" applyAlignment="1">
      <alignment horizontal="right" vertical="center"/>
    </xf>
    <xf numFmtId="9" fontId="19" fillId="16" borderId="19" xfId="0" applyNumberFormat="1" applyFont="1" applyFill="1" applyBorder="1" applyAlignment="1">
      <alignment horizontal="right" vertical="center"/>
    </xf>
    <xf numFmtId="9" fontId="19" fillId="0" borderId="18" xfId="0" applyNumberFormat="1" applyFont="1" applyBorder="1" applyAlignment="1">
      <alignment horizontal="right" vertical="center"/>
    </xf>
    <xf numFmtId="9" fontId="23" fillId="16" borderId="19" xfId="0" applyNumberFormat="1" applyFont="1" applyFill="1" applyBorder="1" applyAlignment="1">
      <alignment horizontal="right" vertical="center"/>
    </xf>
    <xf numFmtId="9" fontId="25" fillId="0" borderId="19" xfId="1" applyFont="1" applyBorder="1" applyAlignment="1">
      <alignment horizontal="right" vertical="center"/>
    </xf>
    <xf numFmtId="9" fontId="23" fillId="0" borderId="19" xfId="0" applyNumberFormat="1" applyFont="1" applyBorder="1" applyAlignment="1">
      <alignment horizontal="right" vertical="center"/>
    </xf>
    <xf numFmtId="9" fontId="23" fillId="0" borderId="18" xfId="0" applyNumberFormat="1" applyFont="1" applyBorder="1" applyAlignment="1">
      <alignment horizontal="right" vertical="center"/>
    </xf>
    <xf numFmtId="165" fontId="7" fillId="0" borderId="1" xfId="2" applyNumberFormat="1" applyFont="1" applyBorder="1"/>
    <xf numFmtId="165" fontId="0" fillId="0" borderId="0" xfId="2" applyNumberFormat="1" applyFont="1"/>
    <xf numFmtId="165" fontId="0" fillId="0" borderId="1" xfId="2" applyNumberFormat="1" applyFont="1" applyBorder="1"/>
    <xf numFmtId="165" fontId="7" fillId="0" borderId="1" xfId="2" applyNumberFormat="1" applyFont="1" applyBorder="1" applyAlignment="1">
      <alignment horizontal="right"/>
    </xf>
    <xf numFmtId="165" fontId="7" fillId="0" borderId="2" xfId="2" applyNumberFormat="1" applyFont="1" applyBorder="1"/>
    <xf numFmtId="165" fontId="0" fillId="0" borderId="1" xfId="2" applyNumberFormat="1" applyFont="1" applyFill="1" applyBorder="1" applyAlignment="1">
      <alignment horizontal="right"/>
    </xf>
    <xf numFmtId="43" fontId="0" fillId="0" borderId="0" xfId="0" applyNumberFormat="1"/>
    <xf numFmtId="1" fontId="0" fillId="4" borderId="1" xfId="0" applyNumberFormat="1" applyFill="1" applyBorder="1"/>
    <xf numFmtId="9" fontId="0" fillId="8" borderId="2" xfId="1" applyFont="1" applyFill="1" applyBorder="1"/>
    <xf numFmtId="164" fontId="0" fillId="8" borderId="14" xfId="1" applyNumberFormat="1" applyFont="1" applyFill="1" applyBorder="1"/>
    <xf numFmtId="2" fontId="0" fillId="8" borderId="13" xfId="1" applyNumberFormat="1" applyFont="1" applyFill="1" applyBorder="1"/>
    <xf numFmtId="2" fontId="0" fillId="2" borderId="1" xfId="2" applyNumberFormat="1" applyFont="1" applyFill="1" applyBorder="1"/>
    <xf numFmtId="0" fontId="0" fillId="4" borderId="7" xfId="1" applyNumberFormat="1" applyFont="1" applyFill="1" applyBorder="1"/>
    <xf numFmtId="0" fontId="0" fillId="0" borderId="2" xfId="1" applyNumberFormat="1" applyFont="1" applyBorder="1"/>
    <xf numFmtId="0" fontId="0" fillId="4" borderId="2" xfId="1" applyNumberFormat="1" applyFont="1" applyFill="1" applyBorder="1"/>
    <xf numFmtId="0" fontId="0" fillId="0" borderId="2" xfId="1" applyNumberFormat="1" applyFont="1" applyFill="1" applyBorder="1"/>
    <xf numFmtId="0" fontId="0" fillId="0" borderId="12" xfId="1" applyNumberFormat="1" applyFont="1" applyBorder="1"/>
    <xf numFmtId="0" fontId="0" fillId="7" borderId="2" xfId="1" applyNumberFormat="1" applyFont="1" applyFill="1" applyBorder="1"/>
    <xf numFmtId="0" fontId="0" fillId="10" borderId="2" xfId="1" applyNumberFormat="1" applyFont="1" applyFill="1" applyBorder="1"/>
    <xf numFmtId="0" fontId="0" fillId="2" borderId="2" xfId="1" applyNumberFormat="1" applyFont="1" applyFill="1" applyBorder="1"/>
    <xf numFmtId="0" fontId="0" fillId="0" borderId="14" xfId="1" applyNumberFormat="1" applyFont="1" applyBorder="1"/>
    <xf numFmtId="0" fontId="0" fillId="4" borderId="14" xfId="1" applyNumberFormat="1" applyFont="1" applyFill="1" applyBorder="1"/>
    <xf numFmtId="0" fontId="0" fillId="8" borderId="14" xfId="1" applyNumberFormat="1" applyFont="1" applyFill="1" applyBorder="1"/>
    <xf numFmtId="0" fontId="0" fillId="14" borderId="2" xfId="1" applyNumberFormat="1" applyFont="1" applyFill="1" applyBorder="1"/>
    <xf numFmtId="0" fontId="0" fillId="14" borderId="1" xfId="1" applyNumberFormat="1" applyFont="1" applyFill="1" applyBorder="1"/>
    <xf numFmtId="0" fontId="0" fillId="2" borderId="1" xfId="1" applyNumberFormat="1" applyFont="1" applyFill="1" applyBorder="1"/>
    <xf numFmtId="0" fontId="0" fillId="0" borderId="7" xfId="0" applyBorder="1"/>
    <xf numFmtId="0" fontId="0" fillId="0" borderId="2" xfId="0" applyBorder="1"/>
    <xf numFmtId="0" fontId="0" fillId="2" borderId="2" xfId="0" applyFill="1" applyBorder="1"/>
    <xf numFmtId="16" fontId="0" fillId="0" borderId="1" xfId="0" applyNumberFormat="1" applyBorder="1" applyAlignment="1">
      <alignment horizontal="left"/>
    </xf>
    <xf numFmtId="16" fontId="0" fillId="7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4" borderId="6" xfId="0" applyFill="1" applyBorder="1"/>
    <xf numFmtId="0" fontId="0" fillId="12" borderId="1" xfId="0" applyFill="1" applyBorder="1"/>
    <xf numFmtId="0" fontId="0" fillId="9" borderId="1" xfId="0" applyFill="1" applyBorder="1"/>
    <xf numFmtId="16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0" fontId="0" fillId="18" borderId="1" xfId="0" applyFill="1" applyBorder="1"/>
    <xf numFmtId="0" fontId="0" fillId="0" borderId="6" xfId="0" applyBorder="1" applyAlignment="1">
      <alignment horizontal="right"/>
    </xf>
    <xf numFmtId="164" fontId="0" fillId="0" borderId="6" xfId="0" applyNumberFormat="1" applyBorder="1"/>
    <xf numFmtId="0" fontId="5" fillId="20" borderId="10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16" fontId="26" fillId="0" borderId="1" xfId="0" applyNumberFormat="1" applyFont="1" applyBorder="1" applyAlignment="1">
      <alignment horizontal="center" wrapText="1"/>
    </xf>
    <xf numFmtId="0" fontId="7" fillId="21" borderId="1" xfId="0" applyFont="1" applyFill="1" applyBorder="1" applyAlignment="1">
      <alignment horizontal="right"/>
    </xf>
    <xf numFmtId="9" fontId="7" fillId="21" borderId="1" xfId="0" applyNumberFormat="1" applyFont="1" applyFill="1" applyBorder="1" applyAlignment="1">
      <alignment horizontal="right"/>
    </xf>
    <xf numFmtId="9" fontId="7" fillId="21" borderId="1" xfId="0" applyNumberFormat="1" applyFont="1" applyFill="1" applyBorder="1"/>
    <xf numFmtId="0" fontId="7" fillId="21" borderId="1" xfId="0" quotePrefix="1" applyFont="1" applyFill="1" applyBorder="1" applyAlignment="1">
      <alignment horizontal="center"/>
    </xf>
    <xf numFmtId="9" fontId="1" fillId="0" borderId="1" xfId="1" applyFont="1" applyFill="1" applyBorder="1"/>
    <xf numFmtId="165" fontId="1" fillId="21" borderId="1" xfId="2" applyNumberFormat="1" applyFont="1" applyFill="1" applyBorder="1" applyAlignment="1">
      <alignment horizontal="right"/>
    </xf>
    <xf numFmtId="9" fontId="1" fillId="21" borderId="1" xfId="0" applyNumberFormat="1" applyFont="1" applyFill="1" applyBorder="1" applyAlignment="1">
      <alignment horizontal="right"/>
    </xf>
    <xf numFmtId="9" fontId="1" fillId="21" borderId="1" xfId="0" applyNumberFormat="1" applyFont="1" applyFill="1" applyBorder="1"/>
    <xf numFmtId="0" fontId="1" fillId="21" borderId="1" xfId="0" quotePrefix="1" applyFont="1" applyFill="1" applyBorder="1" applyAlignment="1">
      <alignment horizontal="center"/>
    </xf>
    <xf numFmtId="0" fontId="7" fillId="0" borderId="1" xfId="0" applyFont="1" applyFill="1" applyBorder="1" applyAlignment="1">
      <alignment horizontal="right"/>
    </xf>
    <xf numFmtId="9" fontId="7" fillId="0" borderId="1" xfId="0" applyNumberFormat="1" applyFont="1" applyFill="1" applyBorder="1" applyAlignment="1">
      <alignment horizontal="right"/>
    </xf>
    <xf numFmtId="0" fontId="7" fillId="0" borderId="1" xfId="0" quotePrefix="1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right"/>
    </xf>
    <xf numFmtId="0" fontId="7" fillId="22" borderId="1" xfId="0" applyFont="1" applyFill="1" applyBorder="1" applyAlignment="1">
      <alignment horizontal="right"/>
    </xf>
    <xf numFmtId="9" fontId="6" fillId="22" borderId="1" xfId="0" quotePrefix="1" applyNumberFormat="1" applyFont="1" applyFill="1" applyBorder="1" applyAlignment="1">
      <alignment horizontal="right"/>
    </xf>
    <xf numFmtId="9" fontId="6" fillId="22" borderId="1" xfId="0" applyNumberFormat="1" applyFont="1" applyFill="1" applyBorder="1" applyAlignment="1">
      <alignment horizontal="right"/>
    </xf>
    <xf numFmtId="9" fontId="7" fillId="22" borderId="1" xfId="0" quotePrefix="1" applyNumberFormat="1" applyFont="1" applyFill="1" applyBorder="1" applyAlignment="1">
      <alignment horizontal="right"/>
    </xf>
    <xf numFmtId="9" fontId="7" fillId="0" borderId="2" xfId="1" quotePrefix="1" applyFont="1" applyFill="1" applyBorder="1" applyAlignment="1">
      <alignment horizontal="right" vertical="center"/>
    </xf>
    <xf numFmtId="9" fontId="27" fillId="0" borderId="1" xfId="0" applyNumberFormat="1" applyFont="1" applyBorder="1" applyAlignment="1">
      <alignment horizontal="right"/>
    </xf>
    <xf numFmtId="165" fontId="1" fillId="0" borderId="1" xfId="2" applyNumberFormat="1" applyFont="1" applyFill="1" applyBorder="1" applyAlignment="1">
      <alignment horizontal="right"/>
    </xf>
    <xf numFmtId="9" fontId="1" fillId="0" borderId="1" xfId="0" applyNumberFormat="1" applyFont="1" applyFill="1" applyBorder="1" applyAlignment="1">
      <alignment horizontal="right"/>
    </xf>
    <xf numFmtId="0" fontId="1" fillId="0" borderId="1" xfId="0" quotePrefix="1" applyFont="1" applyFill="1" applyBorder="1" applyAlignment="1">
      <alignment horizontal="center"/>
    </xf>
    <xf numFmtId="9" fontId="6" fillId="0" borderId="2" xfId="1" applyFont="1" applyFill="1" applyBorder="1"/>
    <xf numFmtId="9" fontId="0" fillId="21" borderId="1" xfId="0" applyNumberFormat="1" applyFill="1" applyBorder="1"/>
    <xf numFmtId="9" fontId="0" fillId="21" borderId="2" xfId="0" applyNumberFormat="1" applyFill="1" applyBorder="1"/>
    <xf numFmtId="9" fontId="0" fillId="0" borderId="1" xfId="0" applyNumberFormat="1" applyFont="1" applyFill="1" applyBorder="1" applyAlignment="1">
      <alignment horizontal="right"/>
    </xf>
    <xf numFmtId="9" fontId="6" fillId="0" borderId="2" xfId="1" quotePrefix="1" applyFont="1" applyFill="1" applyBorder="1" applyAlignment="1">
      <alignment horizontal="center"/>
    </xf>
    <xf numFmtId="9" fontId="7" fillId="7" borderId="1" xfId="1" applyFont="1" applyFill="1" applyBorder="1"/>
    <xf numFmtId="9" fontId="7" fillId="7" borderId="1" xfId="0" applyNumberFormat="1" applyFont="1" applyFill="1" applyBorder="1"/>
    <xf numFmtId="9" fontId="7" fillId="7" borderId="2" xfId="0" applyNumberFormat="1" applyFont="1" applyFill="1" applyBorder="1"/>
    <xf numFmtId="9" fontId="7" fillId="7" borderId="1" xfId="1" applyFont="1" applyFill="1" applyBorder="1" applyAlignment="1">
      <alignment horizontal="right"/>
    </xf>
    <xf numFmtId="10" fontId="0" fillId="2" borderId="1" xfId="1" applyNumberFormat="1" applyFont="1" applyFill="1" applyBorder="1"/>
    <xf numFmtId="9" fontId="6" fillId="0" borderId="1" xfId="0" quotePrefix="1" applyNumberFormat="1" applyFont="1" applyFill="1" applyBorder="1" applyAlignment="1">
      <alignment horizontal="right"/>
    </xf>
    <xf numFmtId="9" fontId="28" fillId="0" borderId="1" xfId="0" applyNumberFormat="1" applyFont="1" applyBorder="1"/>
    <xf numFmtId="9" fontId="28" fillId="0" borderId="1" xfId="0" quotePrefix="1" applyNumberFormat="1" applyFont="1" applyFill="1" applyBorder="1" applyAlignment="1">
      <alignment horizontal="right"/>
    </xf>
    <xf numFmtId="9" fontId="28" fillId="0" borderId="1" xfId="1" applyFont="1" applyFill="1" applyBorder="1"/>
    <xf numFmtId="9" fontId="28" fillId="0" borderId="1" xfId="1" applyFont="1" applyFill="1" applyBorder="1" applyAlignment="1">
      <alignment horizontal="right"/>
    </xf>
    <xf numFmtId="9" fontId="28" fillId="0" borderId="2" xfId="0" quotePrefix="1" applyNumberFormat="1" applyFont="1" applyBorder="1" applyAlignment="1">
      <alignment horizontal="right"/>
    </xf>
    <xf numFmtId="9" fontId="28" fillId="0" borderId="1" xfId="0" applyNumberFormat="1" applyFont="1" applyFill="1" applyBorder="1" applyAlignment="1">
      <alignment horizontal="right"/>
    </xf>
    <xf numFmtId="9" fontId="29" fillId="0" borderId="2" xfId="1" applyFont="1" applyFill="1" applyBorder="1" applyAlignment="1">
      <alignment horizontal="right"/>
    </xf>
    <xf numFmtId="9" fontId="30" fillId="0" borderId="1" xfId="1" applyFont="1" applyFill="1" applyBorder="1"/>
    <xf numFmtId="9" fontId="30" fillId="0" borderId="1" xfId="0" applyNumberFormat="1" applyFont="1" applyBorder="1"/>
    <xf numFmtId="9" fontId="30" fillId="0" borderId="1" xfId="0" applyNumberFormat="1" applyFont="1" applyFill="1" applyBorder="1" applyAlignment="1">
      <alignment horizontal="right"/>
    </xf>
    <xf numFmtId="9" fontId="30" fillId="0" borderId="1" xfId="0" quotePrefix="1" applyNumberFormat="1" applyFont="1" applyFill="1" applyBorder="1" applyAlignment="1">
      <alignment horizontal="right"/>
    </xf>
    <xf numFmtId="9" fontId="30" fillId="0" borderId="2" xfId="1" quotePrefix="1" applyFont="1" applyFill="1" applyBorder="1" applyAlignment="1">
      <alignment horizontal="center" vertical="center"/>
    </xf>
    <xf numFmtId="9" fontId="30" fillId="0" borderId="2" xfId="0" quotePrefix="1" applyNumberFormat="1" applyFont="1" applyBorder="1" applyAlignment="1">
      <alignment horizontal="right"/>
    </xf>
    <xf numFmtId="0" fontId="30" fillId="0" borderId="1" xfId="0" quotePrefix="1" applyFont="1" applyFill="1" applyBorder="1" applyAlignment="1">
      <alignment horizontal="center"/>
    </xf>
    <xf numFmtId="9" fontId="31" fillId="0" borderId="2" xfId="1" applyFont="1" applyFill="1" applyBorder="1" applyAlignment="1">
      <alignment horizontal="right"/>
    </xf>
    <xf numFmtId="9" fontId="30" fillId="0" borderId="1" xfId="1" applyFont="1" applyFill="1" applyBorder="1" applyAlignment="1">
      <alignment horizontal="right"/>
    </xf>
    <xf numFmtId="9" fontId="32" fillId="0" borderId="1" xfId="0" applyNumberFormat="1" applyFont="1" applyBorder="1"/>
    <xf numFmtId="9" fontId="32" fillId="0" borderId="1" xfId="1" applyFont="1" applyFill="1" applyBorder="1" applyAlignment="1">
      <alignment horizontal="right"/>
    </xf>
    <xf numFmtId="9" fontId="32" fillId="0" borderId="1" xfId="1" applyFont="1" applyFill="1" applyBorder="1"/>
    <xf numFmtId="9" fontId="32" fillId="0" borderId="2" xfId="0" applyNumberFormat="1" applyFont="1" applyBorder="1"/>
    <xf numFmtId="9" fontId="32" fillId="0" borderId="1" xfId="0" applyNumberFormat="1" applyFont="1" applyFill="1" applyBorder="1" applyAlignment="1">
      <alignment horizontal="right"/>
    </xf>
    <xf numFmtId="9" fontId="33" fillId="0" borderId="2" xfId="1" applyFont="1" applyFill="1" applyBorder="1" applyAlignment="1">
      <alignment horizontal="right"/>
    </xf>
    <xf numFmtId="0" fontId="34" fillId="0" borderId="1" xfId="0" applyFont="1" applyBorder="1"/>
    <xf numFmtId="2" fontId="34" fillId="0" borderId="1" xfId="0" applyNumberFormat="1" applyFont="1" applyBorder="1"/>
    <xf numFmtId="0" fontId="0" fillId="0" borderId="1" xfId="0" applyBorder="1" applyAlignment="1"/>
    <xf numFmtId="0" fontId="0" fillId="0" borderId="0" xfId="0" applyFill="1"/>
    <xf numFmtId="0" fontId="0" fillId="0" borderId="1" xfId="0" applyFill="1" applyBorder="1"/>
    <xf numFmtId="0" fontId="5" fillId="5" borderId="1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 wrapText="1"/>
    </xf>
    <xf numFmtId="1" fontId="0" fillId="4" borderId="0" xfId="0" applyNumberFormat="1" applyFill="1" applyBorder="1"/>
    <xf numFmtId="1" fontId="0" fillId="0" borderId="0" xfId="0" applyNumberFormat="1" applyBorder="1"/>
    <xf numFmtId="0" fontId="5" fillId="5" borderId="1" xfId="0" applyFont="1" applyFill="1" applyBorder="1" applyAlignment="1">
      <alignment horizontal="center" vertical="center" wrapText="1"/>
    </xf>
    <xf numFmtId="9" fontId="0" fillId="0" borderId="6" xfId="0" applyNumberFormat="1" applyFont="1" applyFill="1" applyBorder="1"/>
    <xf numFmtId="9" fontId="0" fillId="0" borderId="1" xfId="0" applyNumberFormat="1" applyFont="1" applyFill="1" applyBorder="1"/>
    <xf numFmtId="2" fontId="0" fillId="0" borderId="1" xfId="0" applyNumberFormat="1" applyFont="1" applyFill="1" applyBorder="1"/>
    <xf numFmtId="9" fontId="0" fillId="0" borderId="9" xfId="0" applyNumberFormat="1" applyFont="1" applyFill="1" applyBorder="1"/>
    <xf numFmtId="0" fontId="5" fillId="5" borderId="1" xfId="0" applyFont="1" applyFill="1" applyBorder="1" applyAlignment="1">
      <alignment horizontal="center" vertical="center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10" fontId="0" fillId="4" borderId="1" xfId="1" applyNumberFormat="1" applyFont="1" applyFill="1" applyBorder="1"/>
    <xf numFmtId="10" fontId="34" fillId="0" borderId="1" xfId="1" applyNumberFormat="1" applyFont="1" applyBorder="1"/>
    <xf numFmtId="0" fontId="5" fillId="5" borderId="6" xfId="0" applyFont="1" applyFill="1" applyBorder="1" applyAlignment="1">
      <alignment horizontal="center" vertical="center"/>
    </xf>
    <xf numFmtId="2" fontId="0" fillId="0" borderId="6" xfId="0" applyNumberFormat="1" applyFont="1" applyFill="1" applyBorder="1"/>
    <xf numFmtId="2" fontId="0" fillId="0" borderId="9" xfId="0" applyNumberFormat="1" applyFont="1" applyFill="1" applyBorder="1"/>
    <xf numFmtId="16" fontId="0" fillId="0" borderId="1" xfId="0" applyNumberFormat="1" applyFill="1" applyBorder="1"/>
    <xf numFmtId="16" fontId="0" fillId="0" borderId="9" xfId="0" applyNumberFormat="1" applyFill="1" applyBorder="1"/>
    <xf numFmtId="1" fontId="0" fillId="0" borderId="1" xfId="0" applyNumberFormat="1" applyFill="1" applyBorder="1"/>
    <xf numFmtId="1" fontId="0" fillId="0" borderId="9" xfId="0" applyNumberFormat="1" applyBorder="1"/>
    <xf numFmtId="1" fontId="0" fillId="4" borderId="1" xfId="0" applyNumberFormat="1" applyFill="1" applyBorder="1" applyAlignment="1">
      <alignment horizontal="right"/>
    </xf>
    <xf numFmtId="16" fontId="0" fillId="8" borderId="1" xfId="0" applyNumberFormat="1" applyFill="1" applyBorder="1" applyAlignment="1">
      <alignment horizontal="right"/>
    </xf>
    <xf numFmtId="16" fontId="0" fillId="0" borderId="1" xfId="0" applyNumberFormat="1" applyFill="1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16" fontId="0" fillId="4" borderId="13" xfId="0" applyNumberFormat="1" applyFill="1" applyBorder="1" applyAlignment="1">
      <alignment horizontal="right"/>
    </xf>
    <xf numFmtId="1" fontId="0" fillId="0" borderId="4" xfId="0" applyNumberFormat="1" applyBorder="1"/>
    <xf numFmtId="1" fontId="0" fillId="0" borderId="8" xfId="0" applyNumberFormat="1" applyBorder="1"/>
    <xf numFmtId="0" fontId="5" fillId="5" borderId="6" xfId="0" applyFont="1" applyFill="1" applyBorder="1"/>
    <xf numFmtId="0" fontId="5" fillId="5" borderId="7" xfId="0" applyFont="1" applyFill="1" applyBorder="1" applyAlignment="1">
      <alignment horizontal="center" vertical="center" wrapText="1"/>
    </xf>
    <xf numFmtId="16" fontId="0" fillId="0" borderId="4" xfId="0" applyNumberFormat="1" applyFill="1" applyBorder="1"/>
    <xf numFmtId="164" fontId="0" fillId="4" borderId="1" xfId="0" applyNumberFormat="1" applyFill="1" applyBorder="1"/>
    <xf numFmtId="10" fontId="0" fillId="0" borderId="2" xfId="1" applyNumberFormat="1" applyFont="1" applyFill="1" applyBorder="1"/>
    <xf numFmtId="16" fontId="0" fillId="0" borderId="8" xfId="0" applyNumberFormat="1" applyFill="1" applyBorder="1"/>
    <xf numFmtId="0" fontId="0" fillId="18" borderId="9" xfId="0" applyFill="1" applyBorder="1"/>
    <xf numFmtId="0" fontId="0" fillId="4" borderId="9" xfId="0" quotePrefix="1" applyFill="1" applyBorder="1" applyAlignment="1">
      <alignment horizontal="center"/>
    </xf>
    <xf numFmtId="0" fontId="0" fillId="0" borderId="9" xfId="0" applyFill="1" applyBorder="1"/>
    <xf numFmtId="10" fontId="0" fillId="0" borderId="12" xfId="1" applyNumberFormat="1" applyFont="1" applyFill="1" applyBorder="1"/>
    <xf numFmtId="0" fontId="0" fillId="0" borderId="1" xfId="0" pivotButton="1" applyBorder="1"/>
    <xf numFmtId="0" fontId="0" fillId="0" borderId="1" xfId="0" applyNumberFormat="1" applyBorder="1"/>
    <xf numFmtId="10" fontId="0" fillId="0" borderId="6" xfId="0" applyNumberFormat="1" applyFont="1" applyFill="1" applyBorder="1"/>
    <xf numFmtId="10" fontId="0" fillId="0" borderId="1" xfId="0" applyNumberFormat="1" applyFont="1" applyFill="1" applyBorder="1"/>
    <xf numFmtId="10" fontId="0" fillId="7" borderId="1" xfId="1" applyNumberFormat="1" applyFont="1" applyFill="1" applyBorder="1" applyAlignment="1">
      <alignment horizontal="right"/>
    </xf>
    <xf numFmtId="2" fontId="0" fillId="0" borderId="8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" fontId="0" fillId="0" borderId="0" xfId="0" applyNumberFormat="1" applyAlignment="1">
      <alignment horizontal="left"/>
    </xf>
    <xf numFmtId="0" fontId="12" fillId="0" borderId="19" xfId="0" applyFont="1" applyBorder="1" applyAlignment="1">
      <alignment horizontal="right" vertical="center"/>
    </xf>
    <xf numFmtId="9" fontId="35" fillId="0" borderId="19" xfId="0" applyNumberFormat="1" applyFont="1" applyBorder="1" applyAlignment="1">
      <alignment horizontal="right" vertical="center"/>
    </xf>
    <xf numFmtId="9" fontId="36" fillId="0" borderId="19" xfId="0" applyNumberFormat="1" applyFont="1" applyBorder="1" applyAlignment="1">
      <alignment horizontal="right" vertical="center"/>
    </xf>
    <xf numFmtId="9" fontId="35" fillId="16" borderId="19" xfId="0" applyNumberFormat="1" applyFont="1" applyFill="1" applyBorder="1" applyAlignment="1">
      <alignment horizontal="right" vertical="center"/>
    </xf>
    <xf numFmtId="9" fontId="36" fillId="16" borderId="19" xfId="0" applyNumberFormat="1" applyFont="1" applyFill="1" applyBorder="1" applyAlignment="1">
      <alignment horizontal="right" vertical="center"/>
    </xf>
    <xf numFmtId="0" fontId="36" fillId="16" borderId="19" xfId="0" applyFont="1" applyFill="1" applyBorder="1" applyAlignment="1">
      <alignment horizontal="center" vertical="center"/>
    </xf>
    <xf numFmtId="9" fontId="36" fillId="0" borderId="21" xfId="0" applyNumberFormat="1" applyFont="1" applyBorder="1" applyAlignment="1">
      <alignment horizontal="right" vertical="center"/>
    </xf>
    <xf numFmtId="9" fontId="36" fillId="0" borderId="18" xfId="0" applyNumberFormat="1" applyFont="1" applyBorder="1" applyAlignment="1">
      <alignment horizontal="right" vertical="center"/>
    </xf>
    <xf numFmtId="9" fontId="37" fillId="0" borderId="22" xfId="0" applyNumberFormat="1" applyFont="1" applyBorder="1" applyAlignment="1">
      <alignment horizontal="right" vertical="center"/>
    </xf>
    <xf numFmtId="9" fontId="37" fillId="0" borderId="18" xfId="0" applyNumberFormat="1" applyFont="1" applyBorder="1" applyAlignment="1">
      <alignment horizontal="right" vertical="center"/>
    </xf>
    <xf numFmtId="9" fontId="32" fillId="0" borderId="1" xfId="0" quotePrefix="1" applyNumberFormat="1" applyFont="1" applyFill="1" applyBorder="1" applyAlignment="1">
      <alignment horizontal="right"/>
    </xf>
    <xf numFmtId="0" fontId="0" fillId="4" borderId="9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488"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1" tint="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FY25.xlsx]Jamaica!PivotTable2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Jamaica!$AG$14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Jamaica!$AG$15:$AG$34</c:f>
              <c:numCache>
                <c:formatCode>General</c:formatCode>
                <c:ptCount val="19"/>
                <c:pt idx="0">
                  <c:v>5183</c:v>
                </c:pt>
                <c:pt idx="1">
                  <c:v>5433</c:v>
                </c:pt>
                <c:pt idx="2">
                  <c:v>5276</c:v>
                </c:pt>
                <c:pt idx="3">
                  <c:v>5369</c:v>
                </c:pt>
                <c:pt idx="4">
                  <c:v>5525</c:v>
                </c:pt>
                <c:pt idx="5">
                  <c:v>5389</c:v>
                </c:pt>
                <c:pt idx="6">
                  <c:v>5710</c:v>
                </c:pt>
                <c:pt idx="7">
                  <c:v>5179</c:v>
                </c:pt>
                <c:pt idx="8">
                  <c:v>5985</c:v>
                </c:pt>
                <c:pt idx="9">
                  <c:v>5446</c:v>
                </c:pt>
                <c:pt idx="10">
                  <c:v>5401</c:v>
                </c:pt>
                <c:pt idx="11">
                  <c:v>5354</c:v>
                </c:pt>
                <c:pt idx="12">
                  <c:v>5733</c:v>
                </c:pt>
                <c:pt idx="13">
                  <c:v>3276</c:v>
                </c:pt>
                <c:pt idx="14">
                  <c:v>5095</c:v>
                </c:pt>
                <c:pt idx="15">
                  <c:v>5826</c:v>
                </c:pt>
                <c:pt idx="16">
                  <c:v>5422</c:v>
                </c:pt>
                <c:pt idx="17">
                  <c:v>5771</c:v>
                </c:pt>
                <c:pt idx="18">
                  <c:v>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9-4A54-A5B7-BA7CE8BC02B2}"/>
            </c:ext>
          </c:extLst>
        </c:ser>
        <c:ser>
          <c:idx val="2"/>
          <c:order val="2"/>
          <c:tx>
            <c:strRef>
              <c:f>Jamaica!$AH$14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Jamaica!$AH$15:$AH$34</c:f>
              <c:numCache>
                <c:formatCode>General</c:formatCode>
                <c:ptCount val="19"/>
                <c:pt idx="0">
                  <c:v>3833</c:v>
                </c:pt>
                <c:pt idx="1">
                  <c:v>4632</c:v>
                </c:pt>
                <c:pt idx="2">
                  <c:v>4693</c:v>
                </c:pt>
                <c:pt idx="3">
                  <c:v>4770</c:v>
                </c:pt>
                <c:pt idx="4">
                  <c:v>4588</c:v>
                </c:pt>
                <c:pt idx="5">
                  <c:v>4915</c:v>
                </c:pt>
                <c:pt idx="6">
                  <c:v>5080</c:v>
                </c:pt>
                <c:pt idx="7">
                  <c:v>4297</c:v>
                </c:pt>
                <c:pt idx="8">
                  <c:v>4954</c:v>
                </c:pt>
                <c:pt idx="9">
                  <c:v>4966</c:v>
                </c:pt>
                <c:pt idx="10">
                  <c:v>4894</c:v>
                </c:pt>
                <c:pt idx="11">
                  <c:v>4988</c:v>
                </c:pt>
                <c:pt idx="12">
                  <c:v>5080</c:v>
                </c:pt>
                <c:pt idx="13">
                  <c:v>2157</c:v>
                </c:pt>
                <c:pt idx="14">
                  <c:v>4026</c:v>
                </c:pt>
                <c:pt idx="15">
                  <c:v>4689</c:v>
                </c:pt>
                <c:pt idx="16">
                  <c:v>4038</c:v>
                </c:pt>
                <c:pt idx="17">
                  <c:v>3456</c:v>
                </c:pt>
                <c:pt idx="18">
                  <c:v>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9-4A54-A5B7-BA7CE8BC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088400"/>
        <c:axId val="233065600"/>
      </c:barChart>
      <c:lineChart>
        <c:grouping val="standard"/>
        <c:varyColors val="0"/>
        <c:ser>
          <c:idx val="0"/>
          <c:order val="0"/>
          <c:tx>
            <c:strRef>
              <c:f>Jamaica!$AF$14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Jamaica!$AF$15:$AF$34</c:f>
              <c:numCache>
                <c:formatCode>0.00%</c:formatCode>
                <c:ptCount val="19"/>
                <c:pt idx="0">
                  <c:v>0.3066666666666667</c:v>
                </c:pt>
                <c:pt idx="1">
                  <c:v>0.50285714285714278</c:v>
                </c:pt>
                <c:pt idx="2">
                  <c:v>0.58142857142857152</c:v>
                </c:pt>
                <c:pt idx="3">
                  <c:v>0.55571428571428572</c:v>
                </c:pt>
                <c:pt idx="4">
                  <c:v>0.46142857142857141</c:v>
                </c:pt>
                <c:pt idx="5">
                  <c:v>0.6399999999999999</c:v>
                </c:pt>
                <c:pt idx="6">
                  <c:v>0.59857142857142864</c:v>
                </c:pt>
                <c:pt idx="7">
                  <c:v>0.41714285714285715</c:v>
                </c:pt>
                <c:pt idx="8">
                  <c:v>0.48857142857142855</c:v>
                </c:pt>
                <c:pt idx="9">
                  <c:v>0.6428571428571429</c:v>
                </c:pt>
                <c:pt idx="10">
                  <c:v>0.63714285714285712</c:v>
                </c:pt>
                <c:pt idx="11">
                  <c:v>0.69000000000000006</c:v>
                </c:pt>
                <c:pt idx="12">
                  <c:v>0.56857142857142862</c:v>
                </c:pt>
                <c:pt idx="13">
                  <c:v>0.26142857142857145</c:v>
                </c:pt>
                <c:pt idx="14">
                  <c:v>0.4514285714285714</c:v>
                </c:pt>
                <c:pt idx="15">
                  <c:v>0.4642857142857143</c:v>
                </c:pt>
                <c:pt idx="16">
                  <c:v>0.37999999999999995</c:v>
                </c:pt>
                <c:pt idx="17">
                  <c:v>0.13857142857142857</c:v>
                </c:pt>
                <c:pt idx="18">
                  <c:v>0.14857142857142858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A54-A5B7-BA7CE8BC02B2}"/>
            </c:ext>
          </c:extLst>
        </c:ser>
        <c:ser>
          <c:idx val="3"/>
          <c:order val="3"/>
          <c:tx>
            <c:strRef>
              <c:f>Jamaica!$AI$14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Jamaica!$AI$15:$AI$34</c:f>
              <c:numCache>
                <c:formatCode>0.00%</c:formatCode>
                <c:ptCount val="19"/>
                <c:pt idx="0">
                  <c:v>0.69166666666666676</c:v>
                </c:pt>
                <c:pt idx="1">
                  <c:v>0.54428571428571426</c:v>
                </c:pt>
                <c:pt idx="2">
                  <c:v>0.62285714285714289</c:v>
                </c:pt>
                <c:pt idx="3">
                  <c:v>0.63142857142857156</c:v>
                </c:pt>
                <c:pt idx="4">
                  <c:v>0.63428571428571423</c:v>
                </c:pt>
                <c:pt idx="5">
                  <c:v>0.60571428571428576</c:v>
                </c:pt>
                <c:pt idx="6">
                  <c:v>0.62285714285714278</c:v>
                </c:pt>
                <c:pt idx="7">
                  <c:v>0.50000000000000011</c:v>
                </c:pt>
                <c:pt idx="8">
                  <c:v>0.64142857142857146</c:v>
                </c:pt>
                <c:pt idx="9">
                  <c:v>0.58571428571428574</c:v>
                </c:pt>
                <c:pt idx="10">
                  <c:v>0.57714285714285718</c:v>
                </c:pt>
                <c:pt idx="11">
                  <c:v>0.52</c:v>
                </c:pt>
                <c:pt idx="12">
                  <c:v>0.62</c:v>
                </c:pt>
                <c:pt idx="13">
                  <c:v>0.37142857142857144</c:v>
                </c:pt>
                <c:pt idx="14">
                  <c:v>0.55285714285714282</c:v>
                </c:pt>
                <c:pt idx="15">
                  <c:v>0.55142857142857138</c:v>
                </c:pt>
                <c:pt idx="16">
                  <c:v>0.55999999999999994</c:v>
                </c:pt>
                <c:pt idx="17">
                  <c:v>0.53714285714285714</c:v>
                </c:pt>
                <c:pt idx="18">
                  <c:v>0.53857142857142859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0-4101-91A3-F6BFA2441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093823"/>
        <c:axId val="638515535"/>
      </c:lineChart>
      <c:catAx>
        <c:axId val="20608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65600"/>
        <c:crosses val="autoZero"/>
        <c:auto val="1"/>
        <c:lblAlgn val="ctr"/>
        <c:lblOffset val="100"/>
        <c:noMultiLvlLbl val="0"/>
      </c:catAx>
      <c:valAx>
        <c:axId val="2330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8400"/>
        <c:crosses val="autoZero"/>
        <c:crossBetween val="between"/>
      </c:valAx>
      <c:valAx>
        <c:axId val="63851553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3823"/>
        <c:crosses val="max"/>
        <c:crossBetween val="between"/>
      </c:valAx>
      <c:catAx>
        <c:axId val="665093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5155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FY25.xlsx]Trinidad and Tobago!PivotTable1</c:name>
    <c:fmtId val="1"/>
  </c:pivotSource>
  <c:chart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'Trinidad and Tobago'!$AM$16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Tobago'!$AM$17:$AM$36</c:f>
              <c:numCache>
                <c:formatCode>General</c:formatCode>
                <c:ptCount val="19"/>
                <c:pt idx="0">
                  <c:v>2737</c:v>
                </c:pt>
                <c:pt idx="1">
                  <c:v>2734</c:v>
                </c:pt>
                <c:pt idx="2">
                  <c:v>4051</c:v>
                </c:pt>
                <c:pt idx="3">
                  <c:v>3767</c:v>
                </c:pt>
                <c:pt idx="4">
                  <c:v>3446</c:v>
                </c:pt>
                <c:pt idx="5">
                  <c:v>4096</c:v>
                </c:pt>
                <c:pt idx="6">
                  <c:v>4011</c:v>
                </c:pt>
                <c:pt idx="7">
                  <c:v>3099</c:v>
                </c:pt>
                <c:pt idx="8">
                  <c:v>2171</c:v>
                </c:pt>
                <c:pt idx="9">
                  <c:v>3799</c:v>
                </c:pt>
                <c:pt idx="10">
                  <c:v>3172</c:v>
                </c:pt>
                <c:pt idx="11">
                  <c:v>2976</c:v>
                </c:pt>
                <c:pt idx="12">
                  <c:v>3050</c:v>
                </c:pt>
                <c:pt idx="13">
                  <c:v>2931</c:v>
                </c:pt>
                <c:pt idx="14">
                  <c:v>2941</c:v>
                </c:pt>
                <c:pt idx="15">
                  <c:v>3334</c:v>
                </c:pt>
                <c:pt idx="16">
                  <c:v>2705</c:v>
                </c:pt>
                <c:pt idx="17">
                  <c:v>3003</c:v>
                </c:pt>
                <c:pt idx="18">
                  <c:v>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8-4246-ADC3-8BB606477D75}"/>
            </c:ext>
          </c:extLst>
        </c:ser>
        <c:ser>
          <c:idx val="1"/>
          <c:order val="1"/>
          <c:tx>
            <c:strRef>
              <c:f>'Trinidad and Tobago'!$AN$16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Tobago'!$AN$17:$AN$36</c:f>
              <c:numCache>
                <c:formatCode>General</c:formatCode>
                <c:ptCount val="19"/>
                <c:pt idx="0">
                  <c:v>2585</c:v>
                </c:pt>
                <c:pt idx="1">
                  <c:v>2454</c:v>
                </c:pt>
                <c:pt idx="2">
                  <c:v>3810</c:v>
                </c:pt>
                <c:pt idx="3">
                  <c:v>3503</c:v>
                </c:pt>
                <c:pt idx="4">
                  <c:v>3062</c:v>
                </c:pt>
                <c:pt idx="5">
                  <c:v>3834</c:v>
                </c:pt>
                <c:pt idx="6">
                  <c:v>3753</c:v>
                </c:pt>
                <c:pt idx="7">
                  <c:v>2895</c:v>
                </c:pt>
                <c:pt idx="8">
                  <c:v>1918</c:v>
                </c:pt>
                <c:pt idx="9">
                  <c:v>3214</c:v>
                </c:pt>
                <c:pt idx="10">
                  <c:v>2987</c:v>
                </c:pt>
                <c:pt idx="11">
                  <c:v>2373</c:v>
                </c:pt>
                <c:pt idx="12">
                  <c:v>2811</c:v>
                </c:pt>
                <c:pt idx="13">
                  <c:v>2758</c:v>
                </c:pt>
                <c:pt idx="14">
                  <c:v>2597</c:v>
                </c:pt>
                <c:pt idx="15">
                  <c:v>2961</c:v>
                </c:pt>
                <c:pt idx="16">
                  <c:v>2208</c:v>
                </c:pt>
                <c:pt idx="17">
                  <c:v>2388</c:v>
                </c:pt>
                <c:pt idx="18">
                  <c:v>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8-4246-ADC3-8BB60647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860335"/>
        <c:axId val="637610399"/>
      </c:barChart>
      <c:lineChart>
        <c:grouping val="standard"/>
        <c:varyColors val="0"/>
        <c:ser>
          <c:idx val="2"/>
          <c:order val="2"/>
          <c:tx>
            <c:strRef>
              <c:f>'Trinidad and Tobago'!$AO$16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Tobago'!$AO$17:$AO$36</c:f>
              <c:numCache>
                <c:formatCode>0.00%</c:formatCode>
                <c:ptCount val="19"/>
                <c:pt idx="0">
                  <c:v>0.65833333333333333</c:v>
                </c:pt>
                <c:pt idx="1">
                  <c:v>0.47142857142857142</c:v>
                </c:pt>
                <c:pt idx="2">
                  <c:v>0.64714285714285702</c:v>
                </c:pt>
                <c:pt idx="3">
                  <c:v>0.67285714285714293</c:v>
                </c:pt>
                <c:pt idx="4">
                  <c:v>0.49857142857142855</c:v>
                </c:pt>
                <c:pt idx="5">
                  <c:v>0.67142857142857149</c:v>
                </c:pt>
                <c:pt idx="6">
                  <c:v>0.6785714285714286</c:v>
                </c:pt>
                <c:pt idx="7">
                  <c:v>0.74714285714285711</c:v>
                </c:pt>
                <c:pt idx="8">
                  <c:v>0.40142857142857141</c:v>
                </c:pt>
                <c:pt idx="9">
                  <c:v>0.58571428571428563</c:v>
                </c:pt>
                <c:pt idx="10">
                  <c:v>0.7142857142857143</c:v>
                </c:pt>
                <c:pt idx="11">
                  <c:v>0.44</c:v>
                </c:pt>
                <c:pt idx="12">
                  <c:v>0.68285714285714294</c:v>
                </c:pt>
                <c:pt idx="13">
                  <c:v>0.73714285714285721</c:v>
                </c:pt>
                <c:pt idx="14">
                  <c:v>0.62571428571428578</c:v>
                </c:pt>
                <c:pt idx="15">
                  <c:v>0.61857142857142855</c:v>
                </c:pt>
                <c:pt idx="16">
                  <c:v>0.6071428571428571</c:v>
                </c:pt>
                <c:pt idx="17">
                  <c:v>0.3585714285714286</c:v>
                </c:pt>
                <c:pt idx="18">
                  <c:v>0.5485714285714286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28-4246-ADC3-8BB606477D75}"/>
            </c:ext>
          </c:extLst>
        </c:ser>
        <c:ser>
          <c:idx val="3"/>
          <c:order val="3"/>
          <c:tx>
            <c:strRef>
              <c:f>'Trinidad and Tobago'!$AP$16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Tobago'!$AP$17:$AP$36</c:f>
              <c:numCache>
                <c:formatCode>0.00%</c:formatCode>
                <c:ptCount val="19"/>
                <c:pt idx="0">
                  <c:v>0.23166666666666666</c:v>
                </c:pt>
                <c:pt idx="1">
                  <c:v>0.23571428571428574</c:v>
                </c:pt>
                <c:pt idx="2">
                  <c:v>0.31857142857142856</c:v>
                </c:pt>
                <c:pt idx="3">
                  <c:v>0.31857142857142856</c:v>
                </c:pt>
                <c:pt idx="4">
                  <c:v>0.30285714285714288</c:v>
                </c:pt>
                <c:pt idx="5">
                  <c:v>0.34857142857142859</c:v>
                </c:pt>
                <c:pt idx="6">
                  <c:v>0.32571428571428573</c:v>
                </c:pt>
                <c:pt idx="7">
                  <c:v>0.22428571428571425</c:v>
                </c:pt>
                <c:pt idx="8">
                  <c:v>0.25571428571428573</c:v>
                </c:pt>
                <c:pt idx="9">
                  <c:v>0.33</c:v>
                </c:pt>
                <c:pt idx="10">
                  <c:v>0.31428571428571433</c:v>
                </c:pt>
                <c:pt idx="11">
                  <c:v>0.3</c:v>
                </c:pt>
                <c:pt idx="12">
                  <c:v>0.30142857142857143</c:v>
                </c:pt>
                <c:pt idx="13">
                  <c:v>0.28285714285714286</c:v>
                </c:pt>
                <c:pt idx="14">
                  <c:v>0.29285714285714287</c:v>
                </c:pt>
                <c:pt idx="15">
                  <c:v>0.30857142857142861</c:v>
                </c:pt>
                <c:pt idx="16">
                  <c:v>0.25142857142857145</c:v>
                </c:pt>
                <c:pt idx="17">
                  <c:v>0.31714285714285712</c:v>
                </c:pt>
                <c:pt idx="18">
                  <c:v>0.30571428571428572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28-4246-ADC3-8BB60647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522927"/>
        <c:axId val="844921263"/>
      </c:lineChart>
      <c:catAx>
        <c:axId val="8438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10399"/>
        <c:crosses val="autoZero"/>
        <c:auto val="1"/>
        <c:lblAlgn val="ctr"/>
        <c:lblOffset val="100"/>
        <c:noMultiLvlLbl val="0"/>
      </c:catAx>
      <c:valAx>
        <c:axId val="637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60335"/>
        <c:crosses val="autoZero"/>
        <c:crossBetween val="between"/>
      </c:valAx>
      <c:valAx>
        <c:axId val="8449212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22927"/>
        <c:crosses val="max"/>
        <c:crossBetween val="between"/>
      </c:valAx>
      <c:catAx>
        <c:axId val="669522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492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FY25.xlsx]Belize!PivotTable2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Belize!$AN$12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Belize!$AN$13:$AN$32</c:f>
              <c:numCache>
                <c:formatCode>General</c:formatCode>
                <c:ptCount val="19"/>
                <c:pt idx="0">
                  <c:v>472</c:v>
                </c:pt>
                <c:pt idx="1">
                  <c:v>520</c:v>
                </c:pt>
                <c:pt idx="2">
                  <c:v>572</c:v>
                </c:pt>
                <c:pt idx="3">
                  <c:v>605</c:v>
                </c:pt>
                <c:pt idx="4">
                  <c:v>605</c:v>
                </c:pt>
                <c:pt idx="5">
                  <c:v>605</c:v>
                </c:pt>
                <c:pt idx="6">
                  <c:v>731</c:v>
                </c:pt>
                <c:pt idx="7">
                  <c:v>674</c:v>
                </c:pt>
                <c:pt idx="8">
                  <c:v>654</c:v>
                </c:pt>
                <c:pt idx="9">
                  <c:v>641</c:v>
                </c:pt>
                <c:pt idx="10">
                  <c:v>615</c:v>
                </c:pt>
                <c:pt idx="11">
                  <c:v>589</c:v>
                </c:pt>
                <c:pt idx="12">
                  <c:v>395</c:v>
                </c:pt>
                <c:pt idx="13">
                  <c:v>279</c:v>
                </c:pt>
                <c:pt idx="14">
                  <c:v>751</c:v>
                </c:pt>
                <c:pt idx="15">
                  <c:v>670</c:v>
                </c:pt>
                <c:pt idx="16">
                  <c:v>687</c:v>
                </c:pt>
                <c:pt idx="17">
                  <c:v>512</c:v>
                </c:pt>
                <c:pt idx="18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058-A8FE-B6745728930C}"/>
            </c:ext>
          </c:extLst>
        </c:ser>
        <c:ser>
          <c:idx val="1"/>
          <c:order val="1"/>
          <c:tx>
            <c:strRef>
              <c:f>Belize!$AO$12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Belize!$AO$13:$AO$32</c:f>
              <c:numCache>
                <c:formatCode>General</c:formatCode>
                <c:ptCount val="19"/>
                <c:pt idx="0">
                  <c:v>448</c:v>
                </c:pt>
                <c:pt idx="1">
                  <c:v>492</c:v>
                </c:pt>
                <c:pt idx="2">
                  <c:v>554</c:v>
                </c:pt>
                <c:pt idx="3">
                  <c:v>583</c:v>
                </c:pt>
                <c:pt idx="4">
                  <c:v>573</c:v>
                </c:pt>
                <c:pt idx="5">
                  <c:v>565</c:v>
                </c:pt>
                <c:pt idx="6">
                  <c:v>664</c:v>
                </c:pt>
                <c:pt idx="7">
                  <c:v>604</c:v>
                </c:pt>
                <c:pt idx="8">
                  <c:v>571</c:v>
                </c:pt>
                <c:pt idx="9">
                  <c:v>573</c:v>
                </c:pt>
                <c:pt idx="10">
                  <c:v>563</c:v>
                </c:pt>
                <c:pt idx="11">
                  <c:v>512</c:v>
                </c:pt>
                <c:pt idx="12">
                  <c:v>345</c:v>
                </c:pt>
                <c:pt idx="13">
                  <c:v>216</c:v>
                </c:pt>
                <c:pt idx="14">
                  <c:v>660</c:v>
                </c:pt>
                <c:pt idx="15">
                  <c:v>598</c:v>
                </c:pt>
                <c:pt idx="16">
                  <c:v>627</c:v>
                </c:pt>
                <c:pt idx="17">
                  <c:v>464</c:v>
                </c:pt>
                <c:pt idx="18">
                  <c:v>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1-4058-A8FE-B67457289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1330815"/>
        <c:axId val="845599263"/>
      </c:barChart>
      <c:lineChart>
        <c:grouping val="standard"/>
        <c:varyColors val="0"/>
        <c:ser>
          <c:idx val="2"/>
          <c:order val="2"/>
          <c:tx>
            <c:strRef>
              <c:f>Belize!$AP$12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Belize!$AP$13:$AP$32</c:f>
              <c:numCache>
                <c:formatCode>0.00%</c:formatCode>
                <c:ptCount val="19"/>
                <c:pt idx="0">
                  <c:v>0.78833333333333344</c:v>
                </c:pt>
                <c:pt idx="1">
                  <c:v>0.81142857142857139</c:v>
                </c:pt>
                <c:pt idx="2">
                  <c:v>0.82285714285714284</c:v>
                </c:pt>
                <c:pt idx="3">
                  <c:v>0.82571428571428573</c:v>
                </c:pt>
                <c:pt idx="4">
                  <c:v>0.6757142857142856</c:v>
                </c:pt>
                <c:pt idx="5">
                  <c:v>0.66857142857142848</c:v>
                </c:pt>
                <c:pt idx="6">
                  <c:v>0.78</c:v>
                </c:pt>
                <c:pt idx="7">
                  <c:v>0.77000000000000013</c:v>
                </c:pt>
                <c:pt idx="8">
                  <c:v>0.75285714285714289</c:v>
                </c:pt>
                <c:pt idx="9">
                  <c:v>0.76428571428571423</c:v>
                </c:pt>
                <c:pt idx="10">
                  <c:v>0.78428571428571436</c:v>
                </c:pt>
                <c:pt idx="11">
                  <c:v>0.49428571428571427</c:v>
                </c:pt>
                <c:pt idx="12">
                  <c:v>0.74428571428571411</c:v>
                </c:pt>
                <c:pt idx="13">
                  <c:v>0.70285714285714285</c:v>
                </c:pt>
                <c:pt idx="14">
                  <c:v>0.76</c:v>
                </c:pt>
                <c:pt idx="15">
                  <c:v>0.76714285714285713</c:v>
                </c:pt>
                <c:pt idx="16">
                  <c:v>0.78285714285714292</c:v>
                </c:pt>
                <c:pt idx="17">
                  <c:v>0.64428571428571424</c:v>
                </c:pt>
                <c:pt idx="18">
                  <c:v>0.75142857142857145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21-4058-A8FE-B6745728930C}"/>
            </c:ext>
          </c:extLst>
        </c:ser>
        <c:ser>
          <c:idx val="3"/>
          <c:order val="3"/>
          <c:tx>
            <c:strRef>
              <c:f>Belize!$AQ$12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Belize!$AQ$13:$AQ$32</c:f>
              <c:numCache>
                <c:formatCode>0.00%</c:formatCode>
                <c:ptCount val="19"/>
                <c:pt idx="0">
                  <c:v>0.28000000000000003</c:v>
                </c:pt>
                <c:pt idx="1">
                  <c:v>0.28142857142857142</c:v>
                </c:pt>
                <c:pt idx="2">
                  <c:v>0.5585714285714285</c:v>
                </c:pt>
                <c:pt idx="3">
                  <c:v>0.54142857142857148</c:v>
                </c:pt>
                <c:pt idx="4">
                  <c:v>0.77571428571428569</c:v>
                </c:pt>
                <c:pt idx="5">
                  <c:v>0.28428571428571425</c:v>
                </c:pt>
                <c:pt idx="6">
                  <c:v>0.47428571428571425</c:v>
                </c:pt>
                <c:pt idx="7">
                  <c:v>0.76428571428571435</c:v>
                </c:pt>
                <c:pt idx="8">
                  <c:v>0.36571428571428571</c:v>
                </c:pt>
                <c:pt idx="9">
                  <c:v>0.22428571428571425</c:v>
                </c:pt>
                <c:pt idx="10">
                  <c:v>0.47428571428571425</c:v>
                </c:pt>
                <c:pt idx="11">
                  <c:v>0.2</c:v>
                </c:pt>
                <c:pt idx="12">
                  <c:v>0.13714285714285715</c:v>
                </c:pt>
                <c:pt idx="13">
                  <c:v>9.571428571428571E-2</c:v>
                </c:pt>
                <c:pt idx="14">
                  <c:v>0.28857142857142865</c:v>
                </c:pt>
                <c:pt idx="15">
                  <c:v>0.51285714285714279</c:v>
                </c:pt>
                <c:pt idx="16">
                  <c:v>0.3671428571428571</c:v>
                </c:pt>
                <c:pt idx="17">
                  <c:v>0.26571428571428568</c:v>
                </c:pt>
                <c:pt idx="18">
                  <c:v>0.28428571428571425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21-4058-A8FE-B67457289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21055"/>
        <c:axId val="637631615"/>
      </c:lineChart>
      <c:catAx>
        <c:axId val="108133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99263"/>
        <c:crosses val="autoZero"/>
        <c:auto val="1"/>
        <c:lblAlgn val="ctr"/>
        <c:lblOffset val="100"/>
        <c:noMultiLvlLbl val="0"/>
      </c:catAx>
      <c:valAx>
        <c:axId val="84559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330815"/>
        <c:crosses val="autoZero"/>
        <c:crossBetween val="between"/>
      </c:valAx>
      <c:valAx>
        <c:axId val="6376316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21055"/>
        <c:crosses val="max"/>
        <c:crossBetween val="between"/>
      </c:valAx>
      <c:catAx>
        <c:axId val="1085521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7631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FY25.xlsx]Barbados!PivotTable3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Barbados!$AN$22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Barbados!$AN$23:$AN$42</c:f>
              <c:numCache>
                <c:formatCode>General</c:formatCode>
                <c:ptCount val="19"/>
                <c:pt idx="0">
                  <c:v>1964</c:v>
                </c:pt>
                <c:pt idx="1">
                  <c:v>2145</c:v>
                </c:pt>
                <c:pt idx="2">
                  <c:v>2290</c:v>
                </c:pt>
                <c:pt idx="3">
                  <c:v>2244</c:v>
                </c:pt>
                <c:pt idx="4">
                  <c:v>1760</c:v>
                </c:pt>
                <c:pt idx="5">
                  <c:v>2030</c:v>
                </c:pt>
                <c:pt idx="6">
                  <c:v>2102</c:v>
                </c:pt>
                <c:pt idx="7">
                  <c:v>1800</c:v>
                </c:pt>
                <c:pt idx="8">
                  <c:v>2186</c:v>
                </c:pt>
                <c:pt idx="9">
                  <c:v>1856</c:v>
                </c:pt>
                <c:pt idx="10">
                  <c:v>2190</c:v>
                </c:pt>
                <c:pt idx="11">
                  <c:v>1976</c:v>
                </c:pt>
                <c:pt idx="12">
                  <c:v>2250</c:v>
                </c:pt>
                <c:pt idx="13">
                  <c:v>1404</c:v>
                </c:pt>
                <c:pt idx="14">
                  <c:v>2198</c:v>
                </c:pt>
                <c:pt idx="15">
                  <c:v>2091</c:v>
                </c:pt>
                <c:pt idx="16">
                  <c:v>2217</c:v>
                </c:pt>
                <c:pt idx="17">
                  <c:v>2076</c:v>
                </c:pt>
                <c:pt idx="18">
                  <c:v>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E-4D56-9193-97F8F43C0D49}"/>
            </c:ext>
          </c:extLst>
        </c:ser>
        <c:ser>
          <c:idx val="1"/>
          <c:order val="1"/>
          <c:tx>
            <c:strRef>
              <c:f>Barbados!$AO$22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Barbados!$AO$23:$AO$42</c:f>
              <c:numCache>
                <c:formatCode>General</c:formatCode>
                <c:ptCount val="19"/>
                <c:pt idx="0">
                  <c:v>1788</c:v>
                </c:pt>
                <c:pt idx="1">
                  <c:v>2015</c:v>
                </c:pt>
                <c:pt idx="2">
                  <c:v>1871</c:v>
                </c:pt>
                <c:pt idx="3">
                  <c:v>1897</c:v>
                </c:pt>
                <c:pt idx="4">
                  <c:v>1228</c:v>
                </c:pt>
                <c:pt idx="5">
                  <c:v>1753</c:v>
                </c:pt>
                <c:pt idx="6">
                  <c:v>1711</c:v>
                </c:pt>
                <c:pt idx="7">
                  <c:v>1641</c:v>
                </c:pt>
                <c:pt idx="8">
                  <c:v>1859</c:v>
                </c:pt>
                <c:pt idx="9">
                  <c:v>1547</c:v>
                </c:pt>
                <c:pt idx="10">
                  <c:v>1782</c:v>
                </c:pt>
                <c:pt idx="11">
                  <c:v>1629</c:v>
                </c:pt>
                <c:pt idx="12">
                  <c:v>1947</c:v>
                </c:pt>
                <c:pt idx="13">
                  <c:v>1201</c:v>
                </c:pt>
                <c:pt idx="14">
                  <c:v>1708</c:v>
                </c:pt>
                <c:pt idx="15">
                  <c:v>1699</c:v>
                </c:pt>
                <c:pt idx="16">
                  <c:v>1805</c:v>
                </c:pt>
                <c:pt idx="17">
                  <c:v>1548</c:v>
                </c:pt>
                <c:pt idx="18">
                  <c:v>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E-4D56-9193-97F8F43C0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145903"/>
        <c:axId val="661101807"/>
      </c:barChart>
      <c:lineChart>
        <c:grouping val="standard"/>
        <c:varyColors val="0"/>
        <c:ser>
          <c:idx val="2"/>
          <c:order val="2"/>
          <c:tx>
            <c:strRef>
              <c:f>Barbados!$AP$22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Barbados!$AP$23:$AP$42</c:f>
              <c:numCache>
                <c:formatCode>0.00%</c:formatCode>
                <c:ptCount val="19"/>
                <c:pt idx="0">
                  <c:v>0.58499999999999996</c:v>
                </c:pt>
                <c:pt idx="1">
                  <c:v>0.69714285714285718</c:v>
                </c:pt>
                <c:pt idx="2">
                  <c:v>0.44142857142857139</c:v>
                </c:pt>
                <c:pt idx="3">
                  <c:v>0.55714285714285716</c:v>
                </c:pt>
                <c:pt idx="4">
                  <c:v>0.25857142857142856</c:v>
                </c:pt>
                <c:pt idx="5">
                  <c:v>0.5585714285714285</c:v>
                </c:pt>
                <c:pt idx="6">
                  <c:v>0.56285714285714283</c:v>
                </c:pt>
                <c:pt idx="7">
                  <c:v>0.56142857142857139</c:v>
                </c:pt>
                <c:pt idx="8">
                  <c:v>0.66999999999999993</c:v>
                </c:pt>
                <c:pt idx="9">
                  <c:v>0.54142857142857148</c:v>
                </c:pt>
                <c:pt idx="10">
                  <c:v>0.51857142857142857</c:v>
                </c:pt>
                <c:pt idx="11">
                  <c:v>0.56285714285714294</c:v>
                </c:pt>
                <c:pt idx="12">
                  <c:v>0.57285714285714284</c:v>
                </c:pt>
                <c:pt idx="13">
                  <c:v>0.49714285714285722</c:v>
                </c:pt>
                <c:pt idx="14">
                  <c:v>0.45142857142857146</c:v>
                </c:pt>
                <c:pt idx="15">
                  <c:v>0.54571428571428571</c:v>
                </c:pt>
                <c:pt idx="16">
                  <c:v>0.45142857142857146</c:v>
                </c:pt>
                <c:pt idx="17">
                  <c:v>0.34428571428571431</c:v>
                </c:pt>
                <c:pt idx="18">
                  <c:v>0.43857142857142861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8E-4D56-9193-97F8F43C0D49}"/>
            </c:ext>
          </c:extLst>
        </c:ser>
        <c:ser>
          <c:idx val="3"/>
          <c:order val="3"/>
          <c:tx>
            <c:strRef>
              <c:f>Barbados!$AQ$22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Barbados!$AQ$23:$AQ$42</c:f>
              <c:numCache>
                <c:formatCode>0.00%</c:formatCode>
                <c:ptCount val="19"/>
                <c:pt idx="0">
                  <c:v>0.435</c:v>
                </c:pt>
                <c:pt idx="1">
                  <c:v>0.41142857142857142</c:v>
                </c:pt>
                <c:pt idx="2">
                  <c:v>0.53857142857142848</c:v>
                </c:pt>
                <c:pt idx="3">
                  <c:v>0.4757142857142857</c:v>
                </c:pt>
                <c:pt idx="4">
                  <c:v>0.35999999999999993</c:v>
                </c:pt>
                <c:pt idx="5">
                  <c:v>0.52428571428571424</c:v>
                </c:pt>
                <c:pt idx="6">
                  <c:v>0.41142857142857142</c:v>
                </c:pt>
                <c:pt idx="7">
                  <c:v>0.36571428571428571</c:v>
                </c:pt>
                <c:pt idx="8">
                  <c:v>0.4</c:v>
                </c:pt>
                <c:pt idx="9">
                  <c:v>0.40857142857142864</c:v>
                </c:pt>
                <c:pt idx="10">
                  <c:v>0.43428571428571433</c:v>
                </c:pt>
                <c:pt idx="11">
                  <c:v>0.41571428571428576</c:v>
                </c:pt>
                <c:pt idx="12">
                  <c:v>0.44</c:v>
                </c:pt>
                <c:pt idx="13">
                  <c:v>0.34285714285714286</c:v>
                </c:pt>
                <c:pt idx="14">
                  <c:v>0.58000000000000007</c:v>
                </c:pt>
                <c:pt idx="15">
                  <c:v>0.47142857142857142</c:v>
                </c:pt>
                <c:pt idx="16">
                  <c:v>0.51571428571428579</c:v>
                </c:pt>
                <c:pt idx="17">
                  <c:v>0.39999999999999997</c:v>
                </c:pt>
                <c:pt idx="18">
                  <c:v>0.41285714285714281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8E-4D56-9193-97F8F43C0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370767"/>
        <c:axId val="665097423"/>
      </c:lineChart>
      <c:catAx>
        <c:axId val="35814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01807"/>
        <c:crosses val="autoZero"/>
        <c:auto val="1"/>
        <c:lblAlgn val="ctr"/>
        <c:lblOffset val="100"/>
        <c:noMultiLvlLbl val="0"/>
      </c:catAx>
      <c:valAx>
        <c:axId val="66110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45903"/>
        <c:crosses val="autoZero"/>
        <c:crossBetween val="between"/>
      </c:valAx>
      <c:valAx>
        <c:axId val="66509742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70767"/>
        <c:crosses val="max"/>
        <c:crossBetween val="between"/>
      </c:valAx>
      <c:catAx>
        <c:axId val="632370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5097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FY25.xlsx]OECS!PivotTable4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OECS!$AP$8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OECS!$AP$9:$AP$28</c:f>
              <c:numCache>
                <c:formatCode>General</c:formatCode>
                <c:ptCount val="19"/>
                <c:pt idx="0">
                  <c:v>1786</c:v>
                </c:pt>
                <c:pt idx="1">
                  <c:v>2001</c:v>
                </c:pt>
                <c:pt idx="2">
                  <c:v>1985</c:v>
                </c:pt>
                <c:pt idx="3">
                  <c:v>1886</c:v>
                </c:pt>
                <c:pt idx="4">
                  <c:v>2081</c:v>
                </c:pt>
                <c:pt idx="5">
                  <c:v>1976</c:v>
                </c:pt>
                <c:pt idx="6">
                  <c:v>2056</c:v>
                </c:pt>
                <c:pt idx="7">
                  <c:v>1591</c:v>
                </c:pt>
                <c:pt idx="8">
                  <c:v>1707</c:v>
                </c:pt>
                <c:pt idx="9">
                  <c:v>1876</c:v>
                </c:pt>
                <c:pt idx="10">
                  <c:v>1638</c:v>
                </c:pt>
                <c:pt idx="11">
                  <c:v>1601</c:v>
                </c:pt>
                <c:pt idx="12">
                  <c:v>1773</c:v>
                </c:pt>
                <c:pt idx="13">
                  <c:v>1340</c:v>
                </c:pt>
                <c:pt idx="14">
                  <c:v>1603</c:v>
                </c:pt>
                <c:pt idx="15">
                  <c:v>1711</c:v>
                </c:pt>
                <c:pt idx="16">
                  <c:v>1896</c:v>
                </c:pt>
                <c:pt idx="17">
                  <c:v>1913</c:v>
                </c:pt>
                <c:pt idx="18">
                  <c:v>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9-4EA8-B3F5-9E8D495311DB}"/>
            </c:ext>
          </c:extLst>
        </c:ser>
        <c:ser>
          <c:idx val="1"/>
          <c:order val="1"/>
          <c:tx>
            <c:strRef>
              <c:f>OECS!$AQ$8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OECS!$AQ$9:$AQ$28</c:f>
              <c:numCache>
                <c:formatCode>General</c:formatCode>
                <c:ptCount val="19"/>
                <c:pt idx="0">
                  <c:v>1655</c:v>
                </c:pt>
                <c:pt idx="1">
                  <c:v>1877</c:v>
                </c:pt>
                <c:pt idx="2">
                  <c:v>1880</c:v>
                </c:pt>
                <c:pt idx="3">
                  <c:v>1813</c:v>
                </c:pt>
                <c:pt idx="4">
                  <c:v>1950</c:v>
                </c:pt>
                <c:pt idx="5">
                  <c:v>1690</c:v>
                </c:pt>
                <c:pt idx="6">
                  <c:v>1857</c:v>
                </c:pt>
                <c:pt idx="7">
                  <c:v>1356</c:v>
                </c:pt>
                <c:pt idx="8">
                  <c:v>1586</c:v>
                </c:pt>
                <c:pt idx="9">
                  <c:v>1703</c:v>
                </c:pt>
                <c:pt idx="10">
                  <c:v>1510</c:v>
                </c:pt>
                <c:pt idx="11">
                  <c:v>1482</c:v>
                </c:pt>
                <c:pt idx="12">
                  <c:v>1675</c:v>
                </c:pt>
                <c:pt idx="13">
                  <c:v>1269</c:v>
                </c:pt>
                <c:pt idx="14">
                  <c:v>1525</c:v>
                </c:pt>
                <c:pt idx="15">
                  <c:v>1566</c:v>
                </c:pt>
                <c:pt idx="16">
                  <c:v>1723</c:v>
                </c:pt>
                <c:pt idx="17">
                  <c:v>1700</c:v>
                </c:pt>
                <c:pt idx="18">
                  <c:v>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9-4EA8-B3F5-9E8D4953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9784287"/>
        <c:axId val="637627039"/>
      </c:barChart>
      <c:lineChart>
        <c:grouping val="standard"/>
        <c:varyColors val="0"/>
        <c:ser>
          <c:idx val="2"/>
          <c:order val="2"/>
          <c:tx>
            <c:strRef>
              <c:f>OECS!$AR$8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OECS!$AR$9:$AR$28</c:f>
              <c:numCache>
                <c:formatCode>0.00%</c:formatCode>
                <c:ptCount val="19"/>
                <c:pt idx="0">
                  <c:v>0.69666666666666666</c:v>
                </c:pt>
                <c:pt idx="1">
                  <c:v>0.75</c:v>
                </c:pt>
                <c:pt idx="2">
                  <c:v>0.75285714285714289</c:v>
                </c:pt>
                <c:pt idx="3">
                  <c:v>0.76857142857142857</c:v>
                </c:pt>
                <c:pt idx="4">
                  <c:v>0.73000000000000009</c:v>
                </c:pt>
                <c:pt idx="5">
                  <c:v>0.65000000000000013</c:v>
                </c:pt>
                <c:pt idx="6">
                  <c:v>0.69000000000000006</c:v>
                </c:pt>
                <c:pt idx="7">
                  <c:v>0.50571428571428567</c:v>
                </c:pt>
                <c:pt idx="8">
                  <c:v>0.73000000000000009</c:v>
                </c:pt>
                <c:pt idx="9">
                  <c:v>0.7</c:v>
                </c:pt>
                <c:pt idx="10">
                  <c:v>0.73000000000000009</c:v>
                </c:pt>
                <c:pt idx="11">
                  <c:v>0.70571428571428574</c:v>
                </c:pt>
                <c:pt idx="12">
                  <c:v>0.75285714285714278</c:v>
                </c:pt>
                <c:pt idx="13">
                  <c:v>0.62571428571428567</c:v>
                </c:pt>
                <c:pt idx="14">
                  <c:v>0.76999999999999991</c:v>
                </c:pt>
                <c:pt idx="15">
                  <c:v>0.71571428571428564</c:v>
                </c:pt>
                <c:pt idx="16">
                  <c:v>0.70428571428571429</c:v>
                </c:pt>
                <c:pt idx="17">
                  <c:v>0.65714285714285725</c:v>
                </c:pt>
                <c:pt idx="18">
                  <c:v>0.65428571428571414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9-4EA8-B3F5-9E8D495311DB}"/>
            </c:ext>
          </c:extLst>
        </c:ser>
        <c:ser>
          <c:idx val="3"/>
          <c:order val="3"/>
          <c:tx>
            <c:strRef>
              <c:f>OECS!$AS$8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OECS!$AS$9:$AS$28</c:f>
              <c:numCache>
                <c:formatCode>0.00%</c:formatCode>
                <c:ptCount val="19"/>
                <c:pt idx="0">
                  <c:v>0.51666666666666672</c:v>
                </c:pt>
                <c:pt idx="1">
                  <c:v>0.5357142857142857</c:v>
                </c:pt>
                <c:pt idx="2">
                  <c:v>0.50000000000000011</c:v>
                </c:pt>
                <c:pt idx="3">
                  <c:v>0.4642857142857143</c:v>
                </c:pt>
                <c:pt idx="4">
                  <c:v>0.49000000000000005</c:v>
                </c:pt>
                <c:pt idx="5">
                  <c:v>0.53857142857142859</c:v>
                </c:pt>
                <c:pt idx="6">
                  <c:v>0.51142857142857134</c:v>
                </c:pt>
                <c:pt idx="7">
                  <c:v>0.44285714285714278</c:v>
                </c:pt>
                <c:pt idx="8">
                  <c:v>0.45428571428571429</c:v>
                </c:pt>
                <c:pt idx="9">
                  <c:v>0.48428571428571432</c:v>
                </c:pt>
                <c:pt idx="10">
                  <c:v>0.42571428571428571</c:v>
                </c:pt>
                <c:pt idx="11">
                  <c:v>0.41142857142857148</c:v>
                </c:pt>
                <c:pt idx="12">
                  <c:v>0.49571428571428572</c:v>
                </c:pt>
                <c:pt idx="13">
                  <c:v>0.35142857142857142</c:v>
                </c:pt>
                <c:pt idx="14">
                  <c:v>0.45</c:v>
                </c:pt>
                <c:pt idx="15">
                  <c:v>0.49285714285714288</c:v>
                </c:pt>
                <c:pt idx="16">
                  <c:v>0.50142857142857145</c:v>
                </c:pt>
                <c:pt idx="17">
                  <c:v>0.62571428571428567</c:v>
                </c:pt>
                <c:pt idx="18">
                  <c:v>0.5485714285714286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9-4EA8-B3F5-9E8D4953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433775"/>
        <c:axId val="669012319"/>
      </c:lineChart>
      <c:catAx>
        <c:axId val="66978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27039"/>
        <c:crosses val="autoZero"/>
        <c:auto val="1"/>
        <c:lblAlgn val="ctr"/>
        <c:lblOffset val="100"/>
        <c:noMultiLvlLbl val="0"/>
      </c:catAx>
      <c:valAx>
        <c:axId val="6376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84287"/>
        <c:crosses val="autoZero"/>
        <c:crossBetween val="between"/>
      </c:valAx>
      <c:valAx>
        <c:axId val="6690123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33775"/>
        <c:crosses val="max"/>
        <c:crossBetween val="between"/>
      </c:valAx>
      <c:catAx>
        <c:axId val="682433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9012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FY25.xlsx]Guyana!PivotTable5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Guyana!$AT$8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Guyana!$AT$9:$AT$28</c:f>
              <c:numCache>
                <c:formatCode>General</c:formatCode>
                <c:ptCount val="19"/>
                <c:pt idx="0">
                  <c:v>2721</c:v>
                </c:pt>
                <c:pt idx="1">
                  <c:v>3396</c:v>
                </c:pt>
                <c:pt idx="2">
                  <c:v>2903</c:v>
                </c:pt>
                <c:pt idx="3">
                  <c:v>3116</c:v>
                </c:pt>
                <c:pt idx="4">
                  <c:v>3248</c:v>
                </c:pt>
                <c:pt idx="5">
                  <c:v>3590</c:v>
                </c:pt>
                <c:pt idx="6">
                  <c:v>4228</c:v>
                </c:pt>
                <c:pt idx="7">
                  <c:v>3867</c:v>
                </c:pt>
                <c:pt idx="8">
                  <c:v>3387</c:v>
                </c:pt>
                <c:pt idx="9">
                  <c:v>3795</c:v>
                </c:pt>
                <c:pt idx="10">
                  <c:v>3282</c:v>
                </c:pt>
                <c:pt idx="11">
                  <c:v>3089</c:v>
                </c:pt>
                <c:pt idx="12">
                  <c:v>3767</c:v>
                </c:pt>
                <c:pt idx="13">
                  <c:v>3159</c:v>
                </c:pt>
                <c:pt idx="14">
                  <c:v>3559</c:v>
                </c:pt>
                <c:pt idx="15">
                  <c:v>3429</c:v>
                </c:pt>
                <c:pt idx="16">
                  <c:v>3809</c:v>
                </c:pt>
                <c:pt idx="17">
                  <c:v>2737</c:v>
                </c:pt>
                <c:pt idx="18">
                  <c:v>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A-4B8E-997E-D70E8691C9DF}"/>
            </c:ext>
          </c:extLst>
        </c:ser>
        <c:ser>
          <c:idx val="1"/>
          <c:order val="1"/>
          <c:tx>
            <c:strRef>
              <c:f>Guyana!$AU$8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Guyana!$AU$9:$AU$28</c:f>
              <c:numCache>
                <c:formatCode>General</c:formatCode>
                <c:ptCount val="19"/>
                <c:pt idx="0">
                  <c:v>2282</c:v>
                </c:pt>
                <c:pt idx="1">
                  <c:v>2810</c:v>
                </c:pt>
                <c:pt idx="2">
                  <c:v>2562</c:v>
                </c:pt>
                <c:pt idx="3">
                  <c:v>2758</c:v>
                </c:pt>
                <c:pt idx="4">
                  <c:v>2492</c:v>
                </c:pt>
                <c:pt idx="5">
                  <c:v>2659</c:v>
                </c:pt>
                <c:pt idx="6">
                  <c:v>3176</c:v>
                </c:pt>
                <c:pt idx="7">
                  <c:v>2641</c:v>
                </c:pt>
                <c:pt idx="8">
                  <c:v>2237</c:v>
                </c:pt>
                <c:pt idx="9">
                  <c:v>2965</c:v>
                </c:pt>
                <c:pt idx="10">
                  <c:v>2827</c:v>
                </c:pt>
                <c:pt idx="11">
                  <c:v>2540</c:v>
                </c:pt>
                <c:pt idx="12">
                  <c:v>3136</c:v>
                </c:pt>
                <c:pt idx="13">
                  <c:v>2467</c:v>
                </c:pt>
                <c:pt idx="14">
                  <c:v>2904</c:v>
                </c:pt>
                <c:pt idx="15">
                  <c:v>2899</c:v>
                </c:pt>
                <c:pt idx="16">
                  <c:v>3084</c:v>
                </c:pt>
                <c:pt idx="17">
                  <c:v>2248</c:v>
                </c:pt>
                <c:pt idx="18">
                  <c:v>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A-4B8E-997E-D70E8691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601087"/>
        <c:axId val="844936239"/>
      </c:barChart>
      <c:lineChart>
        <c:grouping val="standard"/>
        <c:varyColors val="0"/>
        <c:ser>
          <c:idx val="2"/>
          <c:order val="2"/>
          <c:tx>
            <c:strRef>
              <c:f>Guyana!$AV$8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Guyana!$AV$9:$AV$28</c:f>
              <c:numCache>
                <c:formatCode>0.00%</c:formatCode>
                <c:ptCount val="19"/>
                <c:pt idx="0">
                  <c:v>0.56333333333333335</c:v>
                </c:pt>
                <c:pt idx="1">
                  <c:v>0.55000000000000004</c:v>
                </c:pt>
                <c:pt idx="2">
                  <c:v>0.4871428571428571</c:v>
                </c:pt>
                <c:pt idx="3">
                  <c:v>0.55714285714285716</c:v>
                </c:pt>
                <c:pt idx="4">
                  <c:v>0.45571428571428579</c:v>
                </c:pt>
                <c:pt idx="5">
                  <c:v>0.51571428571428579</c:v>
                </c:pt>
                <c:pt idx="6">
                  <c:v>0.61142857142857132</c:v>
                </c:pt>
                <c:pt idx="7">
                  <c:v>0.54714285714285715</c:v>
                </c:pt>
                <c:pt idx="8">
                  <c:v>0.49714285714285716</c:v>
                </c:pt>
                <c:pt idx="9">
                  <c:v>0.48571428571428571</c:v>
                </c:pt>
                <c:pt idx="10">
                  <c:v>0.53428571428571425</c:v>
                </c:pt>
                <c:pt idx="11">
                  <c:v>0.51428571428571435</c:v>
                </c:pt>
                <c:pt idx="12">
                  <c:v>0.56571428571428573</c:v>
                </c:pt>
                <c:pt idx="13">
                  <c:v>0.44571428571428573</c:v>
                </c:pt>
                <c:pt idx="14">
                  <c:v>0.50142857142857145</c:v>
                </c:pt>
                <c:pt idx="15">
                  <c:v>0.43428571428571427</c:v>
                </c:pt>
                <c:pt idx="16">
                  <c:v>0.44</c:v>
                </c:pt>
                <c:pt idx="17">
                  <c:v>0.44</c:v>
                </c:pt>
                <c:pt idx="18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A-4B8E-997E-D70E8691C9DF}"/>
            </c:ext>
          </c:extLst>
        </c:ser>
        <c:ser>
          <c:idx val="3"/>
          <c:order val="3"/>
          <c:tx>
            <c:strRef>
              <c:f>Guyana!$AW$8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Guyana!$AW$9:$AW$28</c:f>
              <c:numCache>
                <c:formatCode>0.00%</c:formatCode>
                <c:ptCount val="19"/>
                <c:pt idx="0">
                  <c:v>0.58666666666666667</c:v>
                </c:pt>
                <c:pt idx="1">
                  <c:v>0.54428571428571437</c:v>
                </c:pt>
                <c:pt idx="2">
                  <c:v>0.72428571428571431</c:v>
                </c:pt>
                <c:pt idx="3">
                  <c:v>0.66428571428571426</c:v>
                </c:pt>
                <c:pt idx="4">
                  <c:v>0.29428571428571432</c:v>
                </c:pt>
                <c:pt idx="5">
                  <c:v>0.38142857142857139</c:v>
                </c:pt>
                <c:pt idx="6">
                  <c:v>0.36142857142857138</c:v>
                </c:pt>
                <c:pt idx="7">
                  <c:v>0.28285714285714286</c:v>
                </c:pt>
                <c:pt idx="8">
                  <c:v>0.27714285714285714</c:v>
                </c:pt>
                <c:pt idx="9">
                  <c:v>0.52857142857142858</c:v>
                </c:pt>
                <c:pt idx="10">
                  <c:v>0.54</c:v>
                </c:pt>
                <c:pt idx="11">
                  <c:v>0.46285714285714291</c:v>
                </c:pt>
                <c:pt idx="12">
                  <c:v>0.55142857142857149</c:v>
                </c:pt>
                <c:pt idx="13">
                  <c:v>0.31571428571428573</c:v>
                </c:pt>
                <c:pt idx="14">
                  <c:v>0.57285714285714284</c:v>
                </c:pt>
                <c:pt idx="15">
                  <c:v>0.61428571428571421</c:v>
                </c:pt>
                <c:pt idx="16">
                  <c:v>0.42571428571428566</c:v>
                </c:pt>
                <c:pt idx="17">
                  <c:v>0.42714285714285716</c:v>
                </c:pt>
                <c:pt idx="18">
                  <c:v>0.64857142857142847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A-4B8E-997E-D70E8691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819919"/>
        <c:axId val="845379343"/>
      </c:lineChart>
      <c:catAx>
        <c:axId val="7096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936239"/>
        <c:crosses val="autoZero"/>
        <c:auto val="1"/>
        <c:lblAlgn val="ctr"/>
        <c:lblOffset val="100"/>
        <c:noMultiLvlLbl val="0"/>
      </c:catAx>
      <c:valAx>
        <c:axId val="8449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01087"/>
        <c:crosses val="autoZero"/>
        <c:crossBetween val="between"/>
      </c:valAx>
      <c:valAx>
        <c:axId val="8453793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19919"/>
        <c:crosses val="max"/>
        <c:crossBetween val="between"/>
      </c:valAx>
      <c:catAx>
        <c:axId val="1074819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53793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568326</xdr:colOff>
      <xdr:row>2</xdr:row>
      <xdr:rowOff>180067</xdr:rowOff>
    </xdr:from>
    <xdr:to>
      <xdr:col>50</xdr:col>
      <xdr:colOff>285750</xdr:colOff>
      <xdr:row>23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7C74B-548B-432E-A790-F65073F38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200933</xdr:colOff>
      <xdr:row>3</xdr:row>
      <xdr:rowOff>125639</xdr:rowOff>
    </xdr:from>
    <xdr:to>
      <xdr:col>55</xdr:col>
      <xdr:colOff>421821</xdr:colOff>
      <xdr:row>28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4A9F7-E49C-4D7D-9422-96E4474B4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449262</xdr:colOff>
      <xdr:row>7</xdr:row>
      <xdr:rowOff>59928</xdr:rowOff>
    </xdr:from>
    <xdr:to>
      <xdr:col>49</xdr:col>
      <xdr:colOff>761999</xdr:colOff>
      <xdr:row>30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A4B9D-9D55-48AE-A000-9C0412C4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697139</xdr:colOff>
      <xdr:row>15</xdr:row>
      <xdr:rowOff>87992</xdr:rowOff>
    </xdr:from>
    <xdr:to>
      <xdr:col>36</xdr:col>
      <xdr:colOff>13607</xdr:colOff>
      <xdr:row>37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D9FE79-3A0F-4357-9DF4-DE3ECC675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332920</xdr:colOff>
      <xdr:row>6</xdr:row>
      <xdr:rowOff>19503</xdr:rowOff>
    </xdr:from>
    <xdr:to>
      <xdr:col>56</xdr:col>
      <xdr:colOff>353784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26707-3DA3-4DF9-BECF-6582460C9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10432</xdr:colOff>
      <xdr:row>13</xdr:row>
      <xdr:rowOff>9978</xdr:rowOff>
    </xdr:from>
    <xdr:to>
      <xdr:col>43</xdr:col>
      <xdr:colOff>13606</xdr:colOff>
      <xdr:row>37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DF00C-B3EB-4640-B40D-D7F54CC4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17756712963" createdVersion="6" refreshedVersion="6" minRefreshableVersion="3" recordCount="365" xr:uid="{6A941C3A-F823-40FB-BE1B-C5FEFA3C7F1C}">
  <cacheSource type="worksheet">
    <worksheetSource ref="A1:X366" sheet="Belize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212"/>
    </cacheField>
    <cacheField name="Calls Ans" numFmtId="0">
      <sharedItems containsString="0" containsBlank="1" containsNumber="1" containsInteger="1" minValue="0" maxValue="168"/>
    </cacheField>
    <cacheField name="WoW % change (offer)" numFmtId="10">
      <sharedItems containsString="0" containsBlank="1" containsNumber="1" minValue="-0.671875" maxValue="1.5945945945945945"/>
    </cacheField>
    <cacheField name="WoW % change (ans)" numFmtId="10">
      <sharedItems containsString="0" containsBlank="1" containsNumber="1" minValue="-0.70833333333333337" maxValue="1.6571428571428573"/>
    </cacheField>
    <cacheField name="MTD Calls Offered" numFmtId="0">
      <sharedItems containsString="0" containsBlank="1" containsNumber="1" containsInteger="1" minValue="0" maxValue="10263"/>
    </cacheField>
    <cacheField name="MTD Calls Ans" numFmtId="0">
      <sharedItems containsString="0" containsBlank="1" containsNumber="1" containsInteger="1" minValue="0" maxValue="9336"/>
    </cacheField>
    <cacheField name="SL" numFmtId="9">
      <sharedItems containsString="0" containsBlank="1" containsNumber="1" minValue="0" maxValue="1"/>
    </cacheField>
    <cacheField name="ABR" numFmtId="9">
      <sharedItems containsString="0" containsBlank="1" containsNumber="1" minValue="0" maxValue="0.3"/>
    </cacheField>
    <cacheField name="ANS" numFmtId="9">
      <sharedItems containsString="0" containsBlank="1" containsNumber="1" minValue="0" maxValue="1"/>
    </cacheField>
    <cacheField name="AU" numFmtId="9">
      <sharedItems containsString="0" containsBlank="1" containsNumber="1" minValue="0" maxValue="2.75"/>
    </cacheField>
    <cacheField name="AA" numFmtId="9">
      <sharedItems containsNonDate="0" containsString="0" containsBlank="1"/>
    </cacheField>
    <cacheField name="AHT" numFmtId="0">
      <sharedItems containsString="0" containsBlank="1" containsNumber="1" containsInteger="1" minValue="0" maxValue="498"/>
    </cacheField>
    <cacheField name="AWT" numFmtId="164">
      <sharedItems containsNonDate="0" containsDate="1" containsString="0" containsBlank="1" minDate="1899-12-30T00:00:00" maxDate="1899-12-31T00:00:00"/>
    </cacheField>
    <cacheField name="Agents Log" numFmtId="2">
      <sharedItems containsString="0" containsBlank="1" containsNumber="1" containsInteger="1" minValue="0" maxValue="3"/>
    </cacheField>
    <cacheField name="Change Percentage (Call Offered) Oulier Bool" numFmtId="2">
      <sharedItems containsBlank="1"/>
    </cacheField>
    <cacheField name="Change Percentage (Call Ans) Oulier Bool" numFmtId="2">
      <sharedItems containsBlank="1"/>
    </cacheField>
    <cacheField name="Winsorized Values - Offered" numFmtId="0">
      <sharedItems containsString="0" containsBlank="1" containsNumber="1" minValue="-0.671875" maxValue="1.2749999999999999"/>
    </cacheField>
    <cacheField name="Winsorized Values - Ans" numFmtId="0">
      <sharedItems containsString="0" containsBlank="1" containsNumber="1" minValue="-0.70833333333333337" maxValue="1.26865671641791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18177199074" createdVersion="6" refreshedVersion="6" minRefreshableVersion="3" recordCount="365" xr:uid="{D0868016-C0AF-4F73-A2BD-CC3606852841}">
  <cacheSource type="worksheet">
    <worksheetSource name="Table7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1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889"/>
    </cacheField>
    <cacheField name="Calls Ans" numFmtId="0">
      <sharedItems containsString="0" containsBlank="1" containsNumber="1" containsInteger="1" minValue="0" maxValue="840"/>
    </cacheField>
    <cacheField name="WoW % change (offer)" numFmtId="10">
      <sharedItems containsString="0" containsBlank="1" containsNumber="1" minValue="-0.99637681159420288" maxValue="294.5"/>
    </cacheField>
    <cacheField name="WoW % change (ans)" numFmtId="10">
      <sharedItems containsString="0" containsBlank="1" containsNumber="1" minValue="-0.99587628865979383" maxValue="270.5"/>
    </cacheField>
    <cacheField name="MTD Calls Offered" numFmtId="0">
      <sharedItems containsString="0" containsBlank="1" containsNumber="1" containsInteger="1" minValue="0" maxValue="29680"/>
    </cacheField>
    <cacheField name="MTD Calls Ans" numFmtId="0">
      <sharedItems containsString="0" containsBlank="1" containsNumber="1" containsInteger="1" minValue="0" maxValue="27520"/>
    </cacheField>
    <cacheField name="SL" numFmtId="9">
      <sharedItems containsString="0" containsBlank="1" containsNumber="1" minValue="0" maxValue="1"/>
    </cacheField>
    <cacheField name="ABR" numFmtId="9">
      <sharedItems containsString="0" containsBlank="1" containsNumber="1" minValue="0" maxValue="0.5"/>
    </cacheField>
    <cacheField name="ANS" numFmtId="9">
      <sharedItems containsString="0" containsBlank="1" containsNumber="1" minValue="0" maxValue="1"/>
    </cacheField>
    <cacheField name="AU" numFmtId="9">
      <sharedItems containsString="0" containsBlank="1" containsNumber="1" minValue="0" maxValue="0.72"/>
    </cacheField>
    <cacheField name="AA" numFmtId="9">
      <sharedItems containsString="0" containsBlank="1" containsNumber="1" minValue="0" maxValue="1"/>
    </cacheField>
    <cacheField name="AHT" numFmtId="0">
      <sharedItems containsString="0" containsBlank="1" containsNumber="1" containsInteger="1" minValue="0" maxValue="175"/>
    </cacheField>
    <cacheField name="AWT" numFmtId="164">
      <sharedItems containsNonDate="0" containsDate="1" containsString="0" containsBlank="1" minDate="1899-12-30T00:00:00" maxDate="1899-12-31T00:00:00"/>
    </cacheField>
    <cacheField name="Agents Log" numFmtId="0">
      <sharedItems containsString="0" containsBlank="1" containsNumber="1" containsInteger="1" minValue="0" maxValue="13"/>
    </cacheField>
    <cacheField name="Change Percentage (Call Offered) Oulier Bool" numFmtId="0">
      <sharedItems/>
    </cacheField>
    <cacheField name="Change Percentage (Call Ans) Oulier Bool" numFmtId="0">
      <sharedItems/>
    </cacheField>
    <cacheField name="Winsorized Values - Offered" numFmtId="10">
      <sharedItems containsSemiMixedTypes="0" containsString="0" containsNumber="1" minValue="-0.99637681159420288" maxValue="5.5425044678205735"/>
    </cacheField>
    <cacheField name="Winsorized Values - Ans" numFmtId="10">
      <sharedItems containsSemiMixedTypes="0" containsString="0" containsNumber="1" minValue="-0.99587628865979383" maxValue="5.45407949195779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19445717595" createdVersion="6" refreshedVersion="6" minRefreshableVersion="3" recordCount="365" xr:uid="{C3FB8250-5E10-400F-A055-F29A23007C3C}">
  <cacheSource type="worksheet">
    <worksheetSource name="Table6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0">
      <sharedItems containsBlank="1"/>
    </cacheField>
    <cacheField name="Fiscal" numFmtId="0">
      <sharedItems containsBlank="1"/>
    </cacheField>
    <cacheField name="Calls Off" numFmtId="0">
      <sharedItems containsString="0" containsBlank="1" containsNumber="1" containsInteger="1" minValue="0" maxValue="1363"/>
    </cacheField>
    <cacheField name="Calls Ans" numFmtId="0">
      <sharedItems containsString="0" containsBlank="1" containsNumber="1" containsInteger="1" minValue="0" maxValue="1034"/>
    </cacheField>
    <cacheField name="WoW % change (offer)" numFmtId="0">
      <sharedItems containsString="0" containsBlank="1" containsNumber="1" minValue="-0.59339525283797734" maxValue="1.4467005076142132"/>
    </cacheField>
    <cacheField name="WoW % change (ans)" numFmtId="0">
      <sharedItems containsString="0" containsBlank="1" containsNumber="1" minValue="-0.94865810968494746" maxValue="16.5"/>
    </cacheField>
    <cacheField name="MTD Calls Offered" numFmtId="0">
      <sharedItems containsString="0" containsBlank="1" containsNumber="1" containsInteger="1" minValue="0" maxValue="94384"/>
    </cacheField>
    <cacheField name="MTD Calls Ans" numFmtId="0">
      <sharedItems containsString="0" containsBlank="1" containsNumber="1" containsInteger="1" minValue="0" maxValue="78866"/>
    </cacheField>
    <cacheField name="SL" numFmtId="9">
      <sharedItems containsString="0" containsBlank="1" containsNumber="1" minValue="0" maxValue="0.93"/>
    </cacheField>
    <cacheField name="ABR" numFmtId="9">
      <sharedItems containsString="0" containsBlank="1" containsNumber="1" minValue="0" maxValue="0.89"/>
    </cacheField>
    <cacheField name="ANS" numFmtId="9">
      <sharedItems containsString="0" containsBlank="1" containsNumber="1" minValue="0" maxValue="0.97"/>
    </cacheField>
    <cacheField name="AU" numFmtId="9">
      <sharedItems containsString="0" containsBlank="1" containsNumber="1" minValue="0" maxValue="1"/>
    </cacheField>
    <cacheField name="AA" numFmtId="0">
      <sharedItems containsNonDate="0" containsString="0" containsBlank="1"/>
    </cacheField>
    <cacheField name="AHT" numFmtId="0">
      <sharedItems containsString="0" containsBlank="1" containsNumber="1" containsInteger="1" minValue="0" maxValue="427"/>
    </cacheField>
    <cacheField name="AWT" numFmtId="164">
      <sharedItems containsNonDate="0" containsDate="1" containsString="0" containsBlank="1" minDate="1899-12-30T00:00:00" maxDate="1900-03-01T00:00:00"/>
    </cacheField>
    <cacheField name="Agents Log" numFmtId="0">
      <sharedItems containsString="0" containsBlank="1" containsNumber="1" containsInteger="1" minValue="0" maxValue="16"/>
    </cacheField>
    <cacheField name="Change Percentage (Call Offered) Oulier Bool" numFmtId="0">
      <sharedItems containsBlank="1"/>
    </cacheField>
    <cacheField name="Change Percentage (Call Ans) Oulier Bool" numFmtId="0">
      <sharedItems containsBlank="1"/>
    </cacheField>
    <cacheField name="Winsorized Values - Offered" numFmtId="0">
      <sharedItems containsString="0" containsBlank="1" containsNumber="1" minValue="-0.2128982128982129" maxValue="0.20689655172413793"/>
    </cacheField>
    <cacheField name="Winsorized Values - Ans" numFmtId="10">
      <sharedItems containsString="0" containsBlank="1" containsNumber="1" minValue="-0.21020408163265306" maxValue="0.207064555420219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23309606483" createdVersion="6" refreshedVersion="6" minRefreshableVersion="3" recordCount="365" xr:uid="{C8B852C4-DC55-4FC6-96B7-686DD1A4664C}">
  <cacheSource type="worksheet">
    <worksheetSource name="Table3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656"/>
    </cacheField>
    <cacheField name="Calls Ans" numFmtId="0">
      <sharedItems containsString="0" containsBlank="1" containsNumber="1" containsInteger="1" minValue="0" maxValue="453"/>
    </cacheField>
    <cacheField name="WoW % change (offer)" numFmtId="0">
      <sharedItems containsString="0" containsBlank="1" containsNumber="1" minValue="-0.57258064516129037" maxValue="0.83753501400560226"/>
    </cacheField>
    <cacheField name="WoW % change (ans)" numFmtId="0">
      <sharedItems containsString="0" containsBlank="1" containsNumber="1" minValue="-0.64456233421750664" maxValue="0.96855345911949686"/>
    </cacheField>
    <cacheField name="MTD Calls Offered" numFmtId="0">
      <sharedItems containsString="0" containsBlank="1" containsNumber="1" containsInteger="1" minValue="0" maxValue="9299"/>
    </cacheField>
    <cacheField name="MTD Calls Ans" numFmtId="0">
      <sharedItems containsString="0" containsBlank="1" containsNumber="1" containsInteger="1" minValue="0" maxValue="7911"/>
    </cacheField>
    <cacheField name="SL" numFmtId="0">
      <sharedItems containsString="0" containsBlank="1" containsNumber="1" minValue="0" maxValue="0.95"/>
    </cacheField>
    <cacheField name="ABR" numFmtId="0">
      <sharedItems containsString="0" containsBlank="1" containsNumber="1" minValue="0" maxValue="0.48"/>
    </cacheField>
    <cacheField name="ANS" numFmtId="0">
      <sharedItems containsString="0" containsBlank="1" containsNumber="1" minValue="0" maxValue="0.98"/>
    </cacheField>
    <cacheField name="AU" numFmtId="0">
      <sharedItems containsString="0" containsBlank="1" containsNumber="1" minValue="0" maxValue="0.9"/>
    </cacheField>
    <cacheField name="AA" numFmtId="0">
      <sharedItems containsString="0" containsBlank="1" containsNumber="1" containsInteger="1" minValue="0" maxValue="1"/>
    </cacheField>
    <cacheField name="AHT" numFmtId="0">
      <sharedItems containsString="0" containsBlank="1" containsNumber="1" containsInteger="1" minValue="0" maxValue="469"/>
    </cacheField>
    <cacheField name="AWT" numFmtId="0">
      <sharedItems containsDate="1" containsString="0" containsBlank="1" containsMixedTypes="1" minDate="1899-12-31T00:00:00" maxDate="1899-12-31T00:00:00"/>
    </cacheField>
    <cacheField name="Agents Log" numFmtId="0">
      <sharedItems containsString="0" containsBlank="1" containsNumber="1" containsInteger="1" minValue="0" maxValue="6"/>
    </cacheField>
    <cacheField name="Change Percentage (Call Offered) Oulier Bool" numFmtId="9">
      <sharedItems containsBlank="1"/>
    </cacheField>
    <cacheField name="Change Percentage (Call Ans) Oulier Bool" numFmtId="9">
      <sharedItems containsBlank="1"/>
    </cacheField>
    <cacheField name="Winsorized Values - Offered" numFmtId="0">
      <sharedItems containsString="0" containsBlank="1" containsNumber="1" minValue="-0.57258064516129037" maxValue="0.83753501400560226"/>
    </cacheField>
    <cacheField name="Winsorized Values - Ans" numFmtId="0">
      <sharedItems containsString="0" containsBlank="1" containsNumber="1" minValue="-0.64456233421750664" maxValue="0.968553459119496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25562037036" createdVersion="6" refreshedVersion="6" minRefreshableVersion="3" recordCount="365" xr:uid="{4FC5E90E-1B9E-4CD9-8A7E-54C8CFC7872B}">
  <cacheSource type="worksheet">
    <worksheetSource name="Table2"/>
  </cacheSource>
  <cacheFields count="21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0">
      <sharedItems containsBlank="1"/>
    </cacheField>
    <cacheField name="Fiscal" numFmtId="0">
      <sharedItems/>
    </cacheField>
    <cacheField name="Calls Off" numFmtId="0">
      <sharedItems containsString="0" containsBlank="1" containsNumber="1" containsInteger="1" minValue="0" maxValue="497"/>
    </cacheField>
    <cacheField name="Calls Ans" numFmtId="0">
      <sharedItems containsString="0" containsBlank="1" containsNumber="1" containsInteger="1" minValue="0" maxValue="458"/>
    </cacheField>
    <cacheField name="WoW % change offer" numFmtId="10">
      <sharedItems containsString="0" containsBlank="1" containsNumber="1" minValue="-0.53521126760563376" maxValue="1.0890052356020943"/>
    </cacheField>
    <cacheField name="WoW % change ans" numFmtId="10">
      <sharedItems containsString="0" containsBlank="1" containsNumber="1" minValue="-0.53275109170305679" maxValue="0.89304812834224601"/>
    </cacheField>
    <cacheField name="MTD Calls Offered" numFmtId="0">
      <sharedItems containsString="0" containsBlank="1" containsNumber="1" containsInteger="1" minValue="0" maxValue="13771"/>
    </cacheField>
    <cacheField name="MTD Calls Ans" numFmtId="0">
      <sharedItems containsString="0" containsBlank="1" containsNumber="1" containsInteger="1" minValue="0" maxValue="12722"/>
    </cacheField>
    <cacheField name="SL" numFmtId="9">
      <sharedItems containsString="0" containsBlank="1" containsNumber="1" minValue="0" maxValue="0.99"/>
    </cacheField>
    <cacheField name="ABR" numFmtId="9">
      <sharedItems containsString="0" containsBlank="1" containsNumber="1" minValue="0" maxValue="0.23"/>
    </cacheField>
    <cacheField name="ANS" numFmtId="9">
      <sharedItems containsString="0" containsBlank="1" containsNumber="1" minValue="0" maxValue="1"/>
    </cacheField>
    <cacheField name="AU" numFmtId="9">
      <sharedItems containsString="0" containsBlank="1" containsNumber="1" minValue="0" maxValue="0.94"/>
    </cacheField>
    <cacheField name="AA" numFmtId="9">
      <sharedItems containsString="0" containsBlank="1" containsNumber="1" containsInteger="1" minValue="0" maxValue="1"/>
    </cacheField>
    <cacheField name="AHT" numFmtId="0">
      <sharedItems containsString="0" containsBlank="1" containsNumber="1" containsInteger="1" minValue="0" maxValue="334"/>
    </cacheField>
    <cacheField name="Agents Log" numFmtId="2">
      <sharedItems containsString="0" containsBlank="1" containsNumber="1" containsInteger="1" minValue="0" maxValue="4"/>
    </cacheField>
    <cacheField name="Change Percentage (Call Offered) Oulier Bool" numFmtId="9">
      <sharedItems containsBlank="1"/>
    </cacheField>
    <cacheField name="Change Percentage (Call Ans) Oulier Bool" numFmtId="0">
      <sharedItems containsBlank="1"/>
    </cacheField>
    <cacheField name="Winsorized Values - Offered" numFmtId="0">
      <sharedItems containsString="0" containsBlank="1" containsNumber="1" minValue="-0.53521126760563376" maxValue="1.0890052356020943"/>
    </cacheField>
    <cacheField name="Winsorized Values - Ans" numFmtId="0">
      <sharedItems containsString="0" containsBlank="1" containsNumber="1" minValue="-0.53275109170305679" maxValue="0.89304812834224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27255902778" createdVersion="6" refreshedVersion="6" minRefreshableVersion="3" recordCount="365" xr:uid="{DD09BD2B-FCE3-4A90-94D6-32A1AD30349C}">
  <cacheSource type="worksheet">
    <worksheetSource name="Table9"/>
  </cacheSource>
  <cacheFields count="21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19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929"/>
    </cacheField>
    <cacheField name="Calls Ans" numFmtId="0">
      <sharedItems containsString="0" containsBlank="1" containsNumber="1" containsInteger="1" minValue="0" maxValue="649"/>
    </cacheField>
    <cacheField name="WoW % change (offer)" numFmtId="10">
      <sharedItems containsString="0" containsBlank="1" containsNumber="1" minValue="-0.33266129032258063" maxValue="0.75492341356673964"/>
    </cacheField>
    <cacheField name="WoW % change (ans)" numFmtId="10">
      <sharedItems containsString="0" containsBlank="1" containsNumber="1" minValue="-0.37373737373737376" maxValue="0.51566265060240968"/>
    </cacheField>
    <cacheField name="MTD Calls Offered" numFmtId="0">
      <sharedItems containsString="0" containsBlank="1" containsNumber="1" containsInteger="1" minValue="0" maxValue="34571"/>
    </cacheField>
    <cacheField name="MTD Calls Ans" numFmtId="0">
      <sharedItems containsString="0" containsBlank="1" containsNumber="1" containsInteger="1" minValue="0" maxValue="27119"/>
    </cacheField>
    <cacheField name="SL" numFmtId="9">
      <sharedItems containsString="0" containsBlank="1" containsNumber="1" minValue="0" maxValue="0.97"/>
    </cacheField>
    <cacheField name="ABR" numFmtId="9">
      <sharedItems containsString="0" containsBlank="1" containsNumber="1" minValue="0" maxValue="0.44"/>
    </cacheField>
    <cacheField name="ANS" numFmtId="9">
      <sharedItems containsString="0" containsBlank="1" containsNumber="1" minValue="0" maxValue="0.96"/>
    </cacheField>
    <cacheField name="AU" numFmtId="9">
      <sharedItems containsString="0" containsBlank="1" containsNumber="1" minValue="0" maxValue="0.84"/>
    </cacheField>
    <cacheField name="AA" numFmtId="9">
      <sharedItems containsString="0" containsBlank="1" containsNumber="1" minValue="0" maxValue="1"/>
    </cacheField>
    <cacheField name="AHT" numFmtId="0">
      <sharedItems containsString="0" containsBlank="1" containsNumber="1" containsInteger="1" minValue="0" maxValue="633"/>
    </cacheField>
    <cacheField name="Agents Log" numFmtId="2">
      <sharedItems containsString="0" containsBlank="1" containsNumber="1" containsInteger="1" minValue="0" maxValue="5"/>
    </cacheField>
    <cacheField name="Change Percentage (Call Offered) Oulier Bool" numFmtId="2">
      <sharedItems/>
    </cacheField>
    <cacheField name="Change Percentage (Call Ans) Oulier Bool" numFmtId="2">
      <sharedItems/>
    </cacheField>
    <cacheField name="Winsorized Values - Offered" numFmtId="10">
      <sharedItems containsSemiMixedTypes="0" containsString="0" containsNumber="1" minValue="-0.33266129032258063" maxValue="0.75492341356673964"/>
    </cacheField>
    <cacheField name="Winsorized Values - Ans" numFmtId="10">
      <sharedItems containsSemiMixedTypes="0" containsString="0" containsNumber="1" minValue="-0.37373737373737376" maxValue="0.515662650602409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2T00:00:00"/>
    <x v="0"/>
    <s v="T"/>
    <s v="FY25"/>
    <n v="118"/>
    <n v="113"/>
    <n v="0.26881720430107525"/>
    <n v="0.2696629213483146"/>
    <n v="118"/>
    <n v="113"/>
    <n v="0.92"/>
    <n v="0.04"/>
    <n v="0.96"/>
    <n v="0.44"/>
    <m/>
    <n v="348"/>
    <d v="1899-12-30T04:02:00"/>
    <n v="3"/>
    <s v="Normal"/>
    <s v="Normal"/>
    <n v="0.26881720430107525"/>
    <n v="0.2696629213483146"/>
  </r>
  <r>
    <d v="2024-04-03T00:00:00"/>
    <x v="0"/>
    <s v="W"/>
    <s v="FY25"/>
    <n v="106"/>
    <n v="98"/>
    <n v="0.60606060606060608"/>
    <n v="0.53125"/>
    <n v="224"/>
    <n v="211"/>
    <n v="0.97"/>
    <n v="0.08"/>
    <n v="0.92"/>
    <n v="0.35"/>
    <m/>
    <n v="292"/>
    <d v="1899-12-30T05:21:00"/>
    <n v="3"/>
    <s v="Normal"/>
    <s v="Normal"/>
    <n v="0.60606060606060608"/>
    <n v="0.53125"/>
  </r>
  <r>
    <d v="2024-04-04T00:00:00"/>
    <x v="0"/>
    <s v="R"/>
    <s v="FY25"/>
    <n v="96"/>
    <n v="93"/>
    <n v="1.5945945945945945"/>
    <n v="1.6571428571428573"/>
    <n v="320"/>
    <n v="304"/>
    <n v="0.97"/>
    <n v="0.03"/>
    <n v="0.97"/>
    <n v="0.34"/>
    <m/>
    <n v="284"/>
    <d v="1899-12-30T06:08:00"/>
    <n v="3"/>
    <s v="Outlier"/>
    <s v="Outlier"/>
    <n v="4.8458806293436213E-2"/>
    <n v="5.6112856793435043E-2"/>
  </r>
  <r>
    <d v="2024-04-05T00:00:00"/>
    <x v="0"/>
    <s v="F"/>
    <s v="FY25"/>
    <n v="102"/>
    <n v="99"/>
    <n v="0"/>
    <n v="0"/>
    <n v="422"/>
    <n v="403"/>
    <n v="0.97"/>
    <n v="0.03"/>
    <n v="0.97"/>
    <n v="0.47"/>
    <m/>
    <n v="366"/>
    <d v="1899-12-30T05:06:00"/>
    <n v="3"/>
    <s v="Normal"/>
    <s v="Normal"/>
    <n v="0"/>
    <n v="0"/>
  </r>
  <r>
    <d v="2024-04-06T00:00:00"/>
    <x v="0"/>
    <s v="S"/>
    <s v="FY25"/>
    <n v="50"/>
    <n v="45"/>
    <n v="-0.46236559139784944"/>
    <n v="-0.4943820224719101"/>
    <n v="472"/>
    <n v="448"/>
    <n v="0.9"/>
    <n v="0.1"/>
    <n v="0.9"/>
    <n v="0.08"/>
    <m/>
    <n v="135"/>
    <m/>
    <n v="3"/>
    <s v="Normal"/>
    <s v="Normal"/>
    <n v="-0.46236559139784944"/>
    <n v="-0.4943820224719101"/>
  </r>
  <r>
    <d v="2024-04-07T00:00:00"/>
    <x v="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8T00:00:00"/>
    <x v="1"/>
    <s v="M"/>
    <s v="FY25"/>
    <n v="109"/>
    <n v="103"/>
    <n v="0"/>
    <n v="0"/>
    <n v="581"/>
    <n v="551"/>
    <n v="0.95"/>
    <n v="0.06"/>
    <n v="0.94"/>
    <n v="0.31"/>
    <m/>
    <n v="236"/>
    <d v="1899-12-30T01:30:00"/>
    <n v="3"/>
    <s v="Normal"/>
    <s v="Normal"/>
    <n v="0"/>
    <n v="0"/>
  </r>
  <r>
    <d v="2024-04-09T00:00:00"/>
    <x v="1"/>
    <s v="T"/>
    <s v="FY25"/>
    <n v="106"/>
    <n v="101"/>
    <n v="-0.10169491525423729"/>
    <n v="-0.10619469026548672"/>
    <n v="687"/>
    <n v="652"/>
    <n v="0.95"/>
    <n v="0.05"/>
    <n v="0.95"/>
    <n v="0.4"/>
    <m/>
    <n v="305"/>
    <d v="1899-12-30T00:49:00"/>
    <n v="3"/>
    <s v="Normal"/>
    <s v="Normal"/>
    <n v="-0.10169491525423729"/>
    <n v="-0.10619469026548672"/>
  </r>
  <r>
    <d v="2024-04-10T00:00:00"/>
    <x v="1"/>
    <s v="W"/>
    <s v="FY25"/>
    <n v="51"/>
    <n v="50"/>
    <n v="-0.51886792452830188"/>
    <n v="-0.48979591836734693"/>
    <n v="738"/>
    <n v="702"/>
    <n v="0.98"/>
    <n v="0.02"/>
    <n v="0.98"/>
    <n v="0.18"/>
    <m/>
    <n v="279"/>
    <d v="1899-12-30T03:01:00"/>
    <n v="3"/>
    <s v="Normal"/>
    <s v="Normal"/>
    <n v="-0.51886792452830188"/>
    <n v="-0.48979591836734693"/>
  </r>
  <r>
    <d v="2024-04-11T00:00:00"/>
    <x v="1"/>
    <s v="R"/>
    <s v="FY25"/>
    <n v="82"/>
    <n v="78"/>
    <n v="-0.14583333333333334"/>
    <n v="-0.16129032258064516"/>
    <n v="820"/>
    <n v="780"/>
    <n v="0.95"/>
    <n v="0.05"/>
    <n v="0.95"/>
    <n v="0.35"/>
    <m/>
    <n v="347"/>
    <d v="1899-12-30T04:02:00"/>
    <n v="3"/>
    <s v="Normal"/>
    <s v="Normal"/>
    <n v="-0.14583333333333334"/>
    <n v="-0.16129032258064516"/>
  </r>
  <r>
    <d v="2024-04-12T00:00:00"/>
    <x v="1"/>
    <s v="F"/>
    <s v="FY25"/>
    <n v="136"/>
    <n v="127"/>
    <n v="0.33333333333333331"/>
    <n v="0.28282828282828282"/>
    <n v="956"/>
    <n v="907"/>
    <n v="0.93"/>
    <n v="7.0000000000000007E-2"/>
    <n v="0.93"/>
    <n v="0.49"/>
    <m/>
    <n v="299"/>
    <d v="1899-12-30T03:09:00"/>
    <n v="3"/>
    <s v="Normal"/>
    <s v="Normal"/>
    <n v="0.33333333333333331"/>
    <n v="0.28282828282828282"/>
  </r>
  <r>
    <d v="2024-04-13T00:00:00"/>
    <x v="1"/>
    <s v="S"/>
    <s v="FY25"/>
    <n v="36"/>
    <n v="33"/>
    <n v="-0.28000000000000003"/>
    <n v="-0.26666666666666666"/>
    <n v="992"/>
    <n v="940"/>
    <n v="0.92"/>
    <n v="0.08"/>
    <n v="0.92"/>
    <n v="0.24"/>
    <m/>
    <n v="378"/>
    <d v="1899-12-30T03:02:00"/>
    <n v="2"/>
    <s v="Normal"/>
    <s v="Normal"/>
    <n v="-0.28000000000000003"/>
    <n v="-0.26666666666666666"/>
  </r>
  <r>
    <d v="2024-04-14T00:00:00"/>
    <x v="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15T00:00:00"/>
    <x v="2"/>
    <s v="M"/>
    <s v="FY25"/>
    <n v="106"/>
    <n v="99"/>
    <n v="-2.7522935779816515E-2"/>
    <n v="-3.8834951456310676E-2"/>
    <n v="1098"/>
    <n v="1039"/>
    <n v="0.93"/>
    <n v="7.0000000000000007E-2"/>
    <n v="0.93"/>
    <n v="0.42"/>
    <m/>
    <n v="328"/>
    <d v="1899-12-30T03:00:00"/>
    <n v="3"/>
    <s v="Normal"/>
    <s v="Normal"/>
    <n v="-2.7522935779816515E-2"/>
    <n v="-3.8834951456310676E-2"/>
  </r>
  <r>
    <d v="2024-04-16T00:00:00"/>
    <x v="2"/>
    <s v="T"/>
    <s v="FY25"/>
    <n v="128"/>
    <n v="123"/>
    <n v="0.20754716981132076"/>
    <n v="0.21782178217821782"/>
    <n v="1226"/>
    <n v="1162"/>
    <n v="0.96"/>
    <n v="0.04"/>
    <n v="0.96"/>
    <n v="0.71"/>
    <m/>
    <n v="301"/>
    <d v="1899-12-30T02:01:00"/>
    <n v="2"/>
    <s v="Normal"/>
    <s v="Normal"/>
    <n v="0.20754716981132076"/>
    <n v="0.21782178217821782"/>
  </r>
  <r>
    <d v="2024-04-17T00:00:00"/>
    <x v="2"/>
    <s v="W"/>
    <s v="FY25"/>
    <n v="108"/>
    <n v="104"/>
    <n v="1.1176470588235294"/>
    <n v="1.08"/>
    <n v="1334"/>
    <n v="1266"/>
    <n v="0.96"/>
    <n v="0.04"/>
    <n v="0.96"/>
    <n v="1.04"/>
    <m/>
    <n v="259"/>
    <d v="1899-12-30T03:02:00"/>
    <n v="2"/>
    <s v="Outlier"/>
    <s v="Outlier"/>
    <n v="1.1176470588235294"/>
    <n v="1.08"/>
  </r>
  <r>
    <d v="2024-04-18T00:00:00"/>
    <x v="2"/>
    <s v="R"/>
    <s v="FY25"/>
    <n v="93"/>
    <n v="90"/>
    <n v="0.82352941176470584"/>
    <n v="0.8"/>
    <n v="1427"/>
    <n v="1356"/>
    <n v="0.97"/>
    <n v="0.03"/>
    <n v="0.97"/>
    <n v="0.42"/>
    <m/>
    <n v="242"/>
    <d v="1899-12-30T02:01:00"/>
    <n v="1"/>
    <s v="Outlier"/>
    <s v="Outlier"/>
    <n v="0.82352941176470584"/>
    <n v="0.8"/>
  </r>
  <r>
    <d v="2024-04-19T00:00:00"/>
    <x v="2"/>
    <s v="F"/>
    <s v="FY25"/>
    <n v="43"/>
    <n v="46"/>
    <n v="-0.47560975609756095"/>
    <n v="-0.41025641025641024"/>
    <n v="1470"/>
    <n v="1402"/>
    <n v="0.96"/>
    <n v="0.04"/>
    <n v="0.96"/>
    <n v="0.46"/>
    <m/>
    <n v="259"/>
    <d v="1899-12-30T03:02:00"/>
    <n v="1"/>
    <s v="Normal"/>
    <s v="Normal"/>
    <n v="-0.47560975609756095"/>
    <n v="-0.41025641025641024"/>
  </r>
  <r>
    <d v="2024-04-20T00:00:00"/>
    <x v="2"/>
    <s v="S"/>
    <s v="FY25"/>
    <n v="94"/>
    <n v="92"/>
    <n v="-0.30882352941176472"/>
    <n v="-0.27559055118110237"/>
    <n v="1564"/>
    <n v="1494"/>
    <n v="0.98"/>
    <n v="0.02"/>
    <n v="0.98"/>
    <n v="0.86"/>
    <m/>
    <n v="243"/>
    <d v="1899-12-30T02:01:00"/>
    <n v="2"/>
    <s v="Normal"/>
    <s v="Normal"/>
    <n v="-0.30882352941176472"/>
    <n v="-0.27559055118110237"/>
  </r>
  <r>
    <d v="2024-04-21T00:00:00"/>
    <x v="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2T00:00:00"/>
    <x v="3"/>
    <s v="M"/>
    <s v="FY25"/>
    <n v="97"/>
    <n v="94"/>
    <n v="-8.4905660377358486E-2"/>
    <n v="-5.0505050505050504E-2"/>
    <n v="1661"/>
    <n v="1588"/>
    <n v="0.97"/>
    <n v="0.03"/>
    <n v="0.97"/>
    <n v="0.69"/>
    <m/>
    <n v="383"/>
    <d v="1899-12-30T01:03:00"/>
    <n v="2"/>
    <s v="Normal"/>
    <s v="Normal"/>
    <n v="-8.4905660377358486E-2"/>
    <n v="-5.0505050505050504E-2"/>
  </r>
  <r>
    <d v="2024-04-23T00:00:00"/>
    <x v="3"/>
    <s v="T"/>
    <s v="FY25"/>
    <n v="95"/>
    <n v="93"/>
    <n v="-0.2578125"/>
    <n v="-0.24390243902439024"/>
    <n v="1756"/>
    <n v="1681"/>
    <n v="0.98"/>
    <n v="0.02"/>
    <n v="0.98"/>
    <n v="0.72"/>
    <m/>
    <n v="402"/>
    <d v="1899-12-30T02:31:00"/>
    <n v="2"/>
    <s v="Normal"/>
    <s v="Normal"/>
    <n v="-0.2578125"/>
    <n v="-0.24390243902439024"/>
  </r>
  <r>
    <d v="2024-04-24T00:00:00"/>
    <x v="3"/>
    <s v="W"/>
    <s v="FY25"/>
    <n v="101"/>
    <n v="98"/>
    <n v="-6.4814814814814811E-2"/>
    <n v="-5.7692307692307696E-2"/>
    <n v="1857"/>
    <n v="1779"/>
    <n v="0.97"/>
    <n v="0.03"/>
    <n v="0.97"/>
    <n v="0.56999999999999995"/>
    <m/>
    <n v="303"/>
    <d v="1899-12-30T03:01:00"/>
    <n v="2"/>
    <s v="Normal"/>
    <s v="Normal"/>
    <n v="-6.4814814814814811E-2"/>
    <n v="-5.7692307692307696E-2"/>
  </r>
  <r>
    <d v="2024-04-25T00:00:00"/>
    <x v="3"/>
    <s v="R"/>
    <s v="FY25"/>
    <n v="109"/>
    <n v="105"/>
    <n v="0.82352941176470584"/>
    <n v="0.8"/>
    <n v="1966"/>
    <n v="1884"/>
    <n v="0.96"/>
    <n v="0.04"/>
    <n v="0.96"/>
    <n v="0.57999999999999996"/>
    <m/>
    <n v="288"/>
    <d v="1899-12-30T03:03:00"/>
    <n v="2"/>
    <s v="Outlier"/>
    <s v="Outlier"/>
    <n v="0.82352941176470584"/>
    <n v="0.8"/>
  </r>
  <r>
    <d v="2024-04-26T00:00:00"/>
    <x v="3"/>
    <s v="F"/>
    <s v="FY25"/>
    <n v="100"/>
    <n v="94"/>
    <n v="-0.47560975609756095"/>
    <n v="-0.41025641025641024"/>
    <n v="2066"/>
    <n v="1978"/>
    <n v="0.94"/>
    <n v="0.06"/>
    <n v="0.94"/>
    <n v="0.69"/>
    <m/>
    <n v="382"/>
    <d v="1899-12-30T03:09:00"/>
    <n v="2"/>
    <s v="Normal"/>
    <s v="Normal"/>
    <n v="-0.47560975609756095"/>
    <n v="-0.41025641025641024"/>
  </r>
  <r>
    <d v="2024-04-27T00:00:00"/>
    <x v="3"/>
    <s v="S"/>
    <s v="FY25"/>
    <n v="103"/>
    <n v="99"/>
    <n v="-0.30882352941176472"/>
    <n v="-0.27559055118110237"/>
    <n v="2169"/>
    <n v="2077"/>
    <n v="0.96"/>
    <n v="0.04"/>
    <n v="0.96"/>
    <n v="0.54"/>
    <m/>
    <n v="282"/>
    <d v="1899-12-30T02:09:00"/>
    <n v="2"/>
    <s v="Normal"/>
    <s v="Normal"/>
    <n v="-0.30882352941176472"/>
    <n v="-0.27559055118110237"/>
  </r>
  <r>
    <d v="2024-04-28T00:00:00"/>
    <x v="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9T00:00:00"/>
    <x v="4"/>
    <s v="M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30T00:00:00"/>
    <x v="4"/>
    <s v="T"/>
    <s v="FY25"/>
    <n v="123"/>
    <n v="116"/>
    <n v="0.29473684210526313"/>
    <n v="0.24731182795698925"/>
    <n v="2292"/>
    <n v="2193"/>
    <n v="0.94"/>
    <n v="0.06"/>
    <n v="0.94"/>
    <n v="0.69"/>
    <m/>
    <n v="309"/>
    <d v="1899-12-30T03:01:00"/>
    <n v="2"/>
    <s v="Normal"/>
    <s v="Normal"/>
    <n v="0.29473684210526313"/>
    <n v="0.24731182795698925"/>
  </r>
  <r>
    <d v="2024-05-01T00:00:00"/>
    <x v="4"/>
    <s v="W"/>
    <s v="FY25"/>
    <n v="155"/>
    <n v="143"/>
    <n v="0.53465346534653468"/>
    <n v="0.45918367346938777"/>
    <n v="2447"/>
    <n v="2336"/>
    <n v="0.92"/>
    <n v="0.08"/>
    <n v="0.92"/>
    <n v="2.75"/>
    <m/>
    <n v="498"/>
    <d v="1899-12-30T01:49:00"/>
    <n v="1"/>
    <s v="Normal"/>
    <s v="Normal"/>
    <n v="0.53465346534653468"/>
    <n v="0.45918367346938777"/>
  </r>
  <r>
    <d v="2024-05-02T00:00:00"/>
    <x v="4"/>
    <s v="R"/>
    <s v="FY25"/>
    <n v="154"/>
    <n v="148"/>
    <n v="0.82352941176470584"/>
    <n v="0.8"/>
    <n v="2601"/>
    <n v="2484"/>
    <n v="0.96"/>
    <n v="0.04"/>
    <n v="0.96"/>
    <n v="1.49"/>
    <m/>
    <n v="261"/>
    <d v="1899-12-30T00:54:00"/>
    <n v="1"/>
    <s v="Outlier"/>
    <s v="Outlier"/>
    <n v="0.82352941176470584"/>
    <n v="0.8"/>
  </r>
  <r>
    <d v="2024-05-03T00:00:00"/>
    <x v="4"/>
    <s v="F"/>
    <s v="FY25"/>
    <n v="108"/>
    <n v="104"/>
    <n v="-0.47560975609756095"/>
    <n v="-0.41025641025641024"/>
    <n v="2709"/>
    <n v="2588"/>
    <n v="0.96"/>
    <n v="0.04"/>
    <n v="0.96"/>
    <n v="0.26"/>
    <m/>
    <n v="130"/>
    <d v="1899-12-30T00:41:00"/>
    <n v="2"/>
    <s v="Normal"/>
    <s v="Normal"/>
    <n v="-0.47560975609756095"/>
    <n v="-0.41025641025641024"/>
  </r>
  <r>
    <d v="2024-05-04T00:00:00"/>
    <x v="4"/>
    <s v="S"/>
    <s v="FY25"/>
    <n v="65"/>
    <n v="62"/>
    <n v="-0.30882352941176472"/>
    <n v="-0.27559055118110237"/>
    <n v="2774"/>
    <n v="2650"/>
    <n v="0.95"/>
    <n v="0.05"/>
    <n v="0.95"/>
    <n v="0.24"/>
    <m/>
    <n v="99"/>
    <d v="1899-12-30T00:16:00"/>
    <n v="1"/>
    <s v="Normal"/>
    <s v="Normal"/>
    <n v="-0.30882352941176472"/>
    <n v="-0.27559055118110237"/>
  </r>
  <r>
    <d v="2024-05-05T00:00:00"/>
    <x v="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06T00:00:00"/>
    <x v="5"/>
    <s v="M"/>
    <s v="FY25"/>
    <n v="131"/>
    <n v="118"/>
    <n v="0"/>
    <n v="0"/>
    <n v="2905"/>
    <n v="2768"/>
    <n v="0.9"/>
    <n v="0.1"/>
    <n v="0.9"/>
    <n v="0.47"/>
    <m/>
    <n v="208"/>
    <d v="1899-12-30T00:29:00"/>
    <n v="2"/>
    <s v="Normal"/>
    <s v="Normal"/>
    <n v="0"/>
    <n v="0"/>
  </r>
  <r>
    <d v="2024-05-07T00:00:00"/>
    <x v="5"/>
    <s v="T"/>
    <s v="FY25"/>
    <n v="131"/>
    <n v="118"/>
    <n v="6.5040650406504072E-2"/>
    <n v="1.7241379310344827E-2"/>
    <n v="3036"/>
    <n v="2886"/>
    <n v="0.9"/>
    <n v="0.1"/>
    <n v="0.9"/>
    <n v="0.22"/>
    <m/>
    <n v="97"/>
    <d v="1899-12-30T00:26:00"/>
    <n v="2"/>
    <s v="Normal"/>
    <s v="Normal"/>
    <n v="6.5040650406504072E-2"/>
    <n v="1.7241379310344827E-2"/>
  </r>
  <r>
    <d v="2024-05-08T00:00:00"/>
    <x v="5"/>
    <s v="W"/>
    <s v="FY25"/>
    <n v="113"/>
    <n v="106"/>
    <n v="-0.2709677419354839"/>
    <n v="-0.25874125874125875"/>
    <n v="3149"/>
    <n v="2992"/>
    <n v="0.94"/>
    <n v="0.06"/>
    <n v="0.94"/>
    <n v="0.38"/>
    <m/>
    <n v="184"/>
    <d v="1899-12-30T01:27:00"/>
    <n v="2"/>
    <s v="Normal"/>
    <s v="Normal"/>
    <n v="-0.2709677419354839"/>
    <n v="-0.25874125874125875"/>
  </r>
  <r>
    <d v="2024-05-09T00:00:00"/>
    <x v="5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10T00:00:00"/>
    <x v="5"/>
    <s v="F"/>
    <s v="FY25"/>
    <n v="109"/>
    <n v="106"/>
    <n v="9.2592592592592587E-3"/>
    <n v="1.9230769230769232E-2"/>
    <n v="3145"/>
    <n v="2992"/>
    <n v="0.97"/>
    <n v="0.03"/>
    <n v="0.97"/>
    <n v="0.41"/>
    <m/>
    <n v="201"/>
    <d v="1899-12-30T01:24:00"/>
    <n v="2"/>
    <s v="Normal"/>
    <s v="Normal"/>
    <n v="9.2592592592592587E-3"/>
    <n v="1.9230769230769232E-2"/>
  </r>
  <r>
    <d v="2024-05-11T00:00:00"/>
    <x v="5"/>
    <s v="S"/>
    <s v="FY25"/>
    <n v="121"/>
    <n v="117"/>
    <n v="0.86153846153846159"/>
    <n v="0.88709677419354838"/>
    <n v="3266"/>
    <n v="3109"/>
    <n v="0.97"/>
    <n v="0.03"/>
    <n v="0.97"/>
    <n v="0.51"/>
    <m/>
    <n v="226"/>
    <d v="1899-12-30T00:29:00"/>
    <n v="2"/>
    <s v="Outlier"/>
    <s v="Outlier"/>
    <n v="0.86153846153846159"/>
    <n v="0.88709677419354838"/>
  </r>
  <r>
    <d v="2024-05-12T00:00:00"/>
    <x v="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13T00:00:00"/>
    <x v="6"/>
    <s v="M"/>
    <s v="FY25"/>
    <n v="160"/>
    <n v="140"/>
    <n v="0.22137404580152673"/>
    <n v="0.1864406779661017"/>
    <n v="3426"/>
    <n v="3249"/>
    <n v="0.88"/>
    <n v="0.13"/>
    <n v="0.87"/>
    <n v="0.73"/>
    <m/>
    <n v="269"/>
    <d v="1899-12-30T00:23:00"/>
    <n v="2"/>
    <s v="Normal"/>
    <s v="Normal"/>
    <n v="0.22137404580152673"/>
    <n v="0.1864406779661017"/>
  </r>
  <r>
    <d v="2024-05-14T00:00:00"/>
    <x v="6"/>
    <s v="T"/>
    <s v="FY25"/>
    <n v="140"/>
    <n v="130"/>
    <n v="6.8702290076335881E-2"/>
    <n v="0.10169491525423729"/>
    <n v="3566"/>
    <n v="3379"/>
    <n v="0.93"/>
    <n v="7.0000000000000007E-2"/>
    <n v="0.93"/>
    <n v="0.67"/>
    <m/>
    <n v="268"/>
    <d v="1899-12-30T00:32:00"/>
    <n v="2"/>
    <s v="Normal"/>
    <s v="Normal"/>
    <n v="6.8702290076335881E-2"/>
    <n v="0.10169491525423729"/>
  </r>
  <r>
    <d v="2024-05-15T00:00:00"/>
    <x v="6"/>
    <s v="W"/>
    <s v="FY25"/>
    <n v="119"/>
    <n v="109"/>
    <n v="5.3097345132743362E-2"/>
    <n v="2.8301886792452831E-2"/>
    <n v="3685"/>
    <n v="3488"/>
    <n v="0.92"/>
    <n v="0.08"/>
    <n v="0.92"/>
    <n v="0.65"/>
    <m/>
    <n v="310"/>
    <d v="1899-12-30T00:31:00"/>
    <n v="2"/>
    <s v="Normal"/>
    <s v="Normal"/>
    <n v="5.3097345132743362E-2"/>
    <n v="2.8301886792452831E-2"/>
  </r>
  <r>
    <d v="2024-05-16T00:00:00"/>
    <x v="6"/>
    <s v="R"/>
    <s v="FY25"/>
    <n v="140"/>
    <n v="129"/>
    <n v="0.82352941176470584"/>
    <n v="0.8"/>
    <n v="3825"/>
    <n v="3617"/>
    <n v="0.92"/>
    <n v="0.08"/>
    <n v="0.92"/>
    <n v="0.59"/>
    <m/>
    <n v="246"/>
    <d v="1899-12-30T00:28:00"/>
    <n v="2"/>
    <s v="Outlier"/>
    <s v="Outlier"/>
    <n v="0.82352941176470584"/>
    <n v="0.8"/>
  </r>
  <r>
    <d v="2024-05-17T00:00:00"/>
    <x v="6"/>
    <s v="F"/>
    <s v="FY25"/>
    <n v="110"/>
    <n v="100"/>
    <n v="-0.47560975609756095"/>
    <n v="-0.41025641025641024"/>
    <n v="3935"/>
    <n v="3717"/>
    <n v="0.91"/>
    <n v="0.09"/>
    <n v="0.91"/>
    <n v="0.43"/>
    <m/>
    <n v="224"/>
    <d v="1899-12-30T00:29:00"/>
    <n v="2"/>
    <s v="Normal"/>
    <s v="Normal"/>
    <n v="-0.47560975609756095"/>
    <n v="-0.41025641025641024"/>
  </r>
  <r>
    <d v="2024-05-18T00:00:00"/>
    <x v="6"/>
    <s v="S"/>
    <s v="FY25"/>
    <n v="62"/>
    <n v="56"/>
    <n v="-0.30882352941176472"/>
    <n v="-0.27559055118110237"/>
    <n v="3997"/>
    <n v="3773"/>
    <n v="0.9"/>
    <n v="0.1"/>
    <n v="0.9"/>
    <n v="0.25"/>
    <m/>
    <n v="116"/>
    <d v="1899-12-30T00:34:00"/>
    <n v="1"/>
    <s v="Normal"/>
    <s v="Normal"/>
    <n v="-0.30882352941176472"/>
    <n v="-0.27559055118110237"/>
  </r>
  <r>
    <d v="2024-05-19T00:00:00"/>
    <x v="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0T00:00:00"/>
    <x v="7"/>
    <s v="M"/>
    <s v="FY25"/>
    <n v="119"/>
    <n v="101"/>
    <n v="-0.25624999999999998"/>
    <n v="-0.27857142857142858"/>
    <n v="4116"/>
    <n v="3874"/>
    <n v="0.85"/>
    <n v="0.15"/>
    <n v="0.85"/>
    <n v="0.56999999999999995"/>
    <m/>
    <n v="291"/>
    <d v="1899-12-30T00:36:00"/>
    <n v="2"/>
    <s v="Normal"/>
    <s v="Normal"/>
    <n v="-0.25624999999999998"/>
    <n v="-0.27857142857142858"/>
  </r>
  <r>
    <d v="2024-05-21T00:00:00"/>
    <x v="7"/>
    <s v="T"/>
    <s v="FY25"/>
    <n v="122"/>
    <n v="113"/>
    <n v="-0.12857142857142856"/>
    <n v="-0.13076923076923078"/>
    <n v="4238"/>
    <n v="3987"/>
    <n v="0.93"/>
    <n v="7.0000000000000007E-2"/>
    <n v="0.93"/>
    <n v="1.26"/>
    <m/>
    <n v="289"/>
    <d v="1899-12-30T00:27:00"/>
    <n v="1"/>
    <s v="Normal"/>
    <s v="Normal"/>
    <n v="-0.12857142857142856"/>
    <n v="-0.13076923076923078"/>
  </r>
  <r>
    <d v="2024-05-22T00:00:00"/>
    <x v="7"/>
    <s v="W"/>
    <s v="FY25"/>
    <n v="116"/>
    <n v="103"/>
    <n v="-2.5210084033613446E-2"/>
    <n v="-5.5045871559633031E-2"/>
    <n v="4354"/>
    <n v="4090"/>
    <n v="0.89"/>
    <n v="0.11"/>
    <n v="0.89"/>
    <n v="1.04"/>
    <m/>
    <n v="261"/>
    <d v="1899-12-30T01:19:00"/>
    <n v="1"/>
    <s v="Normal"/>
    <s v="Normal"/>
    <n v="-2.5210084033613446E-2"/>
    <n v="-5.5045871559633031E-2"/>
  </r>
  <r>
    <d v="2024-05-23T00:00:00"/>
    <x v="7"/>
    <s v="R"/>
    <s v="FY25"/>
    <n v="113"/>
    <n v="100"/>
    <n v="0.82352941176470584"/>
    <n v="0.8"/>
    <n v="4467"/>
    <n v="4190"/>
    <n v="0.94"/>
    <n v="0.12"/>
    <n v="0.88"/>
    <n v="0.79"/>
    <m/>
    <n v="204"/>
    <d v="1899-12-30T00:43:00"/>
    <n v="1"/>
    <s v="Outlier"/>
    <s v="Outlier"/>
    <n v="0.82352941176470584"/>
    <n v="0.8"/>
  </r>
  <r>
    <d v="2024-05-24T00:00:00"/>
    <x v="7"/>
    <s v="F"/>
    <s v="FY25"/>
    <n v="126"/>
    <n v="118"/>
    <n v="-0.47560975609756095"/>
    <n v="-0.41025641025641024"/>
    <n v="4593"/>
    <n v="4308"/>
    <n v="0.88"/>
    <n v="0.06"/>
    <n v="0.94"/>
    <n v="1.1100000000000001"/>
    <m/>
    <n v="240"/>
    <d v="1899-12-30T01:02:00"/>
    <n v="1"/>
    <s v="Normal"/>
    <s v="Normal"/>
    <n v="-0.47560975609756095"/>
    <n v="-0.41025641025641024"/>
  </r>
  <r>
    <d v="2024-05-25T00:00:00"/>
    <x v="7"/>
    <s v="S"/>
    <s v="FY25"/>
    <n v="78"/>
    <n v="69"/>
    <n v="-0.30882352941176472"/>
    <n v="-0.27559055118110237"/>
    <n v="4671"/>
    <n v="4377"/>
    <n v="0.9"/>
    <n v="0.12"/>
    <n v="0.88"/>
    <n v="0.57999999999999996"/>
    <m/>
    <n v="219"/>
    <d v="1899-12-30T00:26:00"/>
    <n v="1"/>
    <s v="Normal"/>
    <s v="Normal"/>
    <n v="-0.30882352941176472"/>
    <n v="-0.27559055118110237"/>
  </r>
  <r>
    <d v="2024-05-26T00:00:00"/>
    <x v="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7T00:00:00"/>
    <x v="8"/>
    <s v="M"/>
    <s v="FY25"/>
    <n v="117"/>
    <n v="105"/>
    <n v="-1.680672268907563E-2"/>
    <n v="3.9603960396039604E-2"/>
    <n v="4788"/>
    <n v="4482"/>
    <n v="0.9"/>
    <n v="0.1"/>
    <n v="0.9"/>
    <n v="0.55000000000000004"/>
    <m/>
    <n v="272"/>
    <d v="1899-12-30T00:36:00"/>
    <n v="2"/>
    <s v="Normal"/>
    <s v="Normal"/>
    <n v="-1.680672268907563E-2"/>
    <n v="3.9603960396039604E-2"/>
  </r>
  <r>
    <d v="2024-05-28T00:00:00"/>
    <x v="8"/>
    <s v="T"/>
    <s v="FY25"/>
    <n v="103"/>
    <n v="88"/>
    <n v="-0.15573770491803279"/>
    <n v="-0.22123893805309736"/>
    <n v="4891"/>
    <n v="4570"/>
    <n v="0.85"/>
    <n v="0.15"/>
    <n v="0.85"/>
    <n v="0.44"/>
    <m/>
    <n v="261"/>
    <d v="1899-12-30T00:28:00"/>
    <n v="2"/>
    <s v="Normal"/>
    <s v="Normal"/>
    <n v="-0.15573770491803279"/>
    <n v="-0.22123893805309736"/>
  </r>
  <r>
    <d v="2024-05-29T00:00:00"/>
    <x v="8"/>
    <s v="W"/>
    <s v="FY25"/>
    <n v="156"/>
    <n v="127"/>
    <n v="0.34482758620689657"/>
    <n v="0.23300970873786409"/>
    <n v="5047"/>
    <n v="4697"/>
    <n v="0.81"/>
    <n v="0.19"/>
    <n v="0.81"/>
    <n v="0.64"/>
    <m/>
    <n v="263"/>
    <d v="1899-12-30T00:32:00"/>
    <n v="2"/>
    <s v="Normal"/>
    <s v="Normal"/>
    <n v="0.34482758620689657"/>
    <n v="0.23300970873786409"/>
  </r>
  <r>
    <d v="2024-05-30T00:00:00"/>
    <x v="8"/>
    <s v="R"/>
    <s v="FY25"/>
    <n v="138"/>
    <n v="125"/>
    <n v="0.82352941176470584"/>
    <n v="0.8"/>
    <n v="5185"/>
    <n v="4822"/>
    <n v="0.91"/>
    <n v="0.09"/>
    <n v="0.91"/>
    <n v="0.49"/>
    <m/>
    <n v="203"/>
    <d v="1899-12-30T00:27:00"/>
    <n v="2"/>
    <s v="Outlier"/>
    <s v="Outlier"/>
    <n v="0.82352941176470584"/>
    <n v="0.8"/>
  </r>
  <r>
    <d v="2024-05-31T00:00:00"/>
    <x v="8"/>
    <s v="F"/>
    <s v="FY25"/>
    <n v="90"/>
    <n v="81"/>
    <n v="-0.47560975609756095"/>
    <n v="-0.41025641025641024"/>
    <n v="5275"/>
    <n v="4903"/>
    <n v="0.9"/>
    <n v="0.1"/>
    <n v="0.9"/>
    <n v="0.26"/>
    <m/>
    <n v="83"/>
    <d v="1899-12-30T00:23:00"/>
    <n v="1"/>
    <s v="Normal"/>
    <s v="Normal"/>
    <n v="-0.47560975609756095"/>
    <n v="-0.41025641025641024"/>
  </r>
  <r>
    <d v="2024-06-01T00:00:00"/>
    <x v="8"/>
    <s v="S"/>
    <s v="FY25"/>
    <n v="50"/>
    <n v="45"/>
    <n v="-0.30882352941176472"/>
    <n v="-0.27559055118110237"/>
    <n v="5325"/>
    <n v="4948"/>
    <n v="0.9"/>
    <n v="0.1"/>
    <n v="0.9"/>
    <n v="0.18"/>
    <m/>
    <n v="104"/>
    <d v="1899-12-30T00:21:00"/>
    <n v="1"/>
    <s v="Normal"/>
    <s v="Normal"/>
    <n v="-0.30882352941176472"/>
    <n v="-0.27559055118110237"/>
  </r>
  <r>
    <d v="2024-06-02T00:00:00"/>
    <x v="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03T00:00:00"/>
    <x v="9"/>
    <s v="M"/>
    <s v="FY25"/>
    <n v="105"/>
    <n v="95"/>
    <n v="-0.10256410256410256"/>
    <n v="-9.5238095238095233E-2"/>
    <n v="5430"/>
    <n v="5043"/>
    <n v="0.9"/>
    <n v="0.1"/>
    <n v="0.9"/>
    <n v="0.28000000000000003"/>
    <m/>
    <n v="155"/>
    <d v="1899-12-30T00:23:00"/>
    <n v="2"/>
    <s v="Normal"/>
    <s v="Normal"/>
    <n v="-0.10256410256410256"/>
    <n v="-9.5238095238095233E-2"/>
  </r>
  <r>
    <d v="2024-06-04T00:00:00"/>
    <x v="9"/>
    <s v="T"/>
    <s v="FY25"/>
    <n v="95"/>
    <n v="90"/>
    <n v="-7.7669902912621352E-2"/>
    <n v="2.2727272727272728E-2"/>
    <n v="5525"/>
    <n v="5133"/>
    <n v="0.95"/>
    <n v="0.05"/>
    <n v="0.95"/>
    <n v="0.28000000000000003"/>
    <m/>
    <n v="161"/>
    <d v="1899-12-30T00:23:00"/>
    <n v="2"/>
    <s v="Normal"/>
    <s v="Normal"/>
    <n v="-7.7669902912621352E-2"/>
    <n v="2.2727272727272728E-2"/>
  </r>
  <r>
    <d v="2024-06-05T00:00:00"/>
    <x v="9"/>
    <s v="W"/>
    <s v="FY25"/>
    <n v="123"/>
    <n v="114"/>
    <n v="-0.21153846153846154"/>
    <n v="-0.10236220472440945"/>
    <n v="5648"/>
    <n v="5247"/>
    <n v="0.93"/>
    <n v="7.0000000000000007E-2"/>
    <n v="0.93"/>
    <n v="0.22"/>
    <m/>
    <n v="153"/>
    <d v="1899-12-30T00:28:00"/>
    <n v="3"/>
    <s v="Normal"/>
    <s v="Normal"/>
    <n v="-0.21153846153846154"/>
    <n v="-0.10236220472440945"/>
  </r>
  <r>
    <d v="2024-06-06T00:00:00"/>
    <x v="9"/>
    <s v="R"/>
    <s v="FY25"/>
    <n v="148"/>
    <n v="128"/>
    <n v="0.82352941176470584"/>
    <n v="0.8"/>
    <n v="5796"/>
    <n v="5375"/>
    <n v="0.86"/>
    <n v="0.14000000000000001"/>
    <n v="0.86"/>
    <n v="0.24"/>
    <m/>
    <n v="145"/>
    <d v="1899-12-30T00:27:00"/>
    <n v="3"/>
    <s v="Outlier"/>
    <s v="Outlier"/>
    <n v="0.82352941176470584"/>
    <n v="0.8"/>
  </r>
  <r>
    <d v="2024-06-07T00:00:00"/>
    <x v="9"/>
    <s v="F"/>
    <s v="FY25"/>
    <n v="97"/>
    <n v="87"/>
    <n v="-0.47560975609756095"/>
    <n v="-0.41025641025641024"/>
    <n v="5893"/>
    <n v="5462"/>
    <n v="0.9"/>
    <n v="0.1"/>
    <n v="0.9"/>
    <n v="0.2"/>
    <m/>
    <n v="122"/>
    <d v="1899-12-30T00:23:00"/>
    <n v="2"/>
    <s v="Normal"/>
    <s v="Normal"/>
    <n v="-0.47560975609756095"/>
    <n v="-0.41025641025641024"/>
  </r>
  <r>
    <d v="2024-06-08T00:00:00"/>
    <x v="9"/>
    <s v="S"/>
    <s v="FY25"/>
    <n v="73"/>
    <n v="59"/>
    <n v="-0.30882352941176472"/>
    <n v="-0.27559055118110237"/>
    <n v="5966"/>
    <n v="5521"/>
    <n v="0.81"/>
    <n v="0.19"/>
    <n v="0.81"/>
    <n v="0.35"/>
    <m/>
    <n v="152"/>
    <d v="1899-12-30T00:31:00"/>
    <n v="1"/>
    <s v="Normal"/>
    <s v="Normal"/>
    <n v="-0.30882352941176472"/>
    <n v="-0.27559055118110237"/>
  </r>
  <r>
    <d v="2024-06-09T00:00:00"/>
    <x v="10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0T00:00:00"/>
    <x v="10"/>
    <s v="M"/>
    <s v="FY25"/>
    <n v="103"/>
    <n v="96"/>
    <n v="-1.9047619047619049E-2"/>
    <n v="1.0526315789473684E-2"/>
    <n v="6069"/>
    <n v="5617"/>
    <n v="0.93"/>
    <n v="7.0000000000000007E-2"/>
    <n v="0.93"/>
    <n v="0.39"/>
    <m/>
    <n v="212"/>
    <d v="1899-12-30T00:39:00"/>
    <n v="2"/>
    <s v="Normal"/>
    <s v="Normal"/>
    <n v="-1.9047619047619049E-2"/>
    <n v="1.0526315789473684E-2"/>
  </r>
  <r>
    <d v="2024-06-11T00:00:00"/>
    <x v="10"/>
    <s v="T"/>
    <s v="FY25"/>
    <n v="108"/>
    <n v="101"/>
    <n v="0.1368421052631579"/>
    <n v="0.12222222222222222"/>
    <n v="6177"/>
    <n v="5718"/>
    <n v="0.94"/>
    <n v="0.06"/>
    <n v="0.94"/>
    <n v="0.93"/>
    <m/>
    <n v="239"/>
    <d v="1899-12-30T00:30:00"/>
    <n v="1"/>
    <s v="Normal"/>
    <s v="Normal"/>
    <n v="0.1368421052631579"/>
    <n v="0.12222222222222222"/>
  </r>
  <r>
    <d v="2024-06-12T00:00:00"/>
    <x v="10"/>
    <s v="W"/>
    <s v="FY25"/>
    <n v="91"/>
    <n v="83"/>
    <n v="-0.26016260162601629"/>
    <n v="-0.27192982456140352"/>
    <n v="6268"/>
    <n v="5801"/>
    <n v="0.91"/>
    <n v="0.09"/>
    <n v="0.91"/>
    <n v="0.67"/>
    <m/>
    <n v="209"/>
    <d v="1899-12-30T00:25:00"/>
    <n v="1"/>
    <s v="Normal"/>
    <s v="Normal"/>
    <n v="-0.26016260162601629"/>
    <n v="-0.27192982456140352"/>
  </r>
  <r>
    <d v="2024-06-13T00:00:00"/>
    <x v="10"/>
    <s v="R"/>
    <s v="FY25"/>
    <n v="105"/>
    <n v="92"/>
    <n v="0.82352941176470584"/>
    <n v="0.8"/>
    <n v="6373"/>
    <n v="5893"/>
    <n v="0.88"/>
    <n v="0.12"/>
    <n v="0.88"/>
    <n v="0.48"/>
    <m/>
    <n v="268"/>
    <d v="1899-12-30T00:17:00"/>
    <n v="2"/>
    <s v="Outlier"/>
    <s v="Outlier"/>
    <n v="0.82352941176470584"/>
    <n v="0.8"/>
  </r>
  <r>
    <d v="2024-06-14T00:00:00"/>
    <x v="10"/>
    <s v="F"/>
    <s v="FY25"/>
    <n v="114"/>
    <n v="105"/>
    <n v="-0.47560975609756095"/>
    <n v="-0.41025641025641024"/>
    <n v="6487"/>
    <n v="5998"/>
    <n v="0.92"/>
    <n v="0.08"/>
    <n v="0.92"/>
    <n v="0.49"/>
    <m/>
    <n v="241"/>
    <d v="1899-12-30T00:32:00"/>
    <n v="2"/>
    <s v="Normal"/>
    <s v="Normal"/>
    <n v="-0.47560975609756095"/>
    <n v="-0.41025641025641024"/>
  </r>
  <r>
    <d v="2024-06-15T00:00:00"/>
    <x v="10"/>
    <s v="S"/>
    <s v="FY25"/>
    <n v="94"/>
    <n v="86"/>
    <n v="-0.30882352941176472"/>
    <n v="-0.27559055118110237"/>
    <n v="6581"/>
    <n v="6084"/>
    <n v="0.91"/>
    <n v="0.09"/>
    <n v="0.91"/>
    <n v="0.36"/>
    <m/>
    <n v="214"/>
    <d v="1899-12-30T00:20:00"/>
    <n v="2"/>
    <s v="Normal"/>
    <s v="Normal"/>
    <n v="-0.30882352941176472"/>
    <n v="-0.27559055118110237"/>
  </r>
  <r>
    <d v="2024-06-16T00:00:00"/>
    <x v="1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7T00:00:00"/>
    <x v="11"/>
    <s v="M"/>
    <s v="FY25"/>
    <n v="155"/>
    <n v="139"/>
    <n v="0.50485436893203883"/>
    <n v="0.44791666666666669"/>
    <n v="6736"/>
    <n v="6223"/>
    <n v="0.9"/>
    <n v="0.1"/>
    <n v="0.9"/>
    <n v="0.54"/>
    <m/>
    <n v="200"/>
    <d v="1899-12-30T00:19:00"/>
    <n v="2"/>
    <s v="Normal"/>
    <s v="Normal"/>
    <n v="0.50485436893203883"/>
    <n v="0.44791666666666669"/>
  </r>
  <r>
    <d v="2024-06-18T00:00:00"/>
    <x v="11"/>
    <s v="T"/>
    <s v="FY25"/>
    <n v="192"/>
    <n v="168"/>
    <n v="0.77777777777777779"/>
    <n v="0.6633663366336634"/>
    <n v="6928"/>
    <n v="6391"/>
    <n v="0.88"/>
    <n v="0.13"/>
    <n v="0.87"/>
    <n v="0.33"/>
    <m/>
    <n v="151"/>
    <d v="1899-12-30T00:27:00"/>
    <n v="3"/>
    <s v="Normal"/>
    <s v="Normal"/>
    <n v="0.77777777777777779"/>
    <n v="0.6633663366336634"/>
  </r>
  <r>
    <d v="2024-06-19T00:00:00"/>
    <x v="11"/>
    <s v="W"/>
    <s v="FY25"/>
    <n v="159"/>
    <n v="137"/>
    <n v="0.74725274725274726"/>
    <n v="0.6506024096385542"/>
    <n v="7087"/>
    <n v="6528"/>
    <n v="0.86"/>
    <n v="0.14000000000000001"/>
    <n v="0.86"/>
    <n v="0.25"/>
    <m/>
    <n v="142"/>
    <d v="1899-12-30T00:30:00"/>
    <n v="3"/>
    <s v="Normal"/>
    <s v="Normal"/>
    <n v="0.74725274725274726"/>
    <n v="0.6506024096385542"/>
  </r>
  <r>
    <d v="2024-06-20T00:00:00"/>
    <x v="11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1T00:00:00"/>
    <x v="11"/>
    <s v="F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2T00:00:00"/>
    <x v="11"/>
    <s v="S"/>
    <s v="FY25"/>
    <n v="83"/>
    <n v="68"/>
    <n v="-0.11702127659574468"/>
    <n v="-0.20930232558139536"/>
    <n v="7170"/>
    <n v="6596"/>
    <n v="0.82"/>
    <n v="0.18"/>
    <n v="0.82"/>
    <n v="0.28000000000000003"/>
    <m/>
    <n v="105"/>
    <d v="1899-12-30T00:22:00"/>
    <n v="1"/>
    <s v="Normal"/>
    <s v="Normal"/>
    <n v="-0.11702127659574468"/>
    <n v="-0.20930232558139536"/>
  </r>
  <r>
    <d v="2024-06-23T00:00:00"/>
    <x v="1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4T00:00:00"/>
    <x v="12"/>
    <s v="M"/>
    <s v="FY25"/>
    <n v="63"/>
    <n v="55"/>
    <n v="-0.59354838709677415"/>
    <n v="-0.60431654676258995"/>
    <n v="7233"/>
    <n v="6651"/>
    <n v="0.78"/>
    <n v="0.13"/>
    <n v="0.87"/>
    <n v="0.13"/>
    <m/>
    <n v="123"/>
    <d v="1899-12-30T00:23:00"/>
    <n v="2"/>
    <s v="Normal"/>
    <s v="Normal"/>
    <n v="-0.59354838709677415"/>
    <n v="-0.60431654676258995"/>
  </r>
  <r>
    <d v="2024-06-25T00:00:00"/>
    <x v="12"/>
    <s v="T"/>
    <s v="FY25"/>
    <n v="63"/>
    <n v="49"/>
    <n v="-0.671875"/>
    <n v="-0.70833333333333337"/>
    <n v="7296"/>
    <n v="6700"/>
    <n v="0.82"/>
    <n v="0.22"/>
    <n v="0.78"/>
    <n v="0.1"/>
    <m/>
    <n v="163"/>
    <d v="1899-12-30T00:25:00"/>
    <n v="3"/>
    <s v="Normal"/>
    <s v="Normal"/>
    <n v="-0.671875"/>
    <n v="-0.70833333333333337"/>
  </r>
  <r>
    <d v="2024-06-26T00:00:00"/>
    <x v="12"/>
    <s v="W"/>
    <s v="FY25"/>
    <n v="82"/>
    <n v="67"/>
    <n v="-0.48427672955974843"/>
    <n v="-0.51094890510948909"/>
    <n v="7378"/>
    <n v="6767"/>
    <n v="0.82"/>
    <n v="0.18"/>
    <n v="0.82"/>
    <n v="0.14000000000000001"/>
    <m/>
    <n v="162"/>
    <d v="1899-12-30T00:01:00"/>
    <n v="3"/>
    <s v="Normal"/>
    <s v="Normal"/>
    <n v="-0.48427672955974843"/>
    <n v="-0.51094890510948909"/>
  </r>
  <r>
    <d v="2024-06-27T00:00:00"/>
    <x v="12"/>
    <s v="R"/>
    <s v="FY25"/>
    <n v="71"/>
    <n v="69"/>
    <n v="0.82352941176470584"/>
    <n v="0.8"/>
    <n v="7449"/>
    <n v="6836"/>
    <n v="0.97"/>
    <n v="0.03"/>
    <n v="0.97"/>
    <n v="0.2"/>
    <m/>
    <n v="154"/>
    <d v="1899-12-30T00:01:00"/>
    <n v="2"/>
    <s v="Outlier"/>
    <s v="Outlier"/>
    <n v="0.82352941176470584"/>
    <n v="0.8"/>
  </r>
  <r>
    <d v="2024-06-28T00:00:00"/>
    <x v="12"/>
    <s v="F"/>
    <s v="FY25"/>
    <n v="73"/>
    <n v="65"/>
    <n v="-0.47560975609756095"/>
    <n v="-0.41025641025641024"/>
    <n v="7522"/>
    <n v="6901"/>
    <n v="0.89"/>
    <n v="0.11"/>
    <n v="0.89"/>
    <n v="0.19"/>
    <m/>
    <n v="150"/>
    <d v="1899-12-30T00:41:00"/>
    <n v="2"/>
    <s v="Normal"/>
    <s v="Normal"/>
    <n v="-0.47560975609756095"/>
    <n v="-0.41025641025641024"/>
  </r>
  <r>
    <d v="2024-06-29T00:00:00"/>
    <x v="12"/>
    <s v="S"/>
    <s v="FY25"/>
    <n v="43"/>
    <n v="40"/>
    <n v="-0.30882352941176472"/>
    <n v="-0.27559055118110237"/>
    <n v="7565"/>
    <n v="6941"/>
    <n v="0.93"/>
    <n v="7.0000000000000007E-2"/>
    <n v="0.93"/>
    <n v="0.2"/>
    <m/>
    <n v="129"/>
    <d v="1899-12-30T00:09:00"/>
    <n v="1"/>
    <s v="Normal"/>
    <s v="Normal"/>
    <n v="-0.30882352941176472"/>
    <n v="-0.27559055118110237"/>
  </r>
  <r>
    <d v="2024-06-30T00:00:00"/>
    <x v="1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1T00:00:00"/>
    <x v="13"/>
    <s v="M"/>
    <s v="FY25"/>
    <n v="89"/>
    <n v="68"/>
    <n v="0.41269841269841268"/>
    <n v="0.23636363636363636"/>
    <n v="7654"/>
    <n v="7009"/>
    <n v="0.76"/>
    <n v="0.24"/>
    <n v="0.76"/>
    <n v="0.17"/>
    <m/>
    <n v="133"/>
    <d v="1899-12-30T00:28:00"/>
    <n v="2"/>
    <s v="Normal"/>
    <s v="Normal"/>
    <n v="0.41269841269841268"/>
    <n v="0.23636363636363636"/>
  </r>
  <r>
    <d v="2024-07-02T00:00:00"/>
    <x v="13"/>
    <s v="T"/>
    <s v="FY25"/>
    <n v="80"/>
    <n v="67"/>
    <n v="0.26984126984126983"/>
    <n v="0.36734693877551022"/>
    <n v="7734"/>
    <n v="7076"/>
    <n v="0.84"/>
    <n v="0.16"/>
    <n v="0.84"/>
    <n v="0.18"/>
    <m/>
    <n v="141"/>
    <d v="1899-12-30T00:34:00"/>
    <n v="2"/>
    <s v="Normal"/>
    <s v="Normal"/>
    <n v="0.26984126984126983"/>
    <n v="0.36734693877551022"/>
  </r>
  <r>
    <d v="2024-07-03T00:00:00"/>
    <x v="13"/>
    <s v="W"/>
    <s v="FY25"/>
    <n v="83"/>
    <n v="58"/>
    <n v="1.2195121951219513E-2"/>
    <n v="-0.13432835820895522"/>
    <n v="7817"/>
    <n v="7134"/>
    <n v="0.7"/>
    <n v="0.3"/>
    <n v="0.7"/>
    <n v="0.3"/>
    <m/>
    <n v="136"/>
    <d v="1899-12-30T00:27:00"/>
    <n v="2"/>
    <s v="Normal"/>
    <s v="Normal"/>
    <n v="1.2195121951219513E-2"/>
    <n v="-0.13432835820895522"/>
  </r>
  <r>
    <d v="2024-07-04T00:00:00"/>
    <x v="13"/>
    <s v="R"/>
    <s v="FY25"/>
    <n v="14"/>
    <n v="11"/>
    <n v="0.82352941176470584"/>
    <n v="0.8"/>
    <n v="7831"/>
    <n v="7145"/>
    <n v="0.79"/>
    <n v="0.21"/>
    <n v="0.79"/>
    <n v="0.01"/>
    <m/>
    <n v="70"/>
    <d v="1899-12-30T00:17:00"/>
    <n v="2"/>
    <s v="Outlier"/>
    <s v="Outlier"/>
    <n v="0.82352941176470584"/>
    <n v="0.8"/>
  </r>
  <r>
    <d v="2024-07-05T00:00:00"/>
    <x v="13"/>
    <s v="F"/>
    <s v="FY25"/>
    <n v="6"/>
    <n v="5"/>
    <n v="-0.47560975609756095"/>
    <n v="-0.41025641025641024"/>
    <n v="7837"/>
    <n v="7150"/>
    <n v="0.83"/>
    <n v="0.17"/>
    <n v="0.83"/>
    <n v="0"/>
    <m/>
    <n v="25"/>
    <d v="1899-12-30T00:15:00"/>
    <n v="1"/>
    <s v="Normal"/>
    <s v="Normal"/>
    <n v="-0.47560975609756095"/>
    <n v="-0.41025641025641024"/>
  </r>
  <r>
    <d v="2024-07-06T00:00:00"/>
    <x v="13"/>
    <s v="S"/>
    <s v="FY25"/>
    <n v="7"/>
    <n v="7"/>
    <n v="-0.30882352941176472"/>
    <n v="-0.27559055118110237"/>
    <n v="7844"/>
    <n v="7157"/>
    <n v="1"/>
    <n v="0"/>
    <n v="1"/>
    <n v="0.01"/>
    <m/>
    <n v="30"/>
    <d v="1899-12-30T00:00:00"/>
    <n v="1"/>
    <s v="Normal"/>
    <s v="Normal"/>
    <n v="-0.30882352941176472"/>
    <n v="-0.27559055118110237"/>
  </r>
  <r>
    <d v="2024-07-07T00:00:00"/>
    <x v="1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8T00:00:00"/>
    <x v="14"/>
    <s v="M"/>
    <s v="FY25"/>
    <n v="137"/>
    <n v="119"/>
    <n v="0.5393258426966292"/>
    <n v="0.75"/>
    <n v="7981"/>
    <n v="7276"/>
    <n v="0.87"/>
    <n v="0.13"/>
    <n v="0.87"/>
    <n v="0.53"/>
    <m/>
    <n v="229"/>
    <d v="1899-12-30T00:31:00"/>
    <n v="2"/>
    <s v="Normal"/>
    <s v="Outlier"/>
    <n v="0.5393258426966292"/>
    <n v="0.75"/>
  </r>
  <r>
    <d v="2024-07-09T00:00:00"/>
    <x v="14"/>
    <s v="T"/>
    <s v="FY25"/>
    <n v="182"/>
    <n v="152"/>
    <n v="1.2749999999999999"/>
    <n v="1.2686567164179106"/>
    <n v="8163"/>
    <n v="7428"/>
    <n v="0.84"/>
    <n v="0.16"/>
    <n v="0.84"/>
    <n v="0.34"/>
    <m/>
    <n v="116"/>
    <d v="1899-12-30T00:42:00"/>
    <n v="2"/>
    <s v="Outlier"/>
    <s v="Outlier"/>
    <n v="1.2749999999999999"/>
    <n v="1.2686567164179106"/>
  </r>
  <r>
    <d v="2024-07-10T00:00:00"/>
    <x v="14"/>
    <s v="W"/>
    <s v="FY25"/>
    <n v="99"/>
    <n v="88"/>
    <n v="0.19277108433734941"/>
    <n v="0.51724137931034486"/>
    <n v="8262"/>
    <n v="7516"/>
    <n v="0.89"/>
    <n v="0.11"/>
    <n v="0.89"/>
    <n v="0.24"/>
    <m/>
    <n v="142"/>
    <d v="1899-12-30T01:09:00"/>
    <n v="2"/>
    <s v="Normal"/>
    <s v="Normal"/>
    <n v="0.19277108433734941"/>
    <n v="0.51724137931034486"/>
  </r>
  <r>
    <d v="2024-07-11T00:00:00"/>
    <x v="14"/>
    <s v="R"/>
    <s v="FY25"/>
    <n v="119"/>
    <n v="109"/>
    <n v="0.82352941176470584"/>
    <n v="0.8"/>
    <n v="8381"/>
    <n v="7625"/>
    <n v="0.92"/>
    <n v="0.08"/>
    <n v="0.92"/>
    <n v="0.28999999999999998"/>
    <m/>
    <n v="138"/>
    <d v="1899-12-30T00:28:00"/>
    <n v="2"/>
    <s v="Outlier"/>
    <s v="Outlier"/>
    <n v="0.82352941176470584"/>
    <n v="0.8"/>
  </r>
  <r>
    <d v="2024-07-12T00:00:00"/>
    <x v="14"/>
    <s v="F"/>
    <s v="FY25"/>
    <n v="127"/>
    <n v="113"/>
    <n v="-0.47560975609756095"/>
    <n v="-0.41025641025641024"/>
    <n v="8508"/>
    <n v="7738"/>
    <n v="0.89"/>
    <n v="0.11"/>
    <n v="0.89"/>
    <n v="0.36"/>
    <m/>
    <n v="163"/>
    <d v="1899-12-30T00:24:00"/>
    <n v="2"/>
    <s v="Normal"/>
    <s v="Normal"/>
    <n v="-0.47560975609756095"/>
    <n v="-0.41025641025641024"/>
  </r>
  <r>
    <d v="2024-07-13T00:00:00"/>
    <x v="14"/>
    <s v="S"/>
    <s v="FY25"/>
    <n v="87"/>
    <n v="79"/>
    <n v="-0.30882352941176472"/>
    <n v="-0.27559055118110237"/>
    <n v="8595"/>
    <n v="7817"/>
    <n v="0.91"/>
    <n v="0.09"/>
    <n v="0.91"/>
    <n v="0.26"/>
    <m/>
    <n v="168"/>
    <d v="1899-12-30T00:26:00"/>
    <n v="2"/>
    <s v="Normal"/>
    <s v="Normal"/>
    <n v="-0.30882352941176472"/>
    <n v="-0.27559055118110237"/>
  </r>
  <r>
    <d v="2024-07-14T00:00:00"/>
    <x v="1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15T00:00:00"/>
    <x v="15"/>
    <s v="M"/>
    <s v="FY25"/>
    <n v="146"/>
    <n v="132"/>
    <n v="6.569343065693431E-2"/>
    <n v="0.1092436974789916"/>
    <n v="8741"/>
    <n v="7949"/>
    <n v="0.9"/>
    <n v="0.1"/>
    <n v="0.9"/>
    <n v="0.51"/>
    <m/>
    <n v="202"/>
    <d v="1899-12-30T00:28:00"/>
    <n v="2"/>
    <s v="Normal"/>
    <s v="Normal"/>
    <n v="6.569343065693431E-2"/>
    <n v="0.1092436974789916"/>
  </r>
  <r>
    <d v="2024-07-16T00:00:00"/>
    <x v="15"/>
    <s v="T"/>
    <s v="FY25"/>
    <n v="160"/>
    <n v="134"/>
    <n v="-0.12087912087912088"/>
    <n v="-0.11842105263157894"/>
    <n v="8901"/>
    <n v="8083"/>
    <n v="0.83"/>
    <n v="0.16"/>
    <n v="0.84"/>
    <n v="0.47"/>
    <m/>
    <n v="181"/>
    <d v="1899-12-30T00:25:00"/>
    <n v="2"/>
    <s v="Normal"/>
    <s v="Normal"/>
    <n v="-0.12087912087912088"/>
    <n v="-0.11842105263157894"/>
  </r>
  <r>
    <d v="2024-07-17T00:00:00"/>
    <x v="15"/>
    <s v="W"/>
    <s v="FY25"/>
    <n v="106"/>
    <n v="99"/>
    <n v="7.0707070707070704E-2"/>
    <n v="0.125"/>
    <n v="9007"/>
    <n v="8182"/>
    <n v="0.93"/>
    <n v="7.0000000000000007E-2"/>
    <n v="0.93"/>
    <n v="0.42"/>
    <m/>
    <n v="222"/>
    <d v="1899-12-30T00:43:00"/>
    <n v="2"/>
    <s v="Normal"/>
    <s v="Normal"/>
    <n v="7.0707070707070704E-2"/>
    <n v="0.125"/>
  </r>
  <r>
    <d v="2024-07-18T00:00:00"/>
    <x v="15"/>
    <s v="R"/>
    <s v="FY25"/>
    <n v="89"/>
    <n v="78"/>
    <n v="0.82352941176470584"/>
    <n v="0.8"/>
    <n v="9096"/>
    <n v="8260"/>
    <n v="0.88"/>
    <n v="0.12"/>
    <n v="0.88"/>
    <n v="0.77"/>
    <m/>
    <n v="257"/>
    <d v="1899-12-30T00:23:00"/>
    <n v="1"/>
    <s v="Outlier"/>
    <s v="Outlier"/>
    <n v="0.82352941176470584"/>
    <n v="0.8"/>
  </r>
  <r>
    <d v="2024-07-19T00:00:00"/>
    <x v="15"/>
    <s v="F"/>
    <s v="FY25"/>
    <n v="92"/>
    <n v="87"/>
    <n v="-0.47560975609756095"/>
    <n v="-0.41025641025641024"/>
    <n v="9188"/>
    <n v="8347"/>
    <n v="0.95"/>
    <n v="0.05"/>
    <n v="0.95"/>
    <n v="0.98"/>
    <m/>
    <n v="293"/>
    <d v="1899-12-30T00:37:00"/>
    <n v="1"/>
    <s v="Normal"/>
    <s v="Normal"/>
    <n v="-0.47560975609756095"/>
    <n v="-0.41025641025641024"/>
  </r>
  <r>
    <d v="2024-07-20T00:00:00"/>
    <x v="15"/>
    <s v="S"/>
    <s v="FY25"/>
    <n v="77"/>
    <n v="68"/>
    <n v="-0.30882352941176472"/>
    <n v="-0.27559055118110237"/>
    <n v="9265"/>
    <n v="8415"/>
    <n v="0.88"/>
    <n v="0.12"/>
    <n v="0.88"/>
    <n v="0.44"/>
    <m/>
    <n v="168"/>
    <d v="1899-12-30T00:21:00"/>
    <n v="1"/>
    <s v="Normal"/>
    <s v="Normal"/>
    <n v="-0.30882352941176472"/>
    <n v="-0.27559055118110237"/>
  </r>
  <r>
    <d v="2024-07-21T00:00:00"/>
    <x v="1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2T00:00:00"/>
    <x v="16"/>
    <s v="M"/>
    <s v="FY25"/>
    <n v="128"/>
    <n v="118"/>
    <n v="-0.12328767123287671"/>
    <n v="-0.10606060606060606"/>
    <n v="9393"/>
    <n v="8533"/>
    <n v="0.91"/>
    <n v="0.08"/>
    <n v="0.92"/>
    <n v="0.45"/>
    <m/>
    <n v="99"/>
    <d v="1899-12-30T00:17:00"/>
    <n v="1"/>
    <s v="Normal"/>
    <s v="Normal"/>
    <n v="-0.12328767123287671"/>
    <n v="-0.10606060606060606"/>
  </r>
  <r>
    <d v="2024-07-23T00:00:00"/>
    <x v="16"/>
    <s v="T"/>
    <s v="FY25"/>
    <n v="127"/>
    <n v="115"/>
    <n v="-0.20624999999999999"/>
    <n v="-0.1417910447761194"/>
    <n v="9520"/>
    <n v="8648"/>
    <n v="0.93"/>
    <n v="0.09"/>
    <n v="0.91"/>
    <n v="0.46"/>
    <m/>
    <n v="103"/>
    <d v="1899-12-30T00:19:00"/>
    <n v="1"/>
    <s v="Normal"/>
    <s v="Normal"/>
    <n v="-0.20624999999999999"/>
    <n v="-0.1417910447761194"/>
  </r>
  <r>
    <d v="2024-07-24T00:00:00"/>
    <x v="16"/>
    <s v="W"/>
    <s v="FY25"/>
    <n v="107"/>
    <n v="99"/>
    <n v="9.433962264150943E-3"/>
    <n v="0"/>
    <n v="9627"/>
    <n v="8747"/>
    <n v="0.88"/>
    <n v="7.0000000000000007E-2"/>
    <n v="0.93"/>
    <n v="0.47"/>
    <m/>
    <n v="122"/>
    <d v="1899-12-30T00:31:00"/>
    <n v="1"/>
    <s v="Normal"/>
    <s v="Normal"/>
    <n v="9.433962264150943E-3"/>
    <n v="0"/>
  </r>
  <r>
    <d v="2024-07-25T00:00:00"/>
    <x v="16"/>
    <s v="R"/>
    <s v="FY25"/>
    <n v="119"/>
    <n v="105"/>
    <n v="0.82352941176470584"/>
    <n v="0.8"/>
    <n v="9746"/>
    <n v="8852"/>
    <n v="0.92"/>
    <n v="0.12"/>
    <n v="0.88"/>
    <n v="0.41"/>
    <m/>
    <n v="102"/>
    <d v="1899-12-30T00:29:00"/>
    <n v="1"/>
    <s v="Outlier"/>
    <s v="Outlier"/>
    <n v="0.82352941176470584"/>
    <n v="0.8"/>
  </r>
  <r>
    <d v="2024-07-26T00:00:00"/>
    <x v="16"/>
    <s v="F"/>
    <s v="FY25"/>
    <n v="113"/>
    <n v="104"/>
    <n v="-0.47560975609756095"/>
    <n v="-0.41025641025641024"/>
    <n v="9859"/>
    <n v="8956"/>
    <n v="0.92"/>
    <n v="0.08"/>
    <n v="0.92"/>
    <n v="0.33"/>
    <m/>
    <n v="163"/>
    <d v="1899-12-30T00:21:00"/>
    <n v="2"/>
    <s v="Normal"/>
    <s v="Normal"/>
    <n v="-0.47560975609756095"/>
    <n v="-0.41025641025641024"/>
  </r>
  <r>
    <d v="2024-07-27T00:00:00"/>
    <x v="16"/>
    <s v="S"/>
    <s v="FY25"/>
    <n v="93"/>
    <n v="86"/>
    <n v="-0.30882352941176472"/>
    <n v="-0.27559055118110237"/>
    <n v="9952"/>
    <n v="9042"/>
    <n v="0.92"/>
    <n v="0.08"/>
    <n v="0.92"/>
    <n v="0.45"/>
    <m/>
    <n v="135"/>
    <d v="1899-12-30T00:23:00"/>
    <n v="1"/>
    <s v="Normal"/>
    <s v="Normal"/>
    <n v="-0.30882352941176472"/>
    <n v="-0.27559055118110237"/>
  </r>
  <r>
    <d v="2024-07-28T00:00:00"/>
    <x v="1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9T00:00:00"/>
    <x v="17"/>
    <s v="M"/>
    <s v="FY25"/>
    <n v="111"/>
    <n v="106"/>
    <n v="-0.1328125"/>
    <n v="-0.10169491525423729"/>
    <n v="10063"/>
    <n v="9148"/>
    <n v="0.96"/>
    <n v="0.05"/>
    <n v="0.95"/>
    <n v="0.3"/>
    <m/>
    <n v="148"/>
    <d v="1899-12-30T00:30:00"/>
    <n v="2"/>
    <s v="Normal"/>
    <s v="Normal"/>
    <n v="-0.1328125"/>
    <n v="-0.10169491525423729"/>
  </r>
  <r>
    <d v="2024-07-30T00:00:00"/>
    <x v="17"/>
    <s v="T"/>
    <s v="FY25"/>
    <n v="97"/>
    <n v="91"/>
    <n v="-0.23622047244094488"/>
    <n v="-0.20869565217391303"/>
    <n v="10160"/>
    <n v="9239"/>
    <n v="0.94"/>
    <n v="0.06"/>
    <n v="0.94"/>
    <n v="0.47"/>
    <m/>
    <n v="134"/>
    <d v="1899-12-30T00:27:00"/>
    <n v="1"/>
    <s v="Normal"/>
    <s v="Normal"/>
    <n v="-0.23622047244094488"/>
    <n v="-0.20869565217391303"/>
  </r>
  <r>
    <d v="2024-07-31T00:00:00"/>
    <x v="17"/>
    <s v="W"/>
    <s v="FY25"/>
    <n v="103"/>
    <n v="97"/>
    <n v="-3.7383177570093455E-2"/>
    <n v="-2.0202020202020204E-2"/>
    <n v="10263"/>
    <n v="9336"/>
    <n v="0.94"/>
    <n v="0.06"/>
    <n v="0.94"/>
    <n v="0.33"/>
    <m/>
    <n v="87"/>
    <d v="1899-12-30T00:23:00"/>
    <n v="1"/>
    <s v="Normal"/>
    <s v="Normal"/>
    <n v="-3.7383177570093455E-2"/>
    <n v="-2.0202020202020204E-2"/>
  </r>
  <r>
    <d v="2024-08-01T00:00:00"/>
    <x v="17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2T00:00:00"/>
    <x v="17"/>
    <s v="F"/>
    <s v="FY25"/>
    <n v="116"/>
    <n v="105"/>
    <n v="-0.47560975609756095"/>
    <n v="-0.41025641025641024"/>
    <n v="116"/>
    <n v="105"/>
    <n v="0.91"/>
    <n v="0.09"/>
    <n v="0.91"/>
    <n v="0.38"/>
    <m/>
    <n v="189"/>
    <d v="1899-12-30T00:49:00"/>
    <n v="2"/>
    <s v="Normal"/>
    <s v="Normal"/>
    <n v="-0.47560975609756095"/>
    <n v="-0.41025641025641024"/>
  </r>
  <r>
    <d v="2024-08-03T00:00:00"/>
    <x v="17"/>
    <s v="S"/>
    <s v="FY25"/>
    <n v="85"/>
    <n v="65"/>
    <n v="-0.30882352941176472"/>
    <n v="-0.27559055118110237"/>
    <n v="201"/>
    <n v="170"/>
    <n v="0.76"/>
    <n v="0.24"/>
    <n v="0.76"/>
    <n v="0.38"/>
    <m/>
    <n v="151"/>
    <d v="1899-12-30T00:18:00"/>
    <n v="1"/>
    <s v="Normal"/>
    <s v="Normal"/>
    <n v="-0.30882352941176472"/>
    <n v="-0.27559055118110237"/>
  </r>
  <r>
    <d v="2024-08-04T00:00:00"/>
    <x v="1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5T00:00:00"/>
    <x v="18"/>
    <s v="M"/>
    <s v="FY25"/>
    <n v="112"/>
    <n v="104"/>
    <n v="9.0090090090090089E-3"/>
    <n v="-1.8867924528301886E-2"/>
    <n v="228"/>
    <n v="274"/>
    <n v="0.93"/>
    <n v="7.0000000000000007E-2"/>
    <n v="0.93"/>
    <n v="0.22"/>
    <m/>
    <n v="110"/>
    <d v="1899-12-30T00:19:00"/>
    <n v="2"/>
    <s v="Normal"/>
    <s v="Normal"/>
    <n v="9.0090090090090089E-3"/>
    <n v="-1.8867924528301886E-2"/>
  </r>
  <r>
    <d v="2024-08-06T00:00:00"/>
    <x v="18"/>
    <s v="T"/>
    <s v="FY25"/>
    <n v="107"/>
    <n v="93"/>
    <n v="0.10309278350515463"/>
    <n v="2.197802197802198E-2"/>
    <n v="335"/>
    <n v="367"/>
    <n v="0.87"/>
    <n v="0.13"/>
    <n v="0.87"/>
    <n v="0.46"/>
    <m/>
    <n v="127"/>
    <d v="1899-12-30T00:34:00"/>
    <n v="1"/>
    <s v="Normal"/>
    <s v="Normal"/>
    <n v="0.10309278350515463"/>
    <n v="2.197802197802198E-2"/>
  </r>
  <r>
    <d v="2024-08-07T00:00:00"/>
    <x v="18"/>
    <s v="W"/>
    <s v="FY25"/>
    <n v="94"/>
    <n v="87"/>
    <n v="-8.7378640776699032E-2"/>
    <n v="-0.10309278350515463"/>
    <n v="429"/>
    <n v="454"/>
    <n v="0.93"/>
    <n v="7.0000000000000007E-2"/>
    <n v="0.93"/>
    <n v="0.47"/>
    <m/>
    <n v="141"/>
    <d v="1899-12-30T00:17:00"/>
    <n v="1"/>
    <s v="Normal"/>
    <s v="Normal"/>
    <n v="-8.7378640776699032E-2"/>
    <n v="-0.10309278350515463"/>
  </r>
  <r>
    <d v="2024-08-08T00:00:00"/>
    <x v="18"/>
    <s v="R"/>
    <s v="FY25"/>
    <n v="106"/>
    <n v="91"/>
    <n v="0.82352941176470584"/>
    <n v="0.8"/>
    <n v="535"/>
    <n v="545"/>
    <n v="0.86"/>
    <n v="0.14000000000000001"/>
    <n v="0.86"/>
    <n v="0.15"/>
    <m/>
    <n v="87"/>
    <d v="1899-12-30T00:25:00"/>
    <n v="2"/>
    <s v="Outlier"/>
    <s v="Outlier"/>
    <n v="0.82352941176470584"/>
    <n v="0.8"/>
  </r>
  <r>
    <d v="2024-08-09T00:00:00"/>
    <x v="18"/>
    <s v="F"/>
    <s v="FY25"/>
    <n v="212"/>
    <n v="164"/>
    <n v="-0.47560975609756095"/>
    <n v="-0.41025641025641024"/>
    <n v="747"/>
    <n v="709"/>
    <n v="0.77"/>
    <n v="0.23"/>
    <n v="0.77"/>
    <n v="0.33"/>
    <m/>
    <n v="103"/>
    <d v="1899-12-30T00:14:00"/>
    <n v="2"/>
    <s v="Normal"/>
    <s v="Normal"/>
    <n v="-0.47560975609756095"/>
    <n v="-0.41025641025641024"/>
  </r>
  <r>
    <d v="2024-08-10T00:00:00"/>
    <x v="18"/>
    <s v="S"/>
    <s v="FY25"/>
    <n v="79"/>
    <n v="71"/>
    <n v="-0.30882352941176472"/>
    <n v="-0.27559055118110237"/>
    <n v="826"/>
    <n v="780"/>
    <n v="0.9"/>
    <n v="0.1"/>
    <n v="0.9"/>
    <n v="0.36"/>
    <m/>
    <n v="132"/>
    <d v="1899-12-30T00:17:00"/>
    <n v="1"/>
    <s v="Normal"/>
    <s v="Normal"/>
    <n v="-0.30882352941176472"/>
    <n v="-0.27559055118110237"/>
  </r>
  <r>
    <d v="2024-08-11T00:00:00"/>
    <x v="1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12T00:00:00"/>
    <x v="20"/>
    <m/>
    <m/>
    <m/>
    <m/>
    <m/>
    <m/>
    <m/>
    <m/>
    <m/>
    <m/>
    <m/>
    <m/>
    <m/>
    <m/>
    <m/>
    <m/>
    <m/>
    <m/>
    <m/>
    <m/>
  </r>
  <r>
    <d v="2024-08-13T00:00:00"/>
    <x v="20"/>
    <m/>
    <m/>
    <m/>
    <m/>
    <m/>
    <m/>
    <m/>
    <m/>
    <m/>
    <m/>
    <m/>
    <m/>
    <m/>
    <m/>
    <m/>
    <m/>
    <m/>
    <m/>
    <m/>
    <m/>
  </r>
  <r>
    <d v="2024-08-14T00:00:00"/>
    <x v="20"/>
    <m/>
    <m/>
    <m/>
    <m/>
    <m/>
    <m/>
    <m/>
    <m/>
    <m/>
    <m/>
    <m/>
    <m/>
    <m/>
    <m/>
    <m/>
    <m/>
    <m/>
    <m/>
    <m/>
    <m/>
  </r>
  <r>
    <d v="2024-08-15T00:00:00"/>
    <x v="20"/>
    <m/>
    <m/>
    <m/>
    <m/>
    <m/>
    <m/>
    <m/>
    <m/>
    <m/>
    <m/>
    <m/>
    <m/>
    <m/>
    <m/>
    <m/>
    <m/>
    <m/>
    <m/>
    <m/>
    <m/>
  </r>
  <r>
    <d v="2024-08-16T00:00:00"/>
    <x v="20"/>
    <m/>
    <m/>
    <m/>
    <m/>
    <m/>
    <m/>
    <m/>
    <m/>
    <m/>
    <m/>
    <m/>
    <m/>
    <m/>
    <m/>
    <m/>
    <m/>
    <m/>
    <m/>
    <m/>
    <m/>
  </r>
  <r>
    <d v="2024-08-17T00:00:00"/>
    <x v="20"/>
    <m/>
    <m/>
    <m/>
    <m/>
    <m/>
    <m/>
    <m/>
    <m/>
    <m/>
    <m/>
    <m/>
    <m/>
    <m/>
    <m/>
    <m/>
    <m/>
    <m/>
    <m/>
    <m/>
    <m/>
  </r>
  <r>
    <d v="2024-08-18T00:00:00"/>
    <x v="20"/>
    <m/>
    <m/>
    <m/>
    <m/>
    <m/>
    <m/>
    <m/>
    <m/>
    <m/>
    <m/>
    <m/>
    <m/>
    <m/>
    <m/>
    <m/>
    <m/>
    <m/>
    <m/>
    <m/>
    <m/>
  </r>
  <r>
    <d v="2024-08-19T00:00:00"/>
    <x v="20"/>
    <m/>
    <m/>
    <m/>
    <m/>
    <m/>
    <m/>
    <m/>
    <m/>
    <m/>
    <m/>
    <m/>
    <m/>
    <m/>
    <m/>
    <m/>
    <m/>
    <m/>
    <m/>
    <m/>
    <m/>
  </r>
  <r>
    <d v="2024-08-20T00:00:00"/>
    <x v="20"/>
    <m/>
    <m/>
    <m/>
    <m/>
    <m/>
    <m/>
    <m/>
    <m/>
    <m/>
    <m/>
    <m/>
    <m/>
    <m/>
    <m/>
    <m/>
    <m/>
    <m/>
    <m/>
    <m/>
    <m/>
  </r>
  <r>
    <d v="2024-08-21T00:00:00"/>
    <x v="20"/>
    <m/>
    <m/>
    <m/>
    <m/>
    <m/>
    <m/>
    <m/>
    <m/>
    <m/>
    <m/>
    <m/>
    <m/>
    <m/>
    <m/>
    <m/>
    <m/>
    <m/>
    <m/>
    <m/>
    <m/>
  </r>
  <r>
    <d v="2024-08-22T00:00:00"/>
    <x v="20"/>
    <m/>
    <m/>
    <m/>
    <m/>
    <m/>
    <m/>
    <m/>
    <m/>
    <m/>
    <m/>
    <m/>
    <m/>
    <m/>
    <m/>
    <m/>
    <m/>
    <m/>
    <m/>
    <m/>
    <m/>
  </r>
  <r>
    <d v="2024-08-23T00:00:00"/>
    <x v="20"/>
    <m/>
    <m/>
    <m/>
    <m/>
    <m/>
    <m/>
    <m/>
    <m/>
    <m/>
    <m/>
    <m/>
    <m/>
    <m/>
    <m/>
    <m/>
    <m/>
    <m/>
    <m/>
    <m/>
    <m/>
  </r>
  <r>
    <d v="2024-08-24T00:00:00"/>
    <x v="20"/>
    <m/>
    <m/>
    <m/>
    <m/>
    <m/>
    <m/>
    <m/>
    <m/>
    <m/>
    <m/>
    <m/>
    <m/>
    <m/>
    <m/>
    <m/>
    <m/>
    <m/>
    <m/>
    <m/>
    <m/>
  </r>
  <r>
    <d v="2024-08-25T00:00:00"/>
    <x v="20"/>
    <m/>
    <m/>
    <m/>
    <m/>
    <m/>
    <m/>
    <m/>
    <m/>
    <m/>
    <m/>
    <m/>
    <m/>
    <m/>
    <m/>
    <m/>
    <m/>
    <m/>
    <m/>
    <m/>
    <m/>
  </r>
  <r>
    <d v="2024-08-26T00:00:00"/>
    <x v="20"/>
    <m/>
    <m/>
    <m/>
    <m/>
    <m/>
    <m/>
    <m/>
    <m/>
    <m/>
    <m/>
    <m/>
    <m/>
    <m/>
    <m/>
    <m/>
    <m/>
    <m/>
    <m/>
    <m/>
    <m/>
  </r>
  <r>
    <d v="2024-08-27T00:00:00"/>
    <x v="20"/>
    <m/>
    <m/>
    <m/>
    <m/>
    <m/>
    <m/>
    <m/>
    <m/>
    <m/>
    <m/>
    <m/>
    <m/>
    <m/>
    <m/>
    <m/>
    <m/>
    <m/>
    <m/>
    <m/>
    <m/>
  </r>
  <r>
    <d v="2024-08-28T00:00:00"/>
    <x v="20"/>
    <m/>
    <m/>
    <m/>
    <m/>
    <m/>
    <m/>
    <m/>
    <m/>
    <m/>
    <m/>
    <m/>
    <m/>
    <m/>
    <m/>
    <m/>
    <m/>
    <m/>
    <m/>
    <m/>
    <m/>
  </r>
  <r>
    <d v="2024-08-29T00:00:00"/>
    <x v="20"/>
    <m/>
    <m/>
    <m/>
    <m/>
    <m/>
    <m/>
    <m/>
    <m/>
    <m/>
    <m/>
    <m/>
    <m/>
    <m/>
    <m/>
    <m/>
    <m/>
    <m/>
    <m/>
    <m/>
    <m/>
  </r>
  <r>
    <d v="2024-08-30T00:00:00"/>
    <x v="20"/>
    <m/>
    <m/>
    <m/>
    <m/>
    <m/>
    <m/>
    <m/>
    <m/>
    <m/>
    <m/>
    <m/>
    <m/>
    <m/>
    <m/>
    <m/>
    <m/>
    <m/>
    <m/>
    <m/>
    <m/>
  </r>
  <r>
    <d v="2024-08-31T00:00:00"/>
    <x v="20"/>
    <m/>
    <m/>
    <m/>
    <m/>
    <m/>
    <m/>
    <m/>
    <m/>
    <m/>
    <m/>
    <m/>
    <m/>
    <m/>
    <m/>
    <m/>
    <m/>
    <m/>
    <m/>
    <m/>
    <m/>
  </r>
  <r>
    <d v="2024-09-01T00:00:00"/>
    <x v="20"/>
    <m/>
    <m/>
    <m/>
    <m/>
    <m/>
    <m/>
    <m/>
    <m/>
    <m/>
    <m/>
    <m/>
    <m/>
    <m/>
    <m/>
    <m/>
    <m/>
    <m/>
    <m/>
    <m/>
    <m/>
  </r>
  <r>
    <d v="2024-09-02T00:00:00"/>
    <x v="20"/>
    <m/>
    <m/>
    <m/>
    <m/>
    <m/>
    <m/>
    <m/>
    <m/>
    <m/>
    <m/>
    <m/>
    <m/>
    <m/>
    <m/>
    <m/>
    <m/>
    <m/>
    <m/>
    <m/>
    <m/>
  </r>
  <r>
    <d v="2024-09-03T00:00:00"/>
    <x v="20"/>
    <m/>
    <m/>
    <m/>
    <m/>
    <m/>
    <m/>
    <m/>
    <m/>
    <m/>
    <m/>
    <m/>
    <m/>
    <m/>
    <m/>
    <m/>
    <m/>
    <m/>
    <m/>
    <m/>
    <m/>
  </r>
  <r>
    <d v="2024-09-04T00:00:00"/>
    <x v="20"/>
    <m/>
    <m/>
    <m/>
    <m/>
    <m/>
    <m/>
    <m/>
    <m/>
    <m/>
    <m/>
    <m/>
    <m/>
    <m/>
    <m/>
    <m/>
    <m/>
    <m/>
    <m/>
    <m/>
    <m/>
  </r>
  <r>
    <d v="2024-09-05T00:00:00"/>
    <x v="20"/>
    <m/>
    <m/>
    <m/>
    <m/>
    <m/>
    <m/>
    <m/>
    <m/>
    <m/>
    <m/>
    <m/>
    <m/>
    <m/>
    <m/>
    <m/>
    <m/>
    <m/>
    <m/>
    <m/>
    <m/>
  </r>
  <r>
    <d v="2024-09-06T00:00:00"/>
    <x v="20"/>
    <m/>
    <m/>
    <m/>
    <m/>
    <m/>
    <m/>
    <m/>
    <m/>
    <m/>
    <m/>
    <m/>
    <m/>
    <m/>
    <m/>
    <m/>
    <m/>
    <m/>
    <m/>
    <m/>
    <m/>
  </r>
  <r>
    <d v="2024-09-07T00:00:00"/>
    <x v="20"/>
    <m/>
    <m/>
    <m/>
    <m/>
    <m/>
    <m/>
    <m/>
    <m/>
    <m/>
    <m/>
    <m/>
    <m/>
    <m/>
    <m/>
    <m/>
    <m/>
    <m/>
    <m/>
    <m/>
    <m/>
  </r>
  <r>
    <d v="2024-09-08T00:00:00"/>
    <x v="20"/>
    <m/>
    <m/>
    <m/>
    <m/>
    <m/>
    <m/>
    <m/>
    <m/>
    <m/>
    <m/>
    <m/>
    <m/>
    <m/>
    <m/>
    <m/>
    <m/>
    <m/>
    <m/>
    <m/>
    <m/>
  </r>
  <r>
    <d v="2024-09-09T00:00:00"/>
    <x v="20"/>
    <m/>
    <m/>
    <m/>
    <m/>
    <m/>
    <m/>
    <m/>
    <m/>
    <m/>
    <m/>
    <m/>
    <m/>
    <m/>
    <m/>
    <m/>
    <m/>
    <m/>
    <m/>
    <m/>
    <m/>
  </r>
  <r>
    <d v="2024-09-10T00:00:00"/>
    <x v="20"/>
    <m/>
    <m/>
    <m/>
    <m/>
    <m/>
    <m/>
    <m/>
    <m/>
    <m/>
    <m/>
    <m/>
    <m/>
    <m/>
    <m/>
    <m/>
    <m/>
    <m/>
    <m/>
    <m/>
    <m/>
  </r>
  <r>
    <d v="2024-09-11T00:00:00"/>
    <x v="20"/>
    <m/>
    <m/>
    <m/>
    <m/>
    <m/>
    <m/>
    <m/>
    <m/>
    <m/>
    <m/>
    <m/>
    <m/>
    <m/>
    <m/>
    <m/>
    <m/>
    <m/>
    <m/>
    <m/>
    <m/>
  </r>
  <r>
    <d v="2024-09-12T00:00:00"/>
    <x v="20"/>
    <m/>
    <m/>
    <m/>
    <m/>
    <m/>
    <m/>
    <m/>
    <m/>
    <m/>
    <m/>
    <m/>
    <m/>
    <m/>
    <m/>
    <m/>
    <m/>
    <m/>
    <m/>
    <m/>
    <m/>
  </r>
  <r>
    <d v="2024-09-13T00:00:00"/>
    <x v="20"/>
    <m/>
    <m/>
    <m/>
    <m/>
    <m/>
    <m/>
    <m/>
    <m/>
    <m/>
    <m/>
    <m/>
    <m/>
    <m/>
    <m/>
    <m/>
    <m/>
    <m/>
    <m/>
    <m/>
    <m/>
  </r>
  <r>
    <d v="2024-09-14T00:00:00"/>
    <x v="20"/>
    <m/>
    <m/>
    <m/>
    <m/>
    <m/>
    <m/>
    <m/>
    <m/>
    <m/>
    <m/>
    <m/>
    <m/>
    <m/>
    <m/>
    <m/>
    <m/>
    <m/>
    <m/>
    <m/>
    <m/>
  </r>
  <r>
    <d v="2024-09-15T00:00:00"/>
    <x v="20"/>
    <m/>
    <m/>
    <m/>
    <m/>
    <m/>
    <m/>
    <m/>
    <m/>
    <m/>
    <m/>
    <m/>
    <m/>
    <m/>
    <m/>
    <m/>
    <m/>
    <m/>
    <m/>
    <m/>
    <m/>
  </r>
  <r>
    <d v="2024-09-16T00:00:00"/>
    <x v="20"/>
    <m/>
    <m/>
    <m/>
    <m/>
    <m/>
    <m/>
    <m/>
    <m/>
    <m/>
    <m/>
    <m/>
    <m/>
    <m/>
    <m/>
    <m/>
    <m/>
    <m/>
    <m/>
    <m/>
    <m/>
  </r>
  <r>
    <d v="2024-09-17T00:00:00"/>
    <x v="20"/>
    <m/>
    <m/>
    <m/>
    <m/>
    <m/>
    <m/>
    <m/>
    <m/>
    <m/>
    <m/>
    <m/>
    <m/>
    <m/>
    <m/>
    <m/>
    <m/>
    <m/>
    <m/>
    <m/>
    <m/>
  </r>
  <r>
    <d v="2024-09-18T00:00:00"/>
    <x v="20"/>
    <m/>
    <m/>
    <m/>
    <m/>
    <m/>
    <m/>
    <m/>
    <m/>
    <m/>
    <m/>
    <m/>
    <m/>
    <m/>
    <m/>
    <m/>
    <m/>
    <m/>
    <m/>
    <m/>
    <m/>
  </r>
  <r>
    <d v="2024-09-19T00:00:00"/>
    <x v="20"/>
    <m/>
    <m/>
    <m/>
    <m/>
    <m/>
    <m/>
    <m/>
    <m/>
    <m/>
    <m/>
    <m/>
    <m/>
    <m/>
    <m/>
    <m/>
    <m/>
    <m/>
    <m/>
    <m/>
    <m/>
  </r>
  <r>
    <d v="2024-09-20T00:00:00"/>
    <x v="20"/>
    <m/>
    <m/>
    <m/>
    <m/>
    <m/>
    <m/>
    <m/>
    <m/>
    <m/>
    <m/>
    <m/>
    <m/>
    <m/>
    <m/>
    <m/>
    <m/>
    <m/>
    <m/>
    <m/>
    <m/>
  </r>
  <r>
    <d v="2024-09-21T00:00:00"/>
    <x v="20"/>
    <m/>
    <m/>
    <m/>
    <m/>
    <m/>
    <m/>
    <m/>
    <m/>
    <m/>
    <m/>
    <m/>
    <m/>
    <m/>
    <m/>
    <m/>
    <m/>
    <m/>
    <m/>
    <m/>
    <m/>
  </r>
  <r>
    <d v="2024-09-22T00:00:00"/>
    <x v="20"/>
    <m/>
    <m/>
    <m/>
    <m/>
    <m/>
    <m/>
    <m/>
    <m/>
    <m/>
    <m/>
    <m/>
    <m/>
    <m/>
    <m/>
    <m/>
    <m/>
    <m/>
    <m/>
    <m/>
    <m/>
  </r>
  <r>
    <d v="2024-09-23T00:00:00"/>
    <x v="20"/>
    <m/>
    <m/>
    <m/>
    <m/>
    <m/>
    <m/>
    <m/>
    <m/>
    <m/>
    <m/>
    <m/>
    <m/>
    <m/>
    <m/>
    <m/>
    <m/>
    <m/>
    <m/>
    <m/>
    <m/>
  </r>
  <r>
    <d v="2024-09-24T00:00:00"/>
    <x v="20"/>
    <m/>
    <m/>
    <m/>
    <m/>
    <m/>
    <m/>
    <m/>
    <m/>
    <m/>
    <m/>
    <m/>
    <m/>
    <m/>
    <m/>
    <m/>
    <m/>
    <m/>
    <m/>
    <m/>
    <m/>
  </r>
  <r>
    <d v="2024-09-25T00:00:00"/>
    <x v="20"/>
    <m/>
    <m/>
    <m/>
    <m/>
    <m/>
    <m/>
    <m/>
    <m/>
    <m/>
    <m/>
    <m/>
    <m/>
    <m/>
    <m/>
    <m/>
    <m/>
    <m/>
    <m/>
    <m/>
    <m/>
  </r>
  <r>
    <d v="2024-09-26T00:00:00"/>
    <x v="20"/>
    <m/>
    <m/>
    <m/>
    <m/>
    <m/>
    <m/>
    <m/>
    <m/>
    <m/>
    <m/>
    <m/>
    <m/>
    <m/>
    <m/>
    <m/>
    <m/>
    <m/>
    <m/>
    <m/>
    <m/>
  </r>
  <r>
    <d v="2024-09-27T00:00:00"/>
    <x v="20"/>
    <m/>
    <m/>
    <m/>
    <m/>
    <m/>
    <m/>
    <m/>
    <m/>
    <m/>
    <m/>
    <m/>
    <m/>
    <m/>
    <m/>
    <m/>
    <m/>
    <m/>
    <m/>
    <m/>
    <m/>
  </r>
  <r>
    <d v="2024-09-28T00:00:00"/>
    <x v="20"/>
    <m/>
    <m/>
    <m/>
    <m/>
    <m/>
    <m/>
    <m/>
    <m/>
    <m/>
    <m/>
    <m/>
    <m/>
    <m/>
    <m/>
    <m/>
    <m/>
    <m/>
    <m/>
    <m/>
    <m/>
  </r>
  <r>
    <d v="2024-09-29T00:00:00"/>
    <x v="20"/>
    <m/>
    <m/>
    <m/>
    <m/>
    <m/>
    <m/>
    <m/>
    <m/>
    <m/>
    <m/>
    <m/>
    <m/>
    <m/>
    <m/>
    <m/>
    <m/>
    <m/>
    <m/>
    <m/>
    <m/>
  </r>
  <r>
    <d v="2024-09-30T00:00:00"/>
    <x v="20"/>
    <m/>
    <m/>
    <m/>
    <m/>
    <m/>
    <m/>
    <m/>
    <m/>
    <m/>
    <m/>
    <m/>
    <m/>
    <m/>
    <m/>
    <m/>
    <m/>
    <m/>
    <m/>
    <m/>
    <m/>
  </r>
  <r>
    <d v="2024-10-01T00:00:00"/>
    <x v="20"/>
    <m/>
    <m/>
    <m/>
    <m/>
    <m/>
    <m/>
    <m/>
    <m/>
    <m/>
    <m/>
    <m/>
    <m/>
    <m/>
    <m/>
    <m/>
    <m/>
    <m/>
    <m/>
    <m/>
    <m/>
  </r>
  <r>
    <d v="2024-10-02T00:00:00"/>
    <x v="20"/>
    <m/>
    <m/>
    <m/>
    <m/>
    <m/>
    <m/>
    <m/>
    <m/>
    <m/>
    <m/>
    <m/>
    <m/>
    <m/>
    <m/>
    <m/>
    <m/>
    <m/>
    <m/>
    <m/>
    <m/>
  </r>
  <r>
    <d v="2024-10-03T00:00:00"/>
    <x v="20"/>
    <m/>
    <m/>
    <m/>
    <m/>
    <m/>
    <m/>
    <m/>
    <m/>
    <m/>
    <m/>
    <m/>
    <m/>
    <m/>
    <m/>
    <m/>
    <m/>
    <m/>
    <m/>
    <m/>
    <m/>
  </r>
  <r>
    <d v="2024-10-04T00:00:00"/>
    <x v="20"/>
    <m/>
    <m/>
    <m/>
    <m/>
    <m/>
    <m/>
    <m/>
    <m/>
    <m/>
    <m/>
    <m/>
    <m/>
    <m/>
    <m/>
    <m/>
    <m/>
    <m/>
    <m/>
    <m/>
    <m/>
  </r>
  <r>
    <d v="2024-10-05T00:00:00"/>
    <x v="20"/>
    <m/>
    <m/>
    <m/>
    <m/>
    <m/>
    <m/>
    <m/>
    <m/>
    <m/>
    <m/>
    <m/>
    <m/>
    <m/>
    <m/>
    <m/>
    <m/>
    <m/>
    <m/>
    <m/>
    <m/>
  </r>
  <r>
    <d v="2024-10-06T00:00:00"/>
    <x v="20"/>
    <m/>
    <m/>
    <m/>
    <m/>
    <m/>
    <m/>
    <m/>
    <m/>
    <m/>
    <m/>
    <m/>
    <m/>
    <m/>
    <m/>
    <m/>
    <m/>
    <m/>
    <m/>
    <m/>
    <m/>
  </r>
  <r>
    <d v="2024-10-07T00:00:00"/>
    <x v="20"/>
    <m/>
    <m/>
    <m/>
    <m/>
    <m/>
    <m/>
    <m/>
    <m/>
    <m/>
    <m/>
    <m/>
    <m/>
    <m/>
    <m/>
    <m/>
    <m/>
    <m/>
    <m/>
    <m/>
    <m/>
  </r>
  <r>
    <d v="2024-10-08T00:00:00"/>
    <x v="20"/>
    <m/>
    <m/>
    <m/>
    <m/>
    <m/>
    <m/>
    <m/>
    <m/>
    <m/>
    <m/>
    <m/>
    <m/>
    <m/>
    <m/>
    <m/>
    <m/>
    <m/>
    <m/>
    <m/>
    <m/>
  </r>
  <r>
    <d v="2024-10-09T00:00:00"/>
    <x v="20"/>
    <m/>
    <m/>
    <m/>
    <m/>
    <m/>
    <m/>
    <m/>
    <m/>
    <m/>
    <m/>
    <m/>
    <m/>
    <m/>
    <m/>
    <m/>
    <m/>
    <m/>
    <m/>
    <m/>
    <m/>
  </r>
  <r>
    <d v="2024-10-10T00:00:00"/>
    <x v="20"/>
    <m/>
    <m/>
    <m/>
    <m/>
    <m/>
    <m/>
    <m/>
    <m/>
    <m/>
    <m/>
    <m/>
    <m/>
    <m/>
    <m/>
    <m/>
    <m/>
    <m/>
    <m/>
    <m/>
    <m/>
  </r>
  <r>
    <d v="2024-10-11T00:00:00"/>
    <x v="20"/>
    <m/>
    <m/>
    <m/>
    <m/>
    <m/>
    <m/>
    <m/>
    <m/>
    <m/>
    <m/>
    <m/>
    <m/>
    <m/>
    <m/>
    <m/>
    <m/>
    <m/>
    <m/>
    <m/>
    <m/>
  </r>
  <r>
    <d v="2024-10-12T00:00:00"/>
    <x v="20"/>
    <m/>
    <m/>
    <m/>
    <m/>
    <m/>
    <m/>
    <m/>
    <m/>
    <m/>
    <m/>
    <m/>
    <m/>
    <m/>
    <m/>
    <m/>
    <m/>
    <m/>
    <m/>
    <m/>
    <m/>
  </r>
  <r>
    <d v="2024-10-13T00:00:00"/>
    <x v="20"/>
    <m/>
    <m/>
    <m/>
    <m/>
    <m/>
    <m/>
    <m/>
    <m/>
    <m/>
    <m/>
    <m/>
    <m/>
    <m/>
    <m/>
    <m/>
    <m/>
    <m/>
    <m/>
    <m/>
    <m/>
  </r>
  <r>
    <d v="2024-10-14T00:00:00"/>
    <x v="20"/>
    <m/>
    <m/>
    <m/>
    <m/>
    <m/>
    <m/>
    <m/>
    <m/>
    <m/>
    <m/>
    <m/>
    <m/>
    <m/>
    <m/>
    <m/>
    <m/>
    <m/>
    <m/>
    <m/>
    <m/>
  </r>
  <r>
    <d v="2024-10-15T00:00:00"/>
    <x v="20"/>
    <m/>
    <m/>
    <m/>
    <m/>
    <m/>
    <m/>
    <m/>
    <m/>
    <m/>
    <m/>
    <m/>
    <m/>
    <m/>
    <m/>
    <m/>
    <m/>
    <m/>
    <m/>
    <m/>
    <m/>
  </r>
  <r>
    <d v="2024-10-16T00:00:00"/>
    <x v="20"/>
    <m/>
    <m/>
    <m/>
    <m/>
    <m/>
    <m/>
    <m/>
    <m/>
    <m/>
    <m/>
    <m/>
    <m/>
    <m/>
    <m/>
    <m/>
    <m/>
    <m/>
    <m/>
    <m/>
    <m/>
  </r>
  <r>
    <d v="2024-10-17T00:00:00"/>
    <x v="20"/>
    <m/>
    <m/>
    <m/>
    <m/>
    <m/>
    <m/>
    <m/>
    <m/>
    <m/>
    <m/>
    <m/>
    <m/>
    <m/>
    <m/>
    <m/>
    <m/>
    <m/>
    <m/>
    <m/>
    <m/>
  </r>
  <r>
    <d v="2024-10-18T00:00:00"/>
    <x v="20"/>
    <m/>
    <m/>
    <m/>
    <m/>
    <m/>
    <m/>
    <m/>
    <m/>
    <m/>
    <m/>
    <m/>
    <m/>
    <m/>
    <m/>
    <m/>
    <m/>
    <m/>
    <m/>
    <m/>
    <m/>
  </r>
  <r>
    <d v="2024-10-19T00:00:00"/>
    <x v="20"/>
    <m/>
    <m/>
    <m/>
    <m/>
    <m/>
    <m/>
    <m/>
    <m/>
    <m/>
    <m/>
    <m/>
    <m/>
    <m/>
    <m/>
    <m/>
    <m/>
    <m/>
    <m/>
    <m/>
    <m/>
  </r>
  <r>
    <d v="2024-10-20T00:00:00"/>
    <x v="20"/>
    <m/>
    <m/>
    <m/>
    <m/>
    <m/>
    <m/>
    <m/>
    <m/>
    <m/>
    <m/>
    <m/>
    <m/>
    <m/>
    <m/>
    <m/>
    <m/>
    <m/>
    <m/>
    <m/>
    <m/>
  </r>
  <r>
    <d v="2024-10-21T00:00:00"/>
    <x v="20"/>
    <m/>
    <m/>
    <m/>
    <m/>
    <m/>
    <m/>
    <m/>
    <m/>
    <m/>
    <m/>
    <m/>
    <m/>
    <m/>
    <m/>
    <m/>
    <m/>
    <m/>
    <m/>
    <m/>
    <m/>
  </r>
  <r>
    <d v="2024-10-22T00:00:00"/>
    <x v="20"/>
    <m/>
    <m/>
    <m/>
    <m/>
    <m/>
    <m/>
    <m/>
    <m/>
    <m/>
    <m/>
    <m/>
    <m/>
    <m/>
    <m/>
    <m/>
    <m/>
    <m/>
    <m/>
    <m/>
    <m/>
  </r>
  <r>
    <d v="2024-10-23T00:00:00"/>
    <x v="20"/>
    <m/>
    <m/>
    <m/>
    <m/>
    <m/>
    <m/>
    <m/>
    <m/>
    <m/>
    <m/>
    <m/>
    <m/>
    <m/>
    <m/>
    <m/>
    <m/>
    <m/>
    <m/>
    <m/>
    <m/>
  </r>
  <r>
    <d v="2024-10-24T00:00:00"/>
    <x v="20"/>
    <m/>
    <m/>
    <m/>
    <m/>
    <m/>
    <m/>
    <m/>
    <m/>
    <m/>
    <m/>
    <m/>
    <m/>
    <m/>
    <m/>
    <m/>
    <m/>
    <m/>
    <m/>
    <m/>
    <m/>
  </r>
  <r>
    <d v="2024-10-25T00:00:00"/>
    <x v="20"/>
    <m/>
    <m/>
    <m/>
    <m/>
    <m/>
    <m/>
    <m/>
    <m/>
    <m/>
    <m/>
    <m/>
    <m/>
    <m/>
    <m/>
    <m/>
    <m/>
    <m/>
    <m/>
    <m/>
    <m/>
  </r>
  <r>
    <d v="2024-10-26T00:00:00"/>
    <x v="20"/>
    <m/>
    <m/>
    <m/>
    <m/>
    <m/>
    <m/>
    <m/>
    <m/>
    <m/>
    <m/>
    <m/>
    <m/>
    <m/>
    <m/>
    <m/>
    <m/>
    <m/>
    <m/>
    <m/>
    <m/>
  </r>
  <r>
    <d v="2024-10-27T00:00:00"/>
    <x v="20"/>
    <m/>
    <m/>
    <m/>
    <m/>
    <m/>
    <m/>
    <m/>
    <m/>
    <m/>
    <m/>
    <m/>
    <m/>
    <m/>
    <m/>
    <m/>
    <m/>
    <m/>
    <m/>
    <m/>
    <m/>
  </r>
  <r>
    <d v="2024-10-28T00:00:00"/>
    <x v="20"/>
    <m/>
    <m/>
    <m/>
    <m/>
    <m/>
    <m/>
    <m/>
    <m/>
    <m/>
    <m/>
    <m/>
    <m/>
    <m/>
    <m/>
    <m/>
    <m/>
    <m/>
    <m/>
    <m/>
    <m/>
  </r>
  <r>
    <d v="2024-10-29T00:00:00"/>
    <x v="20"/>
    <m/>
    <m/>
    <m/>
    <m/>
    <m/>
    <m/>
    <m/>
    <m/>
    <m/>
    <m/>
    <m/>
    <m/>
    <m/>
    <m/>
    <m/>
    <m/>
    <m/>
    <m/>
    <m/>
    <m/>
  </r>
  <r>
    <d v="2024-10-30T00:00:00"/>
    <x v="20"/>
    <m/>
    <m/>
    <m/>
    <m/>
    <m/>
    <m/>
    <m/>
    <m/>
    <m/>
    <m/>
    <m/>
    <m/>
    <m/>
    <m/>
    <m/>
    <m/>
    <m/>
    <m/>
    <m/>
    <m/>
  </r>
  <r>
    <d v="2024-10-31T00:00:00"/>
    <x v="20"/>
    <m/>
    <m/>
    <m/>
    <m/>
    <m/>
    <m/>
    <m/>
    <m/>
    <m/>
    <m/>
    <m/>
    <m/>
    <m/>
    <m/>
    <m/>
    <m/>
    <m/>
    <m/>
    <m/>
    <m/>
  </r>
  <r>
    <d v="2024-11-01T00:00:00"/>
    <x v="20"/>
    <m/>
    <m/>
    <m/>
    <m/>
    <m/>
    <m/>
    <m/>
    <m/>
    <m/>
    <m/>
    <m/>
    <m/>
    <m/>
    <m/>
    <m/>
    <m/>
    <m/>
    <m/>
    <m/>
    <m/>
  </r>
  <r>
    <d v="2024-11-02T00:00:00"/>
    <x v="20"/>
    <m/>
    <m/>
    <m/>
    <m/>
    <m/>
    <m/>
    <m/>
    <m/>
    <m/>
    <m/>
    <m/>
    <m/>
    <m/>
    <m/>
    <m/>
    <m/>
    <m/>
    <m/>
    <m/>
    <m/>
  </r>
  <r>
    <d v="2024-11-03T00:00:00"/>
    <x v="20"/>
    <m/>
    <m/>
    <m/>
    <m/>
    <m/>
    <m/>
    <m/>
    <m/>
    <m/>
    <m/>
    <m/>
    <m/>
    <m/>
    <m/>
    <m/>
    <m/>
    <m/>
    <m/>
    <m/>
    <m/>
  </r>
  <r>
    <d v="2024-11-04T00:00:00"/>
    <x v="20"/>
    <m/>
    <m/>
    <m/>
    <m/>
    <m/>
    <m/>
    <m/>
    <m/>
    <m/>
    <m/>
    <m/>
    <m/>
    <m/>
    <m/>
    <m/>
    <m/>
    <m/>
    <m/>
    <m/>
    <m/>
  </r>
  <r>
    <d v="2024-11-05T00:00:00"/>
    <x v="20"/>
    <m/>
    <m/>
    <m/>
    <m/>
    <m/>
    <m/>
    <m/>
    <m/>
    <m/>
    <m/>
    <m/>
    <m/>
    <m/>
    <m/>
    <m/>
    <m/>
    <m/>
    <m/>
    <m/>
    <m/>
  </r>
  <r>
    <d v="2024-11-06T00:00:00"/>
    <x v="20"/>
    <m/>
    <m/>
    <m/>
    <m/>
    <m/>
    <m/>
    <m/>
    <m/>
    <m/>
    <m/>
    <m/>
    <m/>
    <m/>
    <m/>
    <m/>
    <m/>
    <m/>
    <m/>
    <m/>
    <m/>
  </r>
  <r>
    <d v="2024-11-07T00:00:00"/>
    <x v="20"/>
    <m/>
    <m/>
    <m/>
    <m/>
    <m/>
    <m/>
    <m/>
    <m/>
    <m/>
    <m/>
    <m/>
    <m/>
    <m/>
    <m/>
    <m/>
    <m/>
    <m/>
    <m/>
    <m/>
    <m/>
  </r>
  <r>
    <d v="2024-11-08T00:00:00"/>
    <x v="20"/>
    <m/>
    <m/>
    <m/>
    <m/>
    <m/>
    <m/>
    <m/>
    <m/>
    <m/>
    <m/>
    <m/>
    <m/>
    <m/>
    <m/>
    <m/>
    <m/>
    <m/>
    <m/>
    <m/>
    <m/>
  </r>
  <r>
    <d v="2024-11-09T00:00:00"/>
    <x v="20"/>
    <m/>
    <m/>
    <m/>
    <m/>
    <m/>
    <m/>
    <m/>
    <m/>
    <m/>
    <m/>
    <m/>
    <m/>
    <m/>
    <m/>
    <m/>
    <m/>
    <m/>
    <m/>
    <m/>
    <m/>
  </r>
  <r>
    <d v="2024-11-10T00:00:00"/>
    <x v="20"/>
    <m/>
    <m/>
    <m/>
    <m/>
    <m/>
    <m/>
    <m/>
    <m/>
    <m/>
    <m/>
    <m/>
    <m/>
    <m/>
    <m/>
    <m/>
    <m/>
    <m/>
    <m/>
    <m/>
    <m/>
  </r>
  <r>
    <d v="2024-11-11T00:00:00"/>
    <x v="20"/>
    <m/>
    <m/>
    <m/>
    <m/>
    <m/>
    <m/>
    <m/>
    <m/>
    <m/>
    <m/>
    <m/>
    <m/>
    <m/>
    <m/>
    <m/>
    <m/>
    <m/>
    <m/>
    <m/>
    <m/>
  </r>
  <r>
    <d v="2024-11-12T00:00:00"/>
    <x v="20"/>
    <m/>
    <m/>
    <m/>
    <m/>
    <m/>
    <m/>
    <m/>
    <m/>
    <m/>
    <m/>
    <m/>
    <m/>
    <m/>
    <m/>
    <m/>
    <m/>
    <m/>
    <m/>
    <m/>
    <m/>
  </r>
  <r>
    <d v="2024-11-13T00:00:00"/>
    <x v="20"/>
    <m/>
    <m/>
    <m/>
    <m/>
    <m/>
    <m/>
    <m/>
    <m/>
    <m/>
    <m/>
    <m/>
    <m/>
    <m/>
    <m/>
    <m/>
    <m/>
    <m/>
    <m/>
    <m/>
    <m/>
  </r>
  <r>
    <d v="2024-11-14T00:00:00"/>
    <x v="20"/>
    <m/>
    <m/>
    <m/>
    <m/>
    <m/>
    <m/>
    <m/>
    <m/>
    <m/>
    <m/>
    <m/>
    <m/>
    <m/>
    <m/>
    <m/>
    <m/>
    <m/>
    <m/>
    <m/>
    <m/>
  </r>
  <r>
    <d v="2024-11-15T00:00:00"/>
    <x v="20"/>
    <m/>
    <m/>
    <m/>
    <m/>
    <m/>
    <m/>
    <m/>
    <m/>
    <m/>
    <m/>
    <m/>
    <m/>
    <m/>
    <m/>
    <m/>
    <m/>
    <m/>
    <m/>
    <m/>
    <m/>
  </r>
  <r>
    <d v="2024-11-16T00:00:00"/>
    <x v="20"/>
    <m/>
    <m/>
    <m/>
    <m/>
    <m/>
    <m/>
    <m/>
    <m/>
    <m/>
    <m/>
    <m/>
    <m/>
    <m/>
    <m/>
    <m/>
    <m/>
    <m/>
    <m/>
    <m/>
    <m/>
  </r>
  <r>
    <d v="2024-11-17T00:00:00"/>
    <x v="20"/>
    <m/>
    <m/>
    <m/>
    <m/>
    <m/>
    <m/>
    <m/>
    <m/>
    <m/>
    <m/>
    <m/>
    <m/>
    <m/>
    <m/>
    <m/>
    <m/>
    <m/>
    <m/>
    <m/>
    <m/>
  </r>
  <r>
    <d v="2024-11-18T00:00:00"/>
    <x v="20"/>
    <m/>
    <m/>
    <m/>
    <m/>
    <m/>
    <m/>
    <m/>
    <m/>
    <m/>
    <m/>
    <m/>
    <m/>
    <m/>
    <m/>
    <m/>
    <m/>
    <m/>
    <m/>
    <m/>
    <m/>
  </r>
  <r>
    <d v="2024-11-19T00:00:00"/>
    <x v="20"/>
    <m/>
    <m/>
    <m/>
    <m/>
    <m/>
    <m/>
    <m/>
    <m/>
    <m/>
    <m/>
    <m/>
    <m/>
    <m/>
    <m/>
    <m/>
    <m/>
    <m/>
    <m/>
    <m/>
    <m/>
  </r>
  <r>
    <d v="2024-11-20T00:00:00"/>
    <x v="20"/>
    <m/>
    <m/>
    <m/>
    <m/>
    <m/>
    <m/>
    <m/>
    <m/>
    <m/>
    <m/>
    <m/>
    <m/>
    <m/>
    <m/>
    <m/>
    <m/>
    <m/>
    <m/>
    <m/>
    <m/>
  </r>
  <r>
    <d v="2024-11-21T00:00:00"/>
    <x v="20"/>
    <m/>
    <m/>
    <m/>
    <m/>
    <m/>
    <m/>
    <m/>
    <m/>
    <m/>
    <m/>
    <m/>
    <m/>
    <m/>
    <m/>
    <m/>
    <m/>
    <m/>
    <m/>
    <m/>
    <m/>
  </r>
  <r>
    <d v="2024-11-22T00:00:00"/>
    <x v="20"/>
    <m/>
    <m/>
    <m/>
    <m/>
    <m/>
    <m/>
    <m/>
    <m/>
    <m/>
    <m/>
    <m/>
    <m/>
    <m/>
    <m/>
    <m/>
    <m/>
    <m/>
    <m/>
    <m/>
    <m/>
  </r>
  <r>
    <d v="2024-11-23T00:00:00"/>
    <x v="20"/>
    <m/>
    <m/>
    <m/>
    <m/>
    <m/>
    <m/>
    <m/>
    <m/>
    <m/>
    <m/>
    <m/>
    <m/>
    <m/>
    <m/>
    <m/>
    <m/>
    <m/>
    <m/>
    <m/>
    <m/>
  </r>
  <r>
    <d v="2024-11-24T00:00:00"/>
    <x v="20"/>
    <m/>
    <m/>
    <m/>
    <m/>
    <m/>
    <m/>
    <m/>
    <m/>
    <m/>
    <m/>
    <m/>
    <m/>
    <m/>
    <m/>
    <m/>
    <m/>
    <m/>
    <m/>
    <m/>
    <m/>
  </r>
  <r>
    <d v="2024-11-25T00:00:00"/>
    <x v="20"/>
    <m/>
    <m/>
    <m/>
    <m/>
    <m/>
    <m/>
    <m/>
    <m/>
    <m/>
    <m/>
    <m/>
    <m/>
    <m/>
    <m/>
    <m/>
    <m/>
    <m/>
    <m/>
    <m/>
    <m/>
  </r>
  <r>
    <d v="2024-11-26T00:00:00"/>
    <x v="20"/>
    <m/>
    <m/>
    <m/>
    <m/>
    <m/>
    <m/>
    <m/>
    <m/>
    <m/>
    <m/>
    <m/>
    <m/>
    <m/>
    <m/>
    <m/>
    <m/>
    <m/>
    <m/>
    <m/>
    <m/>
  </r>
  <r>
    <d v="2024-11-27T00:00:00"/>
    <x v="20"/>
    <m/>
    <m/>
    <m/>
    <m/>
    <m/>
    <m/>
    <m/>
    <m/>
    <m/>
    <m/>
    <m/>
    <m/>
    <m/>
    <m/>
    <m/>
    <m/>
    <m/>
    <m/>
    <m/>
    <m/>
  </r>
  <r>
    <d v="2024-11-28T00:00:00"/>
    <x v="20"/>
    <m/>
    <m/>
    <m/>
    <m/>
    <m/>
    <m/>
    <m/>
    <m/>
    <m/>
    <m/>
    <m/>
    <m/>
    <m/>
    <m/>
    <m/>
    <m/>
    <m/>
    <m/>
    <m/>
    <m/>
  </r>
  <r>
    <d v="2024-11-29T00:00:00"/>
    <x v="20"/>
    <m/>
    <m/>
    <m/>
    <m/>
    <m/>
    <m/>
    <m/>
    <m/>
    <m/>
    <m/>
    <m/>
    <m/>
    <m/>
    <m/>
    <m/>
    <m/>
    <m/>
    <m/>
    <m/>
    <m/>
  </r>
  <r>
    <d v="2024-11-30T00:00:00"/>
    <x v="20"/>
    <m/>
    <m/>
    <m/>
    <m/>
    <m/>
    <m/>
    <m/>
    <m/>
    <m/>
    <m/>
    <m/>
    <m/>
    <m/>
    <m/>
    <m/>
    <m/>
    <m/>
    <m/>
    <m/>
    <m/>
  </r>
  <r>
    <d v="2024-12-01T00:00:00"/>
    <x v="20"/>
    <m/>
    <m/>
    <m/>
    <m/>
    <m/>
    <m/>
    <m/>
    <m/>
    <m/>
    <m/>
    <m/>
    <m/>
    <m/>
    <m/>
    <m/>
    <m/>
    <m/>
    <m/>
    <m/>
    <m/>
  </r>
  <r>
    <d v="2024-12-02T00:00:00"/>
    <x v="20"/>
    <m/>
    <m/>
    <m/>
    <m/>
    <m/>
    <m/>
    <m/>
    <m/>
    <m/>
    <m/>
    <m/>
    <m/>
    <m/>
    <m/>
    <m/>
    <m/>
    <m/>
    <m/>
    <m/>
    <m/>
  </r>
  <r>
    <d v="2024-12-03T00:00:00"/>
    <x v="20"/>
    <m/>
    <m/>
    <m/>
    <m/>
    <m/>
    <m/>
    <m/>
    <m/>
    <m/>
    <m/>
    <m/>
    <m/>
    <m/>
    <m/>
    <m/>
    <m/>
    <m/>
    <m/>
    <m/>
    <m/>
  </r>
  <r>
    <d v="2024-12-04T00:00:00"/>
    <x v="20"/>
    <m/>
    <m/>
    <m/>
    <m/>
    <m/>
    <m/>
    <m/>
    <m/>
    <m/>
    <m/>
    <m/>
    <m/>
    <m/>
    <m/>
    <m/>
    <m/>
    <m/>
    <m/>
    <m/>
    <m/>
  </r>
  <r>
    <d v="2024-12-05T00:00:00"/>
    <x v="20"/>
    <m/>
    <m/>
    <m/>
    <m/>
    <m/>
    <m/>
    <m/>
    <m/>
    <m/>
    <m/>
    <m/>
    <m/>
    <m/>
    <m/>
    <m/>
    <m/>
    <m/>
    <m/>
    <m/>
    <m/>
  </r>
  <r>
    <d v="2024-12-06T00:00:00"/>
    <x v="20"/>
    <m/>
    <m/>
    <m/>
    <m/>
    <m/>
    <m/>
    <m/>
    <m/>
    <m/>
    <m/>
    <m/>
    <m/>
    <m/>
    <m/>
    <m/>
    <m/>
    <m/>
    <m/>
    <m/>
    <m/>
  </r>
  <r>
    <d v="2024-12-07T00:00:00"/>
    <x v="20"/>
    <m/>
    <m/>
    <m/>
    <m/>
    <m/>
    <m/>
    <m/>
    <m/>
    <m/>
    <m/>
    <m/>
    <m/>
    <m/>
    <m/>
    <m/>
    <m/>
    <m/>
    <m/>
    <m/>
    <m/>
  </r>
  <r>
    <d v="2024-12-08T00:00:00"/>
    <x v="20"/>
    <m/>
    <m/>
    <m/>
    <m/>
    <m/>
    <m/>
    <m/>
    <m/>
    <m/>
    <m/>
    <m/>
    <m/>
    <m/>
    <m/>
    <m/>
    <m/>
    <m/>
    <m/>
    <m/>
    <m/>
  </r>
  <r>
    <d v="2024-12-09T00:00:00"/>
    <x v="20"/>
    <m/>
    <m/>
    <m/>
    <m/>
    <m/>
    <m/>
    <m/>
    <m/>
    <m/>
    <m/>
    <m/>
    <m/>
    <m/>
    <m/>
    <m/>
    <m/>
    <m/>
    <m/>
    <m/>
    <m/>
  </r>
  <r>
    <d v="2024-12-10T00:00:00"/>
    <x v="20"/>
    <m/>
    <m/>
    <m/>
    <m/>
    <m/>
    <m/>
    <m/>
    <m/>
    <m/>
    <m/>
    <m/>
    <m/>
    <m/>
    <m/>
    <m/>
    <m/>
    <m/>
    <m/>
    <m/>
    <m/>
  </r>
  <r>
    <d v="2024-12-11T00:00:00"/>
    <x v="20"/>
    <m/>
    <m/>
    <m/>
    <m/>
    <m/>
    <m/>
    <m/>
    <m/>
    <m/>
    <m/>
    <m/>
    <m/>
    <m/>
    <m/>
    <m/>
    <m/>
    <m/>
    <m/>
    <m/>
    <m/>
  </r>
  <r>
    <d v="2024-12-12T00:00:00"/>
    <x v="20"/>
    <m/>
    <m/>
    <m/>
    <m/>
    <m/>
    <m/>
    <m/>
    <m/>
    <m/>
    <m/>
    <m/>
    <m/>
    <m/>
    <m/>
    <m/>
    <m/>
    <m/>
    <m/>
    <m/>
    <m/>
  </r>
  <r>
    <d v="2024-12-13T00:00:00"/>
    <x v="20"/>
    <m/>
    <m/>
    <m/>
    <m/>
    <m/>
    <m/>
    <m/>
    <m/>
    <m/>
    <m/>
    <m/>
    <m/>
    <m/>
    <m/>
    <m/>
    <m/>
    <m/>
    <m/>
    <m/>
    <m/>
  </r>
  <r>
    <d v="2024-12-14T00:00:00"/>
    <x v="20"/>
    <m/>
    <m/>
    <m/>
    <m/>
    <m/>
    <m/>
    <m/>
    <m/>
    <m/>
    <m/>
    <m/>
    <m/>
    <m/>
    <m/>
    <m/>
    <m/>
    <m/>
    <m/>
    <m/>
    <m/>
  </r>
  <r>
    <d v="2024-12-15T00:00:00"/>
    <x v="20"/>
    <m/>
    <m/>
    <m/>
    <m/>
    <m/>
    <m/>
    <m/>
    <m/>
    <m/>
    <m/>
    <m/>
    <m/>
    <m/>
    <m/>
    <m/>
    <m/>
    <m/>
    <m/>
    <m/>
    <m/>
  </r>
  <r>
    <d v="2024-12-16T00:00:00"/>
    <x v="20"/>
    <m/>
    <m/>
    <m/>
    <m/>
    <m/>
    <m/>
    <m/>
    <m/>
    <m/>
    <m/>
    <m/>
    <m/>
    <m/>
    <m/>
    <m/>
    <m/>
    <m/>
    <m/>
    <m/>
    <m/>
  </r>
  <r>
    <d v="2024-12-17T00:00:00"/>
    <x v="20"/>
    <m/>
    <m/>
    <m/>
    <m/>
    <m/>
    <m/>
    <m/>
    <m/>
    <m/>
    <m/>
    <m/>
    <m/>
    <m/>
    <m/>
    <m/>
    <m/>
    <m/>
    <m/>
    <m/>
    <m/>
  </r>
  <r>
    <d v="2024-12-18T00:00:00"/>
    <x v="20"/>
    <m/>
    <m/>
    <m/>
    <m/>
    <m/>
    <m/>
    <m/>
    <m/>
    <m/>
    <m/>
    <m/>
    <m/>
    <m/>
    <m/>
    <m/>
    <m/>
    <m/>
    <m/>
    <m/>
    <m/>
  </r>
  <r>
    <d v="2024-12-19T00:00:00"/>
    <x v="20"/>
    <m/>
    <m/>
    <m/>
    <m/>
    <m/>
    <m/>
    <m/>
    <m/>
    <m/>
    <m/>
    <m/>
    <m/>
    <m/>
    <m/>
    <m/>
    <m/>
    <m/>
    <m/>
    <m/>
    <m/>
  </r>
  <r>
    <d v="2024-12-20T00:00:00"/>
    <x v="20"/>
    <m/>
    <m/>
    <m/>
    <m/>
    <m/>
    <m/>
    <m/>
    <m/>
    <m/>
    <m/>
    <m/>
    <m/>
    <m/>
    <m/>
    <m/>
    <m/>
    <m/>
    <m/>
    <m/>
    <m/>
  </r>
  <r>
    <d v="2024-12-21T00:00:00"/>
    <x v="20"/>
    <m/>
    <m/>
    <m/>
    <m/>
    <m/>
    <m/>
    <m/>
    <m/>
    <m/>
    <m/>
    <m/>
    <m/>
    <m/>
    <m/>
    <m/>
    <m/>
    <m/>
    <m/>
    <m/>
    <m/>
  </r>
  <r>
    <d v="2024-12-22T00:00:00"/>
    <x v="20"/>
    <m/>
    <m/>
    <m/>
    <m/>
    <m/>
    <m/>
    <m/>
    <m/>
    <m/>
    <m/>
    <m/>
    <m/>
    <m/>
    <m/>
    <m/>
    <m/>
    <m/>
    <m/>
    <m/>
    <m/>
  </r>
  <r>
    <d v="2024-12-23T00:00:00"/>
    <x v="20"/>
    <m/>
    <m/>
    <m/>
    <m/>
    <m/>
    <m/>
    <m/>
    <m/>
    <m/>
    <m/>
    <m/>
    <m/>
    <m/>
    <m/>
    <m/>
    <m/>
    <m/>
    <m/>
    <m/>
    <m/>
  </r>
  <r>
    <d v="2024-12-24T00:00:00"/>
    <x v="20"/>
    <m/>
    <m/>
    <m/>
    <m/>
    <m/>
    <m/>
    <m/>
    <m/>
    <m/>
    <m/>
    <m/>
    <m/>
    <m/>
    <m/>
    <m/>
    <m/>
    <m/>
    <m/>
    <m/>
    <m/>
  </r>
  <r>
    <d v="2024-12-25T00:00:00"/>
    <x v="20"/>
    <m/>
    <m/>
    <m/>
    <m/>
    <m/>
    <m/>
    <m/>
    <m/>
    <m/>
    <m/>
    <m/>
    <m/>
    <m/>
    <m/>
    <m/>
    <m/>
    <m/>
    <m/>
    <m/>
    <m/>
  </r>
  <r>
    <d v="2024-12-26T00:00:00"/>
    <x v="20"/>
    <m/>
    <m/>
    <m/>
    <m/>
    <m/>
    <m/>
    <m/>
    <m/>
    <m/>
    <m/>
    <m/>
    <m/>
    <m/>
    <m/>
    <m/>
    <m/>
    <m/>
    <m/>
    <m/>
    <m/>
  </r>
  <r>
    <d v="2024-12-27T00:00:00"/>
    <x v="20"/>
    <m/>
    <m/>
    <m/>
    <m/>
    <m/>
    <m/>
    <m/>
    <m/>
    <m/>
    <m/>
    <m/>
    <m/>
    <m/>
    <m/>
    <m/>
    <m/>
    <m/>
    <m/>
    <m/>
    <m/>
  </r>
  <r>
    <d v="2024-12-28T00:00:00"/>
    <x v="20"/>
    <m/>
    <m/>
    <m/>
    <m/>
    <m/>
    <m/>
    <m/>
    <m/>
    <m/>
    <m/>
    <m/>
    <m/>
    <m/>
    <m/>
    <m/>
    <m/>
    <m/>
    <m/>
    <m/>
    <m/>
  </r>
  <r>
    <d v="2024-12-29T00:00:00"/>
    <x v="20"/>
    <m/>
    <m/>
    <m/>
    <m/>
    <m/>
    <m/>
    <m/>
    <m/>
    <m/>
    <m/>
    <m/>
    <m/>
    <m/>
    <m/>
    <m/>
    <m/>
    <m/>
    <m/>
    <m/>
    <m/>
  </r>
  <r>
    <d v="2024-12-30T00:00:00"/>
    <x v="20"/>
    <m/>
    <m/>
    <m/>
    <m/>
    <m/>
    <m/>
    <m/>
    <m/>
    <m/>
    <m/>
    <m/>
    <m/>
    <m/>
    <m/>
    <m/>
    <m/>
    <m/>
    <m/>
    <m/>
    <m/>
  </r>
  <r>
    <d v="2024-12-31T00:00:00"/>
    <x v="20"/>
    <m/>
    <m/>
    <m/>
    <m/>
    <m/>
    <m/>
    <m/>
    <m/>
    <m/>
    <m/>
    <m/>
    <m/>
    <m/>
    <m/>
    <m/>
    <m/>
    <m/>
    <m/>
    <m/>
    <m/>
  </r>
  <r>
    <d v="2025-01-01T00:00:00"/>
    <x v="20"/>
    <m/>
    <m/>
    <m/>
    <m/>
    <m/>
    <m/>
    <m/>
    <m/>
    <m/>
    <m/>
    <m/>
    <m/>
    <m/>
    <m/>
    <m/>
    <m/>
    <m/>
    <m/>
    <m/>
    <m/>
  </r>
  <r>
    <d v="2025-01-02T00:00:00"/>
    <x v="20"/>
    <m/>
    <m/>
    <m/>
    <m/>
    <m/>
    <m/>
    <m/>
    <m/>
    <m/>
    <m/>
    <m/>
    <m/>
    <m/>
    <m/>
    <m/>
    <m/>
    <m/>
    <m/>
    <m/>
    <m/>
  </r>
  <r>
    <d v="2025-01-03T00:00:00"/>
    <x v="20"/>
    <m/>
    <m/>
    <m/>
    <m/>
    <m/>
    <m/>
    <m/>
    <m/>
    <m/>
    <m/>
    <m/>
    <m/>
    <m/>
    <m/>
    <m/>
    <m/>
    <m/>
    <m/>
    <m/>
    <m/>
  </r>
  <r>
    <d v="2025-01-04T00:00:00"/>
    <x v="20"/>
    <m/>
    <m/>
    <m/>
    <m/>
    <m/>
    <m/>
    <m/>
    <m/>
    <m/>
    <m/>
    <m/>
    <m/>
    <m/>
    <m/>
    <m/>
    <m/>
    <m/>
    <m/>
    <m/>
    <m/>
  </r>
  <r>
    <d v="2025-01-05T00:00:00"/>
    <x v="20"/>
    <m/>
    <m/>
    <m/>
    <m/>
    <m/>
    <m/>
    <m/>
    <m/>
    <m/>
    <m/>
    <m/>
    <m/>
    <m/>
    <m/>
    <m/>
    <m/>
    <m/>
    <m/>
    <m/>
    <m/>
  </r>
  <r>
    <d v="2025-01-06T00:00:00"/>
    <x v="20"/>
    <m/>
    <m/>
    <m/>
    <m/>
    <m/>
    <m/>
    <m/>
    <m/>
    <m/>
    <m/>
    <m/>
    <m/>
    <m/>
    <m/>
    <m/>
    <m/>
    <m/>
    <m/>
    <m/>
    <m/>
  </r>
  <r>
    <d v="2025-01-07T00:00:00"/>
    <x v="20"/>
    <m/>
    <m/>
    <m/>
    <m/>
    <m/>
    <m/>
    <m/>
    <m/>
    <m/>
    <m/>
    <m/>
    <m/>
    <m/>
    <m/>
    <m/>
    <m/>
    <m/>
    <m/>
    <m/>
    <m/>
  </r>
  <r>
    <d v="2025-01-08T00:00:00"/>
    <x v="20"/>
    <m/>
    <m/>
    <m/>
    <m/>
    <m/>
    <m/>
    <m/>
    <m/>
    <m/>
    <m/>
    <m/>
    <m/>
    <m/>
    <m/>
    <m/>
    <m/>
    <m/>
    <m/>
    <m/>
    <m/>
  </r>
  <r>
    <d v="2025-01-09T00:00:00"/>
    <x v="20"/>
    <m/>
    <m/>
    <m/>
    <m/>
    <m/>
    <m/>
    <m/>
    <m/>
    <m/>
    <m/>
    <m/>
    <m/>
    <m/>
    <m/>
    <m/>
    <m/>
    <m/>
    <m/>
    <m/>
    <m/>
  </r>
  <r>
    <d v="2025-01-10T00:00:00"/>
    <x v="20"/>
    <m/>
    <m/>
    <m/>
    <m/>
    <m/>
    <m/>
    <m/>
    <m/>
    <m/>
    <m/>
    <m/>
    <m/>
    <m/>
    <m/>
    <m/>
    <m/>
    <m/>
    <m/>
    <m/>
    <m/>
  </r>
  <r>
    <d v="2025-01-11T00:00:00"/>
    <x v="20"/>
    <m/>
    <m/>
    <m/>
    <m/>
    <m/>
    <m/>
    <m/>
    <m/>
    <m/>
    <m/>
    <m/>
    <m/>
    <m/>
    <m/>
    <m/>
    <m/>
    <m/>
    <m/>
    <m/>
    <m/>
  </r>
  <r>
    <d v="2025-01-12T00:00:00"/>
    <x v="20"/>
    <m/>
    <m/>
    <m/>
    <m/>
    <m/>
    <m/>
    <m/>
    <m/>
    <m/>
    <m/>
    <m/>
    <m/>
    <m/>
    <m/>
    <m/>
    <m/>
    <m/>
    <m/>
    <m/>
    <m/>
  </r>
  <r>
    <d v="2025-01-13T00:00:00"/>
    <x v="20"/>
    <m/>
    <m/>
    <m/>
    <m/>
    <m/>
    <m/>
    <m/>
    <m/>
    <m/>
    <m/>
    <m/>
    <m/>
    <m/>
    <m/>
    <m/>
    <m/>
    <m/>
    <m/>
    <m/>
    <m/>
  </r>
  <r>
    <d v="2025-01-14T00:00:00"/>
    <x v="20"/>
    <m/>
    <m/>
    <m/>
    <m/>
    <m/>
    <m/>
    <m/>
    <m/>
    <m/>
    <m/>
    <m/>
    <m/>
    <m/>
    <m/>
    <m/>
    <m/>
    <m/>
    <m/>
    <m/>
    <m/>
  </r>
  <r>
    <d v="2025-01-15T00:00:00"/>
    <x v="20"/>
    <m/>
    <m/>
    <m/>
    <m/>
    <m/>
    <m/>
    <m/>
    <m/>
    <m/>
    <m/>
    <m/>
    <m/>
    <m/>
    <m/>
    <m/>
    <m/>
    <m/>
    <m/>
    <m/>
    <m/>
  </r>
  <r>
    <d v="2025-01-16T00:00:00"/>
    <x v="20"/>
    <m/>
    <m/>
    <m/>
    <m/>
    <m/>
    <m/>
    <m/>
    <m/>
    <m/>
    <m/>
    <m/>
    <m/>
    <m/>
    <m/>
    <m/>
    <m/>
    <m/>
    <m/>
    <m/>
    <m/>
  </r>
  <r>
    <d v="2025-01-17T00:00:00"/>
    <x v="20"/>
    <m/>
    <m/>
    <m/>
    <m/>
    <m/>
    <m/>
    <m/>
    <m/>
    <m/>
    <m/>
    <m/>
    <m/>
    <m/>
    <m/>
    <m/>
    <m/>
    <m/>
    <m/>
    <m/>
    <m/>
  </r>
  <r>
    <d v="2025-01-18T00:00:00"/>
    <x v="20"/>
    <m/>
    <m/>
    <m/>
    <m/>
    <m/>
    <m/>
    <m/>
    <m/>
    <m/>
    <m/>
    <m/>
    <m/>
    <m/>
    <m/>
    <m/>
    <m/>
    <m/>
    <m/>
    <m/>
    <m/>
  </r>
  <r>
    <d v="2025-01-19T00:00:00"/>
    <x v="20"/>
    <m/>
    <m/>
    <m/>
    <m/>
    <m/>
    <m/>
    <m/>
    <m/>
    <m/>
    <m/>
    <m/>
    <m/>
    <m/>
    <m/>
    <m/>
    <m/>
    <m/>
    <m/>
    <m/>
    <m/>
  </r>
  <r>
    <d v="2025-01-20T00:00:00"/>
    <x v="20"/>
    <m/>
    <m/>
    <m/>
    <m/>
    <m/>
    <m/>
    <m/>
    <m/>
    <m/>
    <m/>
    <m/>
    <m/>
    <m/>
    <m/>
    <m/>
    <m/>
    <m/>
    <m/>
    <m/>
    <m/>
  </r>
  <r>
    <d v="2025-01-21T00:00:00"/>
    <x v="20"/>
    <m/>
    <m/>
    <m/>
    <m/>
    <m/>
    <m/>
    <m/>
    <m/>
    <m/>
    <m/>
    <m/>
    <m/>
    <m/>
    <m/>
    <m/>
    <m/>
    <m/>
    <m/>
    <m/>
    <m/>
  </r>
  <r>
    <d v="2025-01-22T00:00:00"/>
    <x v="20"/>
    <m/>
    <m/>
    <m/>
    <m/>
    <m/>
    <m/>
    <m/>
    <m/>
    <m/>
    <m/>
    <m/>
    <m/>
    <m/>
    <m/>
    <m/>
    <m/>
    <m/>
    <m/>
    <m/>
    <m/>
  </r>
  <r>
    <d v="2025-01-23T00:00:00"/>
    <x v="20"/>
    <m/>
    <m/>
    <m/>
    <m/>
    <m/>
    <m/>
    <m/>
    <m/>
    <m/>
    <m/>
    <m/>
    <m/>
    <m/>
    <m/>
    <m/>
    <m/>
    <m/>
    <m/>
    <m/>
    <m/>
  </r>
  <r>
    <d v="2025-01-24T00:00:00"/>
    <x v="20"/>
    <m/>
    <m/>
    <m/>
    <m/>
    <m/>
    <m/>
    <m/>
    <m/>
    <m/>
    <m/>
    <m/>
    <m/>
    <m/>
    <m/>
    <m/>
    <m/>
    <m/>
    <m/>
    <m/>
    <m/>
  </r>
  <r>
    <d v="2025-01-25T00:00:00"/>
    <x v="20"/>
    <m/>
    <m/>
    <m/>
    <m/>
    <m/>
    <m/>
    <m/>
    <m/>
    <m/>
    <m/>
    <m/>
    <m/>
    <m/>
    <m/>
    <m/>
    <m/>
    <m/>
    <m/>
    <m/>
    <m/>
  </r>
  <r>
    <d v="2025-01-26T00:00:00"/>
    <x v="20"/>
    <m/>
    <m/>
    <m/>
    <m/>
    <m/>
    <m/>
    <m/>
    <m/>
    <m/>
    <m/>
    <m/>
    <m/>
    <m/>
    <m/>
    <m/>
    <m/>
    <m/>
    <m/>
    <m/>
    <m/>
  </r>
  <r>
    <d v="2025-01-27T00:00:00"/>
    <x v="20"/>
    <m/>
    <m/>
    <m/>
    <m/>
    <m/>
    <m/>
    <m/>
    <m/>
    <m/>
    <m/>
    <m/>
    <m/>
    <m/>
    <m/>
    <m/>
    <m/>
    <m/>
    <m/>
    <m/>
    <m/>
  </r>
  <r>
    <d v="2025-01-28T00:00:00"/>
    <x v="20"/>
    <m/>
    <m/>
    <m/>
    <m/>
    <m/>
    <m/>
    <m/>
    <m/>
    <m/>
    <m/>
    <m/>
    <m/>
    <m/>
    <m/>
    <m/>
    <m/>
    <m/>
    <m/>
    <m/>
    <m/>
  </r>
  <r>
    <d v="2025-01-29T00:00:00"/>
    <x v="20"/>
    <m/>
    <m/>
    <m/>
    <m/>
    <m/>
    <m/>
    <m/>
    <m/>
    <m/>
    <m/>
    <m/>
    <m/>
    <m/>
    <m/>
    <m/>
    <m/>
    <m/>
    <m/>
    <m/>
    <m/>
  </r>
  <r>
    <d v="2025-01-30T00:00:00"/>
    <x v="20"/>
    <m/>
    <m/>
    <m/>
    <m/>
    <m/>
    <m/>
    <m/>
    <m/>
    <m/>
    <m/>
    <m/>
    <m/>
    <m/>
    <m/>
    <m/>
    <m/>
    <m/>
    <m/>
    <m/>
    <m/>
  </r>
  <r>
    <d v="2025-01-31T00:00:00"/>
    <x v="20"/>
    <m/>
    <m/>
    <m/>
    <m/>
    <m/>
    <m/>
    <m/>
    <m/>
    <m/>
    <m/>
    <m/>
    <m/>
    <m/>
    <m/>
    <m/>
    <m/>
    <m/>
    <m/>
    <m/>
    <m/>
  </r>
  <r>
    <d v="2025-02-01T00:00:00"/>
    <x v="20"/>
    <m/>
    <m/>
    <m/>
    <m/>
    <m/>
    <m/>
    <m/>
    <m/>
    <m/>
    <m/>
    <m/>
    <m/>
    <m/>
    <m/>
    <m/>
    <m/>
    <m/>
    <m/>
    <m/>
    <m/>
  </r>
  <r>
    <d v="2025-02-02T00:00:00"/>
    <x v="20"/>
    <m/>
    <m/>
    <m/>
    <m/>
    <m/>
    <m/>
    <m/>
    <m/>
    <m/>
    <m/>
    <m/>
    <m/>
    <m/>
    <m/>
    <m/>
    <m/>
    <m/>
    <m/>
    <m/>
    <m/>
  </r>
  <r>
    <d v="2025-02-03T00:00:00"/>
    <x v="20"/>
    <m/>
    <m/>
    <m/>
    <m/>
    <m/>
    <m/>
    <m/>
    <m/>
    <m/>
    <m/>
    <m/>
    <m/>
    <m/>
    <m/>
    <m/>
    <m/>
    <m/>
    <m/>
    <m/>
    <m/>
  </r>
  <r>
    <d v="2025-02-04T00:00:00"/>
    <x v="20"/>
    <m/>
    <m/>
    <m/>
    <m/>
    <m/>
    <m/>
    <m/>
    <m/>
    <m/>
    <m/>
    <m/>
    <m/>
    <m/>
    <m/>
    <m/>
    <m/>
    <m/>
    <m/>
    <m/>
    <m/>
  </r>
  <r>
    <d v="2025-02-05T00:00:00"/>
    <x v="20"/>
    <m/>
    <m/>
    <m/>
    <m/>
    <m/>
    <m/>
    <m/>
    <m/>
    <m/>
    <m/>
    <m/>
    <m/>
    <m/>
    <m/>
    <m/>
    <m/>
    <m/>
    <m/>
    <m/>
    <m/>
  </r>
  <r>
    <d v="2025-02-06T00:00:00"/>
    <x v="20"/>
    <m/>
    <m/>
    <m/>
    <m/>
    <m/>
    <m/>
    <m/>
    <m/>
    <m/>
    <m/>
    <m/>
    <m/>
    <m/>
    <m/>
    <m/>
    <m/>
    <m/>
    <m/>
    <m/>
    <m/>
  </r>
  <r>
    <d v="2025-02-07T00:00:00"/>
    <x v="20"/>
    <m/>
    <m/>
    <m/>
    <m/>
    <m/>
    <m/>
    <m/>
    <m/>
    <m/>
    <m/>
    <m/>
    <m/>
    <m/>
    <m/>
    <m/>
    <m/>
    <m/>
    <m/>
    <m/>
    <m/>
  </r>
  <r>
    <d v="2025-02-08T00:00:00"/>
    <x v="20"/>
    <m/>
    <m/>
    <m/>
    <m/>
    <m/>
    <m/>
    <m/>
    <m/>
    <m/>
    <m/>
    <m/>
    <m/>
    <m/>
    <m/>
    <m/>
    <m/>
    <m/>
    <m/>
    <m/>
    <m/>
  </r>
  <r>
    <d v="2025-02-09T00:00:00"/>
    <x v="20"/>
    <m/>
    <m/>
    <m/>
    <m/>
    <m/>
    <m/>
    <m/>
    <m/>
    <m/>
    <m/>
    <m/>
    <m/>
    <m/>
    <m/>
    <m/>
    <m/>
    <m/>
    <m/>
    <m/>
    <m/>
  </r>
  <r>
    <d v="2025-02-10T00:00:00"/>
    <x v="20"/>
    <m/>
    <m/>
    <m/>
    <m/>
    <m/>
    <m/>
    <m/>
    <m/>
    <m/>
    <m/>
    <m/>
    <m/>
    <m/>
    <m/>
    <m/>
    <m/>
    <m/>
    <m/>
    <m/>
    <m/>
  </r>
  <r>
    <d v="2025-02-11T00:00:00"/>
    <x v="20"/>
    <m/>
    <m/>
    <m/>
    <m/>
    <m/>
    <m/>
    <m/>
    <m/>
    <m/>
    <m/>
    <m/>
    <m/>
    <m/>
    <m/>
    <m/>
    <m/>
    <m/>
    <m/>
    <m/>
    <m/>
  </r>
  <r>
    <d v="2025-02-12T00:00:00"/>
    <x v="20"/>
    <m/>
    <m/>
    <m/>
    <m/>
    <m/>
    <m/>
    <m/>
    <m/>
    <m/>
    <m/>
    <m/>
    <m/>
    <m/>
    <m/>
    <m/>
    <m/>
    <m/>
    <m/>
    <m/>
    <m/>
  </r>
  <r>
    <d v="2025-02-13T00:00:00"/>
    <x v="20"/>
    <m/>
    <m/>
    <m/>
    <m/>
    <m/>
    <m/>
    <m/>
    <m/>
    <m/>
    <m/>
    <m/>
    <m/>
    <m/>
    <m/>
    <m/>
    <m/>
    <m/>
    <m/>
    <m/>
    <m/>
  </r>
  <r>
    <d v="2025-02-14T00:00:00"/>
    <x v="20"/>
    <m/>
    <m/>
    <m/>
    <m/>
    <m/>
    <m/>
    <m/>
    <m/>
    <m/>
    <m/>
    <m/>
    <m/>
    <m/>
    <m/>
    <m/>
    <m/>
    <m/>
    <m/>
    <m/>
    <m/>
  </r>
  <r>
    <d v="2025-02-15T00:00:00"/>
    <x v="20"/>
    <m/>
    <m/>
    <m/>
    <m/>
    <m/>
    <m/>
    <m/>
    <m/>
    <m/>
    <m/>
    <m/>
    <m/>
    <m/>
    <m/>
    <m/>
    <m/>
    <m/>
    <m/>
    <m/>
    <m/>
  </r>
  <r>
    <d v="2025-02-16T00:00:00"/>
    <x v="20"/>
    <m/>
    <m/>
    <m/>
    <m/>
    <m/>
    <m/>
    <m/>
    <m/>
    <m/>
    <m/>
    <m/>
    <m/>
    <m/>
    <m/>
    <m/>
    <m/>
    <m/>
    <m/>
    <m/>
    <m/>
  </r>
  <r>
    <d v="2025-02-17T00:00:00"/>
    <x v="20"/>
    <m/>
    <m/>
    <m/>
    <m/>
    <m/>
    <m/>
    <m/>
    <m/>
    <m/>
    <m/>
    <m/>
    <m/>
    <m/>
    <m/>
    <m/>
    <m/>
    <m/>
    <m/>
    <m/>
    <m/>
  </r>
  <r>
    <d v="2025-02-18T00:00:00"/>
    <x v="20"/>
    <m/>
    <m/>
    <m/>
    <m/>
    <m/>
    <m/>
    <m/>
    <m/>
    <m/>
    <m/>
    <m/>
    <m/>
    <m/>
    <m/>
    <m/>
    <m/>
    <m/>
    <m/>
    <m/>
    <m/>
  </r>
  <r>
    <d v="2025-02-19T00:00:00"/>
    <x v="20"/>
    <m/>
    <m/>
    <m/>
    <m/>
    <m/>
    <m/>
    <m/>
    <m/>
    <m/>
    <m/>
    <m/>
    <m/>
    <m/>
    <m/>
    <m/>
    <m/>
    <m/>
    <m/>
    <m/>
    <m/>
  </r>
  <r>
    <d v="2025-02-20T00:00:00"/>
    <x v="20"/>
    <m/>
    <m/>
    <m/>
    <m/>
    <m/>
    <m/>
    <m/>
    <m/>
    <m/>
    <m/>
    <m/>
    <m/>
    <m/>
    <m/>
    <m/>
    <m/>
    <m/>
    <m/>
    <m/>
    <m/>
  </r>
  <r>
    <d v="2025-02-21T00:00:00"/>
    <x v="20"/>
    <m/>
    <m/>
    <m/>
    <m/>
    <m/>
    <m/>
    <m/>
    <m/>
    <m/>
    <m/>
    <m/>
    <m/>
    <m/>
    <m/>
    <m/>
    <m/>
    <m/>
    <m/>
    <m/>
    <m/>
  </r>
  <r>
    <d v="2025-02-22T00:00:00"/>
    <x v="20"/>
    <m/>
    <m/>
    <m/>
    <m/>
    <m/>
    <m/>
    <m/>
    <m/>
    <m/>
    <m/>
    <m/>
    <m/>
    <m/>
    <m/>
    <m/>
    <m/>
    <m/>
    <m/>
    <m/>
    <m/>
  </r>
  <r>
    <d v="2025-02-23T00:00:00"/>
    <x v="20"/>
    <m/>
    <m/>
    <m/>
    <m/>
    <m/>
    <m/>
    <m/>
    <m/>
    <m/>
    <m/>
    <m/>
    <m/>
    <m/>
    <m/>
    <m/>
    <m/>
    <m/>
    <m/>
    <m/>
    <m/>
  </r>
  <r>
    <d v="2025-02-24T00:00:00"/>
    <x v="20"/>
    <m/>
    <m/>
    <m/>
    <m/>
    <m/>
    <m/>
    <m/>
    <m/>
    <m/>
    <m/>
    <m/>
    <m/>
    <m/>
    <m/>
    <m/>
    <m/>
    <m/>
    <m/>
    <m/>
    <m/>
  </r>
  <r>
    <d v="2025-02-25T00:00:00"/>
    <x v="20"/>
    <m/>
    <m/>
    <m/>
    <m/>
    <m/>
    <m/>
    <m/>
    <m/>
    <m/>
    <m/>
    <m/>
    <m/>
    <m/>
    <m/>
    <m/>
    <m/>
    <m/>
    <m/>
    <m/>
    <m/>
  </r>
  <r>
    <d v="2025-02-26T00:00:00"/>
    <x v="20"/>
    <m/>
    <m/>
    <m/>
    <m/>
    <m/>
    <m/>
    <m/>
    <m/>
    <m/>
    <m/>
    <m/>
    <m/>
    <m/>
    <m/>
    <m/>
    <m/>
    <m/>
    <m/>
    <m/>
    <m/>
  </r>
  <r>
    <d v="2025-02-27T00:00:00"/>
    <x v="20"/>
    <m/>
    <m/>
    <m/>
    <m/>
    <m/>
    <m/>
    <m/>
    <m/>
    <m/>
    <m/>
    <m/>
    <m/>
    <m/>
    <m/>
    <m/>
    <m/>
    <m/>
    <m/>
    <m/>
    <m/>
  </r>
  <r>
    <d v="2025-02-28T00:00:00"/>
    <x v="20"/>
    <m/>
    <m/>
    <m/>
    <m/>
    <m/>
    <m/>
    <m/>
    <m/>
    <m/>
    <m/>
    <m/>
    <m/>
    <m/>
    <m/>
    <m/>
    <m/>
    <m/>
    <m/>
    <m/>
    <m/>
  </r>
  <r>
    <d v="2025-03-01T00:00:00"/>
    <x v="20"/>
    <m/>
    <m/>
    <m/>
    <m/>
    <m/>
    <m/>
    <m/>
    <m/>
    <m/>
    <m/>
    <m/>
    <m/>
    <m/>
    <m/>
    <m/>
    <m/>
    <m/>
    <m/>
    <m/>
    <m/>
  </r>
  <r>
    <d v="2025-03-02T00:00:00"/>
    <x v="20"/>
    <m/>
    <m/>
    <m/>
    <m/>
    <m/>
    <m/>
    <m/>
    <m/>
    <m/>
    <m/>
    <m/>
    <m/>
    <m/>
    <m/>
    <m/>
    <m/>
    <m/>
    <m/>
    <m/>
    <m/>
  </r>
  <r>
    <d v="2025-03-03T00:00:00"/>
    <x v="20"/>
    <m/>
    <m/>
    <m/>
    <m/>
    <m/>
    <m/>
    <m/>
    <m/>
    <m/>
    <m/>
    <m/>
    <m/>
    <m/>
    <m/>
    <m/>
    <m/>
    <m/>
    <m/>
    <m/>
    <m/>
  </r>
  <r>
    <d v="2025-03-04T00:00:00"/>
    <x v="20"/>
    <m/>
    <m/>
    <m/>
    <m/>
    <m/>
    <m/>
    <m/>
    <m/>
    <m/>
    <m/>
    <m/>
    <m/>
    <m/>
    <m/>
    <m/>
    <m/>
    <m/>
    <m/>
    <m/>
    <m/>
  </r>
  <r>
    <d v="2025-03-05T00:00:00"/>
    <x v="20"/>
    <m/>
    <m/>
    <m/>
    <m/>
    <m/>
    <m/>
    <m/>
    <m/>
    <m/>
    <m/>
    <m/>
    <m/>
    <m/>
    <m/>
    <m/>
    <m/>
    <m/>
    <m/>
    <m/>
    <m/>
  </r>
  <r>
    <d v="2025-03-06T00:00:00"/>
    <x v="20"/>
    <m/>
    <m/>
    <m/>
    <m/>
    <m/>
    <m/>
    <m/>
    <m/>
    <m/>
    <m/>
    <m/>
    <m/>
    <m/>
    <m/>
    <m/>
    <m/>
    <m/>
    <m/>
    <m/>
    <m/>
  </r>
  <r>
    <d v="2025-03-07T00:00:00"/>
    <x v="20"/>
    <m/>
    <m/>
    <m/>
    <m/>
    <m/>
    <m/>
    <m/>
    <m/>
    <m/>
    <m/>
    <m/>
    <m/>
    <m/>
    <m/>
    <m/>
    <m/>
    <m/>
    <m/>
    <m/>
    <m/>
  </r>
  <r>
    <d v="2025-03-08T00:00:00"/>
    <x v="20"/>
    <m/>
    <m/>
    <m/>
    <m/>
    <m/>
    <m/>
    <m/>
    <m/>
    <m/>
    <m/>
    <m/>
    <m/>
    <m/>
    <m/>
    <m/>
    <m/>
    <m/>
    <m/>
    <m/>
    <m/>
  </r>
  <r>
    <d v="2025-03-09T00:00:00"/>
    <x v="20"/>
    <m/>
    <m/>
    <m/>
    <m/>
    <m/>
    <m/>
    <m/>
    <m/>
    <m/>
    <m/>
    <m/>
    <m/>
    <m/>
    <m/>
    <m/>
    <m/>
    <m/>
    <m/>
    <m/>
    <m/>
  </r>
  <r>
    <d v="2025-03-10T00:00:00"/>
    <x v="20"/>
    <m/>
    <m/>
    <m/>
    <m/>
    <m/>
    <m/>
    <m/>
    <m/>
    <m/>
    <m/>
    <m/>
    <m/>
    <m/>
    <m/>
    <m/>
    <m/>
    <m/>
    <m/>
    <m/>
    <m/>
  </r>
  <r>
    <d v="2025-03-11T00:00:00"/>
    <x v="20"/>
    <m/>
    <m/>
    <m/>
    <m/>
    <m/>
    <m/>
    <m/>
    <m/>
    <m/>
    <m/>
    <m/>
    <m/>
    <m/>
    <m/>
    <m/>
    <m/>
    <m/>
    <m/>
    <m/>
    <m/>
  </r>
  <r>
    <d v="2025-03-12T00:00:00"/>
    <x v="20"/>
    <m/>
    <m/>
    <m/>
    <m/>
    <m/>
    <m/>
    <m/>
    <m/>
    <m/>
    <m/>
    <m/>
    <m/>
    <m/>
    <m/>
    <m/>
    <m/>
    <m/>
    <m/>
    <m/>
    <m/>
  </r>
  <r>
    <d v="2025-03-13T00:00:00"/>
    <x v="20"/>
    <m/>
    <m/>
    <m/>
    <m/>
    <m/>
    <m/>
    <m/>
    <m/>
    <m/>
    <m/>
    <m/>
    <m/>
    <m/>
    <m/>
    <m/>
    <m/>
    <m/>
    <m/>
    <m/>
    <m/>
  </r>
  <r>
    <d v="2025-03-14T00:00:00"/>
    <x v="20"/>
    <m/>
    <m/>
    <m/>
    <m/>
    <m/>
    <m/>
    <m/>
    <m/>
    <m/>
    <m/>
    <m/>
    <m/>
    <m/>
    <m/>
    <m/>
    <m/>
    <m/>
    <m/>
    <m/>
    <m/>
  </r>
  <r>
    <d v="2025-03-15T00:00:00"/>
    <x v="20"/>
    <m/>
    <m/>
    <m/>
    <m/>
    <m/>
    <m/>
    <m/>
    <m/>
    <m/>
    <m/>
    <m/>
    <m/>
    <m/>
    <m/>
    <m/>
    <m/>
    <m/>
    <m/>
    <m/>
    <m/>
  </r>
  <r>
    <d v="2025-03-16T00:00:00"/>
    <x v="20"/>
    <m/>
    <m/>
    <m/>
    <m/>
    <m/>
    <m/>
    <m/>
    <m/>
    <m/>
    <m/>
    <m/>
    <m/>
    <m/>
    <m/>
    <m/>
    <m/>
    <m/>
    <m/>
    <m/>
    <m/>
  </r>
  <r>
    <d v="2025-03-17T00:00:00"/>
    <x v="20"/>
    <m/>
    <m/>
    <m/>
    <m/>
    <m/>
    <m/>
    <m/>
    <m/>
    <m/>
    <m/>
    <m/>
    <m/>
    <m/>
    <m/>
    <m/>
    <m/>
    <m/>
    <m/>
    <m/>
    <m/>
  </r>
  <r>
    <d v="2025-03-18T00:00:00"/>
    <x v="20"/>
    <m/>
    <m/>
    <m/>
    <m/>
    <m/>
    <m/>
    <m/>
    <m/>
    <m/>
    <m/>
    <m/>
    <m/>
    <m/>
    <m/>
    <m/>
    <m/>
    <m/>
    <m/>
    <m/>
    <m/>
  </r>
  <r>
    <d v="2025-03-19T00:00:00"/>
    <x v="20"/>
    <m/>
    <m/>
    <m/>
    <m/>
    <m/>
    <m/>
    <m/>
    <m/>
    <m/>
    <m/>
    <m/>
    <m/>
    <m/>
    <m/>
    <m/>
    <m/>
    <m/>
    <m/>
    <m/>
    <m/>
  </r>
  <r>
    <d v="2025-03-20T00:00:00"/>
    <x v="20"/>
    <m/>
    <m/>
    <m/>
    <m/>
    <m/>
    <m/>
    <m/>
    <m/>
    <m/>
    <m/>
    <m/>
    <m/>
    <m/>
    <m/>
    <m/>
    <m/>
    <m/>
    <m/>
    <m/>
    <m/>
  </r>
  <r>
    <d v="2025-03-21T00:00:00"/>
    <x v="20"/>
    <m/>
    <m/>
    <m/>
    <m/>
    <m/>
    <m/>
    <m/>
    <m/>
    <m/>
    <m/>
    <m/>
    <m/>
    <m/>
    <m/>
    <m/>
    <m/>
    <m/>
    <m/>
    <m/>
    <m/>
  </r>
  <r>
    <d v="2025-03-22T00:00:00"/>
    <x v="20"/>
    <m/>
    <m/>
    <m/>
    <m/>
    <m/>
    <m/>
    <m/>
    <m/>
    <m/>
    <m/>
    <m/>
    <m/>
    <m/>
    <m/>
    <m/>
    <m/>
    <m/>
    <m/>
    <m/>
    <m/>
  </r>
  <r>
    <d v="2025-03-23T00:00:00"/>
    <x v="20"/>
    <m/>
    <m/>
    <m/>
    <m/>
    <m/>
    <m/>
    <m/>
    <m/>
    <m/>
    <m/>
    <m/>
    <m/>
    <m/>
    <m/>
    <m/>
    <m/>
    <m/>
    <m/>
    <m/>
    <m/>
  </r>
  <r>
    <d v="2025-03-24T00:00:00"/>
    <x v="20"/>
    <m/>
    <m/>
    <m/>
    <m/>
    <m/>
    <m/>
    <m/>
    <m/>
    <m/>
    <m/>
    <m/>
    <m/>
    <m/>
    <m/>
    <m/>
    <m/>
    <m/>
    <m/>
    <m/>
    <m/>
  </r>
  <r>
    <d v="2025-03-25T00:00:00"/>
    <x v="20"/>
    <m/>
    <m/>
    <m/>
    <m/>
    <m/>
    <m/>
    <m/>
    <m/>
    <m/>
    <m/>
    <m/>
    <m/>
    <m/>
    <m/>
    <m/>
    <m/>
    <m/>
    <m/>
    <m/>
    <m/>
  </r>
  <r>
    <d v="2025-03-26T00:00:00"/>
    <x v="20"/>
    <m/>
    <m/>
    <m/>
    <m/>
    <m/>
    <m/>
    <m/>
    <m/>
    <m/>
    <m/>
    <m/>
    <m/>
    <m/>
    <m/>
    <m/>
    <m/>
    <m/>
    <m/>
    <m/>
    <m/>
  </r>
  <r>
    <d v="2025-03-27T00:00:00"/>
    <x v="20"/>
    <m/>
    <m/>
    <m/>
    <m/>
    <m/>
    <m/>
    <m/>
    <m/>
    <m/>
    <m/>
    <m/>
    <m/>
    <m/>
    <m/>
    <m/>
    <m/>
    <m/>
    <m/>
    <m/>
    <m/>
  </r>
  <r>
    <d v="2025-03-28T00:00:00"/>
    <x v="20"/>
    <m/>
    <m/>
    <m/>
    <m/>
    <m/>
    <m/>
    <m/>
    <m/>
    <m/>
    <m/>
    <m/>
    <m/>
    <m/>
    <m/>
    <m/>
    <m/>
    <m/>
    <m/>
    <m/>
    <m/>
  </r>
  <r>
    <d v="2025-03-29T00:00:00"/>
    <x v="20"/>
    <m/>
    <m/>
    <m/>
    <m/>
    <m/>
    <m/>
    <m/>
    <m/>
    <m/>
    <m/>
    <m/>
    <m/>
    <m/>
    <m/>
    <m/>
    <m/>
    <m/>
    <m/>
    <m/>
    <m/>
  </r>
  <r>
    <d v="2025-03-30T00:00:00"/>
    <x v="20"/>
    <m/>
    <m/>
    <m/>
    <m/>
    <m/>
    <m/>
    <m/>
    <m/>
    <m/>
    <m/>
    <m/>
    <m/>
    <m/>
    <m/>
    <m/>
    <m/>
    <m/>
    <m/>
    <m/>
    <m/>
  </r>
  <r>
    <d v="2025-03-31T00:00:00"/>
    <x v="20"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2T00:00:00"/>
    <x v="0"/>
    <s v="T"/>
    <s v="FY25"/>
    <n v="35"/>
    <n v="34"/>
    <n v="-0.95388669301712781"/>
    <n v="-0.95417789757412397"/>
    <n v="35"/>
    <n v="34"/>
    <n v="0.86"/>
    <n v="0.03"/>
    <n v="0.97"/>
    <n v="0.02"/>
    <n v="1"/>
    <n v="175"/>
    <d v="1899-12-30T00:11:00"/>
    <n v="10"/>
    <s v="Outlier"/>
    <s v="Outlier"/>
    <n v="-0.95388669301712781"/>
    <n v="-0.95417789757412397"/>
  </r>
  <r>
    <d v="2024-04-03T00:00:00"/>
    <x v="0"/>
    <s v="W"/>
    <s v="FY25"/>
    <n v="838"/>
    <n v="798"/>
    <n v="166.6"/>
    <n v="158.6"/>
    <n v="873"/>
    <n v="832"/>
    <n v="0.77"/>
    <n v="0.05"/>
    <n v="0.95"/>
    <n v="0.35"/>
    <n v="1"/>
    <n v="152"/>
    <d v="1899-12-30T00:30:00"/>
    <n v="11"/>
    <s v="Outlier"/>
    <s v="Outlier"/>
    <n v="5.5425044678205735"/>
    <n v="5.4540794919577955"/>
  </r>
  <r>
    <d v="2024-04-04T00:00:00"/>
    <x v="0"/>
    <s v="R"/>
    <s v="FY25"/>
    <n v="676"/>
    <n v="664"/>
    <n v="66.599999999999994"/>
    <n v="93.857142857142861"/>
    <n v="1549"/>
    <n v="1496"/>
    <n v="0.92"/>
    <n v="0.02"/>
    <n v="0.98"/>
    <n v="0.31"/>
    <n v="1"/>
    <n v="135"/>
    <d v="1899-12-30T00:09:00"/>
    <n v="11"/>
    <s v="Outlier"/>
    <s v="Outlier"/>
    <n v="5.5425044678205735"/>
    <n v="5.4540794919577955"/>
  </r>
  <r>
    <d v="2024-04-05T00:00:00"/>
    <x v="0"/>
    <s v="F"/>
    <s v="FY25"/>
    <n v="748"/>
    <n v="704"/>
    <n v="0"/>
    <n v="0"/>
    <n v="2297"/>
    <n v="2200"/>
    <n v="0.83"/>
    <n v="0.06"/>
    <n v="0.94"/>
    <n v="0.37"/>
    <n v="1"/>
    <n v="118"/>
    <d v="1899-12-30T00:17:00"/>
    <n v="10"/>
    <s v="Normal"/>
    <s v="Normal"/>
    <n v="0"/>
    <n v="0"/>
  </r>
  <r>
    <d v="2024-04-06T00:00:00"/>
    <x v="0"/>
    <s v="S"/>
    <s v="FY25"/>
    <n v="440"/>
    <n v="385"/>
    <n v="0"/>
    <n v="0"/>
    <n v="2737"/>
    <n v="2585"/>
    <n v="0.56999999999999995"/>
    <n v="0.13"/>
    <n v="0.87"/>
    <n v="0.34"/>
    <n v="1"/>
    <n v="123"/>
    <d v="1899-12-30T00:43:00"/>
    <n v="7"/>
    <s v="Normal"/>
    <s v="Normal"/>
    <n v="0"/>
    <n v="0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8T00:00:00"/>
    <x v="1"/>
    <s v="M"/>
    <s v="FY25"/>
    <n v="883"/>
    <n v="840"/>
    <n v="0"/>
    <n v="0"/>
    <n v="3620"/>
    <n v="3425"/>
    <n v="0.84"/>
    <n v="0.05"/>
    <n v="0.95"/>
    <n v="0.46"/>
    <n v="1"/>
    <n v="120"/>
    <d v="1899-12-30T00:13:00"/>
    <n v="10"/>
    <s v="Normal"/>
    <s v="Normal"/>
    <n v="0"/>
    <n v="0"/>
  </r>
  <r>
    <d v="2024-04-09T00:00:00"/>
    <x v="1"/>
    <s v="T"/>
    <s v="FY25"/>
    <n v="647"/>
    <n v="539"/>
    <n v="17.485714285714284"/>
    <n v="14.852941176470589"/>
    <n v="4267"/>
    <n v="3964"/>
    <n v="0.6"/>
    <n v="0.17"/>
    <n v="0.83"/>
    <n v="0.28000000000000003"/>
    <n v="0.99"/>
    <n v="118"/>
    <d v="1899-12-30T01:01:00"/>
    <n v="10"/>
    <s v="Outlier"/>
    <s v="Outlier"/>
    <n v="5.5425044678205735"/>
    <n v="5.4540794919577955"/>
  </r>
  <r>
    <d v="2024-04-10T00:00:00"/>
    <x v="1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11T00:00:00"/>
    <x v="1"/>
    <s v="R"/>
    <s v="FY25"/>
    <n v="5"/>
    <n v="5"/>
    <n v="-0.99260355029585801"/>
    <n v="-0.99246987951807231"/>
    <n v="4272"/>
    <n v="3969"/>
    <n v="0.6"/>
    <n v="0"/>
    <n v="1"/>
    <n v="0.03"/>
    <n v="0.91"/>
    <n v="106"/>
    <d v="1899-12-30T01:24:00"/>
    <n v="12"/>
    <s v="Outlier"/>
    <s v="Outlier"/>
    <n v="-0.99260355029585801"/>
    <n v="-0.99246987951807231"/>
  </r>
  <r>
    <d v="2024-04-12T00:00:00"/>
    <x v="1"/>
    <s v="F"/>
    <s v="FY25"/>
    <n v="836"/>
    <n v="784"/>
    <n v="0.11764705882352941"/>
    <n v="0.11363636363636363"/>
    <n v="5108"/>
    <n v="4753"/>
    <n v="0.76"/>
    <n v="0.06"/>
    <n v="0.94"/>
    <n v="0.39"/>
    <n v="0.98"/>
    <n v="124"/>
    <d v="1899-12-30T00:24:00"/>
    <n v="11"/>
    <s v="Normal"/>
    <s v="Normal"/>
    <n v="0.11764705882352941"/>
    <n v="0.11363636363636363"/>
  </r>
  <r>
    <d v="2024-04-13T00:00:00"/>
    <x v="1"/>
    <s v="S"/>
    <s v="FY25"/>
    <n v="363"/>
    <n v="286"/>
    <n v="-0.17499999999999999"/>
    <n v="-0.25714285714285712"/>
    <n v="5471"/>
    <n v="5039"/>
    <n v="0.5"/>
    <n v="0.21"/>
    <n v="0.78"/>
    <n v="0.49"/>
    <n v="0.95"/>
    <n v="130"/>
    <d v="1899-12-30T01:25:00"/>
    <n v="5"/>
    <s v="Normal"/>
    <s v="Normal"/>
    <n v="-0.17499999999999999"/>
    <n v="-0.25714285714285712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15T00:00:00"/>
    <x v="2"/>
    <s v="M"/>
    <s v="FY25"/>
    <n v="794"/>
    <n v="725"/>
    <n v="-0.10079275198187995"/>
    <n v="-0.13690476190476192"/>
    <n v="6265"/>
    <n v="5764"/>
    <n v="0.72"/>
    <n v="0.09"/>
    <n v="0.91"/>
    <n v="0.39"/>
    <n v="1"/>
    <n v="125"/>
    <d v="1899-12-30T00:26:00"/>
    <n v="9"/>
    <s v="Normal"/>
    <s v="Normal"/>
    <n v="-0.10079275198187995"/>
    <n v="-0.13690476190476192"/>
  </r>
  <r>
    <d v="2024-04-16T00:00:00"/>
    <x v="2"/>
    <s v="T"/>
    <s v="FY25"/>
    <n v="720"/>
    <n v="693"/>
    <n v="0.11282843894899536"/>
    <n v="0.2857142857142857"/>
    <n v="6985"/>
    <n v="6457"/>
    <n v="0.71"/>
    <n v="7.0000000000000007E-2"/>
    <n v="0.93"/>
    <n v="0.34"/>
    <n v="0.99"/>
    <n v="112"/>
    <d v="1899-12-30T00:29:00"/>
    <n v="10"/>
    <s v="Normal"/>
    <s v="Normal"/>
    <n v="0.11282843894899536"/>
    <n v="0.2857142857142857"/>
  </r>
  <r>
    <d v="2024-04-17T00:00:00"/>
    <x v="2"/>
    <s v="W"/>
    <s v="FY25"/>
    <n v="699"/>
    <n v="669"/>
    <n v="0"/>
    <n v="0"/>
    <n v="7684"/>
    <n v="7126"/>
    <n v="0.84"/>
    <n v="0.04"/>
    <n v="0.96"/>
    <n v="0.36"/>
    <n v="0.98"/>
    <n v="145"/>
    <d v="1899-12-30T00:13:00"/>
    <n v="11"/>
    <s v="Normal"/>
    <s v="Normal"/>
    <n v="0"/>
    <n v="0"/>
  </r>
  <r>
    <d v="2024-04-18T00:00:00"/>
    <x v="2"/>
    <s v="R"/>
    <s v="FY25"/>
    <n v="676"/>
    <n v="662"/>
    <n v="134.19999999999999"/>
    <n v="131.4"/>
    <n v="8360"/>
    <n v="7788"/>
    <n v="0.96"/>
    <n v="0.02"/>
    <n v="0.98"/>
    <n v="0.23"/>
    <n v="0.96"/>
    <n v="111"/>
    <d v="1899-12-30T00:05:00"/>
    <n v="12"/>
    <s v="Outlier"/>
    <s v="Outlier"/>
    <n v="5.5425044678205735"/>
    <n v="5.4540794919577955"/>
  </r>
  <r>
    <d v="2024-04-19T00:00:00"/>
    <x v="2"/>
    <s v="F"/>
    <s v="FY25"/>
    <n v="726"/>
    <n v="711"/>
    <n v="-0.13157894736842105"/>
    <n v="-9.311224489795919E-2"/>
    <n v="9086"/>
    <n v="8499"/>
    <n v="0.91"/>
    <n v="0.02"/>
    <n v="0.98"/>
    <n v="0.31"/>
    <n v="0.98"/>
    <n v="133"/>
    <d v="1899-12-30T00:10:00"/>
    <n v="12"/>
    <s v="Normal"/>
    <s v="Normal"/>
    <n v="-0.13157894736842105"/>
    <n v="-9.311224489795919E-2"/>
  </r>
  <r>
    <d v="2024-04-20T00:00:00"/>
    <x v="2"/>
    <s v="S"/>
    <s v="FY25"/>
    <n v="436"/>
    <n v="350"/>
    <n v="0.20110192837465565"/>
    <n v="0.22377622377622378"/>
    <n v="9522"/>
    <n v="8849"/>
    <n v="0.39"/>
    <n v="0.2"/>
    <n v="0.8"/>
    <n v="0.6"/>
    <n v="0.98"/>
    <n v="140"/>
    <d v="1899-12-30T01:38:00"/>
    <n v="5"/>
    <s v="Normal"/>
    <s v="Normal"/>
    <n v="0.20110192837465565"/>
    <n v="0.22377622377622378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2T00:00:00"/>
    <x v="3"/>
    <s v="M"/>
    <s v="FY25"/>
    <n v="710"/>
    <n v="652"/>
    <n v="-0.10579345088161209"/>
    <n v="-0.10068965517241379"/>
    <n v="10232"/>
    <n v="9501"/>
    <n v="0.78"/>
    <n v="0.08"/>
    <n v="0.92"/>
    <n v="0.35"/>
    <n v="0.99"/>
    <n v="131"/>
    <d v="1899-12-30T00:39:00"/>
    <n v="9"/>
    <s v="Normal"/>
    <s v="Normal"/>
    <n v="-0.10579345088161209"/>
    <n v="-0.10068965517241379"/>
  </r>
  <r>
    <d v="2024-04-23T00:00:00"/>
    <x v="3"/>
    <s v="T"/>
    <s v="FY25"/>
    <n v="683"/>
    <n v="635"/>
    <n v="-5.1388888888888887E-2"/>
    <n v="-8.3694083694083696E-2"/>
    <n v="10915"/>
    <n v="10136"/>
    <n v="0.85"/>
    <n v="7.0000000000000007E-2"/>
    <n v="0.93"/>
    <n v="0.31"/>
    <n v="1"/>
    <n v="130"/>
    <d v="1899-12-30T00:30:00"/>
    <n v="11"/>
    <s v="Normal"/>
    <s v="Normal"/>
    <n v="-5.1388888888888887E-2"/>
    <n v="-8.3694083694083696E-2"/>
  </r>
  <r>
    <d v="2024-04-24T00:00:00"/>
    <x v="3"/>
    <s v="W"/>
    <s v="FY25"/>
    <n v="625"/>
    <n v="602"/>
    <n v="-0.10586552217453506"/>
    <n v="-0.10014947683109118"/>
    <n v="11540"/>
    <n v="10738"/>
    <n v="0.91"/>
    <n v="0.04"/>
    <n v="0.96"/>
    <n v="0.28999999999999998"/>
    <n v="1"/>
    <n v="120"/>
    <d v="1899-12-30T00:09:00"/>
    <n v="11"/>
    <s v="Normal"/>
    <s v="Normal"/>
    <n v="-0.10586552217453506"/>
    <n v="-0.10014947683109118"/>
  </r>
  <r>
    <d v="2024-04-25T00:00:00"/>
    <x v="3"/>
    <s v="R"/>
    <s v="FY25"/>
    <n v="703"/>
    <n v="679"/>
    <n v="3.9940828402366867E-2"/>
    <n v="2.5679758308157101E-2"/>
    <n v="12243"/>
    <n v="11417"/>
    <n v="0.89"/>
    <n v="0.03"/>
    <n v="0.97"/>
    <n v="0.36"/>
    <n v="1"/>
    <n v="120"/>
    <d v="1899-12-30T00:12:00"/>
    <n v="11"/>
    <s v="Normal"/>
    <s v="Normal"/>
    <n v="3.9940828402366867E-2"/>
    <n v="2.5679758308157101E-2"/>
  </r>
  <r>
    <d v="2024-04-26T00:00:00"/>
    <x v="3"/>
    <s v="F"/>
    <s v="FY25"/>
    <n v="666"/>
    <n v="607"/>
    <n v="-8.2644628099173556E-2"/>
    <n v="-0.14627285513361463"/>
    <n v="12909"/>
    <n v="12024"/>
    <n v="0.71"/>
    <n v="0.09"/>
    <n v="0.91"/>
    <n v="0.41"/>
    <n v="0.99"/>
    <n v="143"/>
    <d v="1899-12-30T00:27:00"/>
    <n v="8"/>
    <s v="Normal"/>
    <s v="Normal"/>
    <n v="-8.2644628099173556E-2"/>
    <n v="-0.14627285513361463"/>
  </r>
  <r>
    <d v="2024-04-27T00:00:00"/>
    <x v="3"/>
    <s v="S"/>
    <s v="FY25"/>
    <n v="380"/>
    <n v="328"/>
    <n v="-0.12844036697247707"/>
    <n v="-6.2857142857142861E-2"/>
    <n v="13289"/>
    <n v="12352"/>
    <n v="0.56999999999999995"/>
    <n v="0.14000000000000001"/>
    <n v="0.86"/>
    <n v="0.51"/>
    <n v="0.98"/>
    <n v="106"/>
    <d v="1899-12-30T00:38:00"/>
    <n v="5"/>
    <s v="Normal"/>
    <s v="Normal"/>
    <n v="-0.12844036697247707"/>
    <n v="-6.2857142857142861E-2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9T00:00:00"/>
    <x v="4"/>
    <s v="M"/>
    <s v="FY25"/>
    <n v="838"/>
    <n v="677"/>
    <n v="0.18028169014084508"/>
    <n v="3.834355828220859E-2"/>
    <n v="14127"/>
    <n v="13029"/>
    <n v="0.63"/>
    <n v="0.19"/>
    <n v="0.81"/>
    <n v="0.42"/>
    <n v="1"/>
    <n v="132"/>
    <d v="1899-12-30T01:06:00"/>
    <n v="9"/>
    <s v="Normal"/>
    <s v="Normal"/>
    <n v="0.18028169014084508"/>
    <n v="3.834355828220859E-2"/>
  </r>
  <r>
    <d v="2024-04-30T00:00:00"/>
    <x v="4"/>
    <s v="T"/>
    <s v="FY25"/>
    <n v="755"/>
    <n v="711"/>
    <n v="0.10541727672035139"/>
    <n v="0.11968503937007874"/>
    <n v="14882"/>
    <n v="13740"/>
    <n v="0.83"/>
    <n v="0.06"/>
    <n v="0.94"/>
    <n v="0.35"/>
    <n v="1"/>
    <n v="116"/>
    <d v="1899-12-30T00:12:00"/>
    <n v="11"/>
    <s v="Normal"/>
    <s v="Normal"/>
    <n v="0.10541727672035139"/>
    <n v="0.11968503937007874"/>
  </r>
  <r>
    <d v="2024-05-01T00:00:00"/>
    <x v="4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2T00:00:00"/>
    <x v="4"/>
    <s v="R"/>
    <s v="FY25"/>
    <n v="718"/>
    <n v="698"/>
    <n v="2.1337126600284494E-2"/>
    <n v="2.7982326951399118E-2"/>
    <n v="15600"/>
    <n v="14438"/>
    <n v="0.9"/>
    <n v="0.03"/>
    <n v="0.97"/>
    <n v="0.32"/>
    <n v="0.99"/>
    <n v="146"/>
    <d v="1899-12-30T00:09:00"/>
    <n v="11"/>
    <s v="Normal"/>
    <s v="Normal"/>
    <n v="2.1337126600284494E-2"/>
    <n v="2.7982326951399118E-2"/>
  </r>
  <r>
    <d v="2024-05-03T00:00:00"/>
    <x v="4"/>
    <s v="F"/>
    <s v="FY25"/>
    <n v="684"/>
    <n v="664"/>
    <n v="2.7027027027027029E-2"/>
    <n v="9.3904448105436578E-2"/>
    <n v="16284"/>
    <n v="15102"/>
    <n v="0.92"/>
    <n v="0.03"/>
    <n v="0.97"/>
    <n v="0.31"/>
    <n v="0.99"/>
    <n v="129"/>
    <d v="1899-12-30T00:09:00"/>
    <n v="11"/>
    <s v="Normal"/>
    <s v="Normal"/>
    <n v="2.7027027027027029E-2"/>
    <n v="9.3904448105436578E-2"/>
  </r>
  <r>
    <d v="2024-05-04T00:00:00"/>
    <x v="4"/>
    <s v="S"/>
    <s v="FY25"/>
    <n v="451"/>
    <n v="312"/>
    <n v="0.18684210526315789"/>
    <n v="-4.878048780487805E-2"/>
    <n v="16735"/>
    <n v="15414"/>
    <n v="0.21"/>
    <n v="0.31"/>
    <n v="0.69"/>
    <n v="0.72"/>
    <n v="0.99"/>
    <n v="139"/>
    <d v="1899-12-30T02:23:00"/>
    <n v="4"/>
    <s v="Normal"/>
    <s v="Normal"/>
    <n v="0.18684210526315789"/>
    <n v="-4.878048780487805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6T00:00:00"/>
    <x v="5"/>
    <s v="M"/>
    <s v="FY25"/>
    <n v="763"/>
    <n v="741"/>
    <n v="-8.9498806682577564E-2"/>
    <n v="9.4534711964549489E-2"/>
    <n v="17498"/>
    <n v="16155"/>
    <n v="0.89"/>
    <n v="0.03"/>
    <n v="0.97"/>
    <n v="0.33"/>
    <n v="0.99"/>
    <n v="125"/>
    <d v="1899-12-30T00:09:00"/>
    <n v="10"/>
    <s v="Normal"/>
    <s v="Normal"/>
    <n v="-8.9498806682577564E-2"/>
    <n v="9.4534711964549489E-2"/>
  </r>
  <r>
    <d v="2024-05-07T00:00:00"/>
    <x v="5"/>
    <s v="T"/>
    <s v="FY25"/>
    <n v="693"/>
    <n v="655"/>
    <n v="-8.211920529801324E-2"/>
    <n v="-7.8762306610407881E-2"/>
    <n v="18191"/>
    <n v="16810"/>
    <n v="0.87"/>
    <n v="0.05"/>
    <n v="0.95"/>
    <n v="0.35"/>
    <n v="0.99"/>
    <n v="129"/>
    <d v="1899-12-30T00:11:00"/>
    <n v="10"/>
    <s v="Normal"/>
    <s v="Normal"/>
    <n v="-8.211920529801324E-2"/>
    <n v="-7.8762306610407881E-2"/>
  </r>
  <r>
    <d v="2024-05-08T00:00:00"/>
    <x v="5"/>
    <s v="W"/>
    <s v="FY25"/>
    <n v="749"/>
    <n v="671"/>
    <n v="0"/>
    <n v="0"/>
    <n v="18940"/>
    <n v="17481"/>
    <n v="0.67"/>
    <n v="0.1"/>
    <n v="0.9"/>
    <n v="0.41"/>
    <n v="1"/>
    <n v="138"/>
    <d v="1899-12-30T00:46:00"/>
    <n v="8"/>
    <s v="Normal"/>
    <s v="Normal"/>
    <n v="0"/>
    <n v="0"/>
  </r>
  <r>
    <d v="2024-05-09T00:00:00"/>
    <x v="5"/>
    <s v="R"/>
    <s v="FY25"/>
    <n v="811"/>
    <n v="752"/>
    <n v="0.12952646239554316"/>
    <n v="7.7363896848137534E-2"/>
    <n v="19751"/>
    <n v="18233"/>
    <n v="0.8"/>
    <n v="7.0000000000000007E-2"/>
    <n v="0.93"/>
    <n v="0.42"/>
    <n v="0.99"/>
    <n v="141"/>
    <d v="1899-12-30T00:23:00"/>
    <n v="9"/>
    <s v="Normal"/>
    <s v="Normal"/>
    <n v="0.12952646239554316"/>
    <n v="7.7363896848137534E-2"/>
  </r>
  <r>
    <d v="2024-05-10T00:00:00"/>
    <x v="5"/>
    <s v="F"/>
    <s v="FY25"/>
    <n v="720"/>
    <n v="694"/>
    <n v="5.2631578947368418E-2"/>
    <n v="4.5180722891566265E-2"/>
    <n v="20471"/>
    <n v="18927"/>
    <n v="0.87"/>
    <n v="0.04"/>
    <n v="0.96"/>
    <n v="0.39"/>
    <n v="1"/>
    <n v="128"/>
    <d v="1899-12-30T00:37:00"/>
    <n v="10"/>
    <s v="Normal"/>
    <s v="Normal"/>
    <n v="5.2631578947368418E-2"/>
    <n v="4.5180722891566265E-2"/>
  </r>
  <r>
    <d v="2024-05-11T00:00:00"/>
    <x v="5"/>
    <s v="S"/>
    <s v="FY25"/>
    <n v="360"/>
    <n v="321"/>
    <n v="-0.20177383592017739"/>
    <n v="2.8846153846153848E-2"/>
    <n v="20831"/>
    <n v="19248"/>
    <n v="0.6"/>
    <n v="0.11"/>
    <n v="0.89"/>
    <n v="0.54"/>
    <n v="0.96"/>
    <n v="120"/>
    <d v="1899-12-30T00:39:00"/>
    <n v="5"/>
    <s v="Normal"/>
    <s v="Normal"/>
    <n v="-0.20177383592017739"/>
    <n v="2.8846153846153848E-2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13T00:00:00"/>
    <x v="6"/>
    <s v="M"/>
    <s v="FY25"/>
    <n v="781"/>
    <n v="739"/>
    <n v="2.3591087811271297E-2"/>
    <n v="-2.6990553306342779E-3"/>
    <n v="21612"/>
    <n v="19987"/>
    <n v="0.77"/>
    <n v="0.05"/>
    <n v="0.95"/>
    <n v="0.42"/>
    <n v="1"/>
    <n v="131"/>
    <d v="1899-12-30T00:19:00"/>
    <n v="10"/>
    <s v="Normal"/>
    <s v="Normal"/>
    <n v="2.3591087811271297E-2"/>
    <n v="-2.6990553306342779E-3"/>
  </r>
  <r>
    <d v="2024-05-14T00:00:00"/>
    <x v="6"/>
    <s v="T"/>
    <s v="FY25"/>
    <n v="794"/>
    <n v="688"/>
    <n v="0.14574314574314573"/>
    <n v="5.0381679389312976E-2"/>
    <n v="22406"/>
    <n v="20675"/>
    <n v="0.6"/>
    <n v="0.13"/>
    <n v="0.87"/>
    <n v="0.46"/>
    <n v="0.98"/>
    <n v="138"/>
    <d v="1899-12-30T00:46:00"/>
    <n v="8"/>
    <s v="Normal"/>
    <s v="Normal"/>
    <n v="0.14574314574314573"/>
    <n v="5.0381679389312976E-2"/>
  </r>
  <r>
    <d v="2024-05-15T00:00:00"/>
    <x v="6"/>
    <s v="W"/>
    <s v="FY25"/>
    <n v="718"/>
    <n v="685"/>
    <n v="-4.1388518024032039E-2"/>
    <n v="2.0864381520119227E-2"/>
    <n v="23124"/>
    <n v="21360"/>
    <n v="0.87"/>
    <n v="0.05"/>
    <n v="0.95"/>
    <n v="0.3"/>
    <n v="1"/>
    <n v="128"/>
    <d v="1899-12-30T00:10:00"/>
    <n v="12"/>
    <s v="Normal"/>
    <s v="Normal"/>
    <n v="-4.1388518024032039E-2"/>
    <n v="2.0864381520119227E-2"/>
  </r>
  <r>
    <d v="2024-05-16T00:00:00"/>
    <x v="6"/>
    <s v="R"/>
    <s v="FY25"/>
    <n v="729"/>
    <n v="704"/>
    <n v="-0.10110974106041924"/>
    <n v="-6.3829787234042548E-2"/>
    <n v="23853"/>
    <n v="22064"/>
    <n v="0.87"/>
    <n v="0.03"/>
    <n v="0.97"/>
    <n v="0.34"/>
    <n v="0.99"/>
    <n v="162"/>
    <d v="1899-12-30T00:10:00"/>
    <n v="12"/>
    <s v="Normal"/>
    <s v="Normal"/>
    <n v="-0.10110974106041924"/>
    <n v="-6.3829787234042548E-2"/>
  </r>
  <r>
    <d v="2024-05-17T00:00:00"/>
    <x v="6"/>
    <s v="F"/>
    <s v="FY25"/>
    <n v="653"/>
    <n v="631"/>
    <n v="-9.3055555555555558E-2"/>
    <n v="-9.077809798270893E-2"/>
    <n v="24506"/>
    <n v="22695"/>
    <n v="0.92"/>
    <n v="0.03"/>
    <n v="0.97"/>
    <n v="0.31"/>
    <n v="0.97"/>
    <n v="128"/>
    <d v="1899-12-30T00:08:00"/>
    <n v="12"/>
    <s v="Normal"/>
    <s v="Normal"/>
    <n v="-9.3055555555555558E-2"/>
    <n v="-9.077809798270893E-2"/>
  </r>
  <r>
    <d v="2024-05-18T00:00:00"/>
    <x v="6"/>
    <s v="S"/>
    <s v="FY25"/>
    <n v="336"/>
    <n v="306"/>
    <n v="-6.6666666666666666E-2"/>
    <n v="-4.6728971962616821E-2"/>
    <n v="24842"/>
    <n v="23001"/>
    <n v="0.72"/>
    <n v="0.09"/>
    <n v="0.91"/>
    <n v="0.45"/>
    <n v="0.95"/>
    <n v="125"/>
    <d v="1899-12-30T00:26:00"/>
    <n v="5"/>
    <s v="Normal"/>
    <s v="Normal"/>
    <n v="-6.6666666666666666E-2"/>
    <n v="-4.6728971962616821E-2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0T00:00:00"/>
    <x v="7"/>
    <s v="M"/>
    <s v="FY25"/>
    <n v="714"/>
    <n v="697"/>
    <n v="-8.5787451984635082E-2"/>
    <n v="-5.6833558863328824E-2"/>
    <n v="25556"/>
    <n v="23698"/>
    <n v="0.88"/>
    <n v="0.02"/>
    <n v="0.98"/>
    <n v="0.27"/>
    <n v="0.99"/>
    <n v="117"/>
    <d v="1899-12-30T00:11:00"/>
    <n v="13"/>
    <s v="Normal"/>
    <s v="Normal"/>
    <n v="-8.5787451984635082E-2"/>
    <n v="-5.6833558863328824E-2"/>
  </r>
  <r>
    <d v="2024-05-21T00:00:00"/>
    <x v="7"/>
    <s v="T"/>
    <s v="FY25"/>
    <n v="620"/>
    <n v="595"/>
    <n v="-0.21914357682619648"/>
    <n v="-0.13517441860465115"/>
    <n v="26176"/>
    <n v="24293"/>
    <n v="0.92"/>
    <n v="0.04"/>
    <n v="0.96"/>
    <n v="0.23"/>
    <n v="1"/>
    <n v="118"/>
    <d v="1899-12-30T00:11:00"/>
    <n v="12"/>
    <s v="Normal"/>
    <s v="Normal"/>
    <n v="-0.21914357682619648"/>
    <n v="-0.13517441860465115"/>
  </r>
  <r>
    <d v="2024-05-22T00:00:00"/>
    <x v="7"/>
    <s v="W"/>
    <s v="FY25"/>
    <n v="447"/>
    <n v="364"/>
    <n v="-0.3774373259052925"/>
    <n v="-0.46861313868613141"/>
    <n v="26623"/>
    <n v="24657"/>
    <n v="0.83"/>
    <n v="0.19"/>
    <n v="0.81"/>
    <n v="0.16"/>
    <n v="1"/>
    <n v="111"/>
    <d v="1899-12-30T00:33:00"/>
    <n v="13"/>
    <s v="Normal"/>
    <s v="Outlier"/>
    <n v="-0.3774373259052925"/>
    <n v="-0.46861313868613141"/>
  </r>
  <r>
    <d v="2024-05-23T00:00:00"/>
    <x v="7"/>
    <s v="R"/>
    <s v="FY25"/>
    <n v="492"/>
    <n v="484"/>
    <n v="-0.32510288065843623"/>
    <n v="-0.3125"/>
    <n v="27115"/>
    <n v="25141"/>
    <n v="0.98"/>
    <n v="0.02"/>
    <n v="0.98"/>
    <n v="0.23"/>
    <n v="1"/>
    <n v="123"/>
    <d v="1899-12-30T00:04:00"/>
    <n v="11"/>
    <s v="Normal"/>
    <s v="Normal"/>
    <n v="-0.32510288065843623"/>
    <n v="-0.3125"/>
  </r>
  <r>
    <d v="2024-05-24T00:00:00"/>
    <x v="7"/>
    <s v="F"/>
    <s v="FY25"/>
    <n v="550"/>
    <n v="522"/>
    <n v="-0.15773353751914243"/>
    <n v="-0.17274167987321712"/>
    <n v="27665"/>
    <n v="25663"/>
    <n v="0.9"/>
    <n v="0.05"/>
    <n v="0.95"/>
    <n v="0.28999999999999998"/>
    <n v="1"/>
    <n v="137"/>
    <d v="1899-12-30T00:09:00"/>
    <n v="11"/>
    <s v="Normal"/>
    <s v="Normal"/>
    <n v="-0.15773353751914243"/>
    <n v="-0.17274167987321712"/>
  </r>
  <r>
    <d v="2024-05-25T00:00:00"/>
    <x v="7"/>
    <s v="S"/>
    <s v="FY25"/>
    <n v="276"/>
    <n v="233"/>
    <n v="-0.17857142857142858"/>
    <n v="-0.23856209150326799"/>
    <n v="27941"/>
    <n v="25896"/>
    <n v="0.72"/>
    <n v="0.16"/>
    <n v="0.84"/>
    <n v="0.39"/>
    <n v="0.99"/>
    <n v="101"/>
    <d v="1899-12-30T00:20:00"/>
    <n v="5"/>
    <s v="Normal"/>
    <s v="Normal"/>
    <n v="-0.17857142857142858"/>
    <n v="-0.23856209150326799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7T00:00:00"/>
    <x v="8"/>
    <s v="M"/>
    <s v="FY25"/>
    <n v="567"/>
    <n v="519"/>
    <n v="-0.20588235294117646"/>
    <n v="-0.25538020086083213"/>
    <n v="28508"/>
    <n v="26415"/>
    <n v="0.84"/>
    <n v="0.08"/>
    <n v="0.92"/>
    <n v="0.38"/>
    <n v="1"/>
    <n v="126"/>
    <d v="1899-12-30T00:15:00"/>
    <n v="10"/>
    <s v="Normal"/>
    <s v="Normal"/>
    <n v="-0.20588235294117646"/>
    <n v="-0.25538020086083213"/>
  </r>
  <r>
    <d v="2024-05-28T00:00:00"/>
    <x v="8"/>
    <s v="T"/>
    <s v="FY25"/>
    <n v="590"/>
    <n v="561"/>
    <n v="-4.8387096774193547E-2"/>
    <n v="-5.7142857142857141E-2"/>
    <n v="29098"/>
    <n v="26976"/>
    <n v="0.86"/>
    <n v="0.05"/>
    <n v="0.95"/>
    <n v="0.39"/>
    <n v="0.99"/>
    <n v="125"/>
    <d v="1899-12-30T00:16:00"/>
    <n v="9"/>
    <s v="Normal"/>
    <s v="Normal"/>
    <n v="-4.8387096774193547E-2"/>
    <n v="-5.7142857142857141E-2"/>
  </r>
  <r>
    <d v="2024-05-29T00:00:00"/>
    <x v="8"/>
    <s v="W"/>
    <s v="FY25"/>
    <n v="582"/>
    <n v="544"/>
    <n v="0.30201342281879195"/>
    <n v="0.49450549450549453"/>
    <n v="29680"/>
    <n v="27520"/>
    <n v="0.84"/>
    <n v="7.0000000000000007E-2"/>
    <n v="0.93"/>
    <n v="0.35"/>
    <n v="0.98"/>
    <n v="133"/>
    <d v="1899-12-30T00:17:00"/>
    <n v="9"/>
    <s v="Normal"/>
    <s v="Outlier"/>
    <n v="0.30201342281879195"/>
    <n v="0.49450549450549453"/>
  </r>
  <r>
    <d v="2024-05-30T00:00:00"/>
    <x v="8"/>
    <s v="R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31T00:00:00"/>
    <x v="8"/>
    <s v="F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01T00:00:00"/>
    <x v="8"/>
    <s v="S"/>
    <s v="FY25"/>
    <n v="432"/>
    <n v="294"/>
    <n v="0.56521739130434778"/>
    <n v="0.26180257510729615"/>
    <n v="432"/>
    <n v="294"/>
    <n v="0.27"/>
    <n v="0.32"/>
    <n v="0.68"/>
    <n v="0.67"/>
    <n v="0.97"/>
    <n v="136"/>
    <d v="1899-12-30T02:26:00"/>
    <n v="4"/>
    <s v="Outlier"/>
    <s v="Normal"/>
    <n v="0.56521739130434778"/>
    <n v="0.26180257510729615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03T00:00:00"/>
    <x v="9"/>
    <s v="M"/>
    <s v="FY25"/>
    <n v="889"/>
    <n v="703"/>
    <n v="0.5679012345679012"/>
    <n v="0.35452793834296725"/>
    <n v="1321"/>
    <n v="997"/>
    <n v="0.43"/>
    <n v="0.21"/>
    <n v="0.79"/>
    <n v="0.55000000000000004"/>
    <n v="0.96"/>
    <n v="125"/>
    <d v="1899-12-30T01:28:00"/>
    <n v="8"/>
    <s v="Outlier"/>
    <s v="Outlier"/>
    <n v="0.5679012345679012"/>
    <n v="0.35452793834296725"/>
  </r>
  <r>
    <d v="2024-06-04T00:00:00"/>
    <x v="9"/>
    <s v="T"/>
    <s v="FY25"/>
    <n v="725"/>
    <n v="628"/>
    <n v="0.2288135593220339"/>
    <n v="0.11942959001782531"/>
    <n v="2046"/>
    <n v="1625"/>
    <n v="0.59"/>
    <n v="0.13"/>
    <n v="0.87"/>
    <n v="0.44"/>
    <n v="0.96"/>
    <n v="114"/>
    <d v="1899-12-30T00:39:00"/>
    <n v="8"/>
    <s v="Normal"/>
    <s v="Normal"/>
    <n v="0.2288135593220339"/>
    <n v="0.11942959001782531"/>
  </r>
  <r>
    <d v="2024-06-05T00:00:00"/>
    <x v="9"/>
    <s v="W"/>
    <s v="FY25"/>
    <n v="590"/>
    <n v="402"/>
    <n v="1.3745704467353952E-2"/>
    <n v="-0.2610294117647059"/>
    <n v="2636"/>
    <n v="2027"/>
    <n v="0.63"/>
    <n v="0.32"/>
    <n v="0.68"/>
    <n v="0.32"/>
    <n v="0.98"/>
    <n v="111"/>
    <d v="1899-12-30T01:51:00"/>
    <n v="9"/>
    <s v="Normal"/>
    <s v="Normal"/>
    <n v="1.3745704467353952E-2"/>
    <n v="-0.2610294117647059"/>
  </r>
  <r>
    <d v="2024-06-06T00:00:00"/>
    <x v="9"/>
    <s v="R"/>
    <s v="FY25"/>
    <n v="679"/>
    <n v="626"/>
    <n v="0"/>
    <n v="0"/>
    <n v="3315"/>
    <n v="2653"/>
    <n v="0.78"/>
    <n v="0.08"/>
    <n v="0.92"/>
    <n v="0.33"/>
    <n v="0.97"/>
    <n v="127"/>
    <d v="1899-12-30T00:23:00"/>
    <n v="10"/>
    <s v="Normal"/>
    <s v="Normal"/>
    <n v="0"/>
    <n v="0"/>
  </r>
  <r>
    <d v="2024-06-07T00:00:00"/>
    <x v="9"/>
    <s v="F"/>
    <s v="FY25"/>
    <n v="554"/>
    <n v="524"/>
    <n v="0"/>
    <n v="0"/>
    <n v="3869"/>
    <n v="3177"/>
    <n v="0.87"/>
    <n v="0.05"/>
    <n v="0.95"/>
    <n v="0.28999999999999998"/>
    <n v="0.99"/>
    <n v="126"/>
    <d v="1899-12-30T00:12:00"/>
    <n v="10"/>
    <s v="Normal"/>
    <s v="Normal"/>
    <n v="0"/>
    <n v="0"/>
  </r>
  <r>
    <d v="2024-06-08T00:00:00"/>
    <x v="9"/>
    <s v="S"/>
    <s v="FY25"/>
    <n v="362"/>
    <n v="331"/>
    <n v="-0.16203703703703703"/>
    <n v="0.12585034013605442"/>
    <n v="4231"/>
    <n v="3508"/>
    <n v="0.8"/>
    <n v="0.09"/>
    <n v="0.91"/>
    <n v="0.38"/>
    <n v="1"/>
    <n v="98"/>
    <d v="1899-12-30T00:20:00"/>
    <n v="6"/>
    <s v="Normal"/>
    <s v="Normal"/>
    <n v="-0.16203703703703703"/>
    <n v="0.12585034013605442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0T00:00:00"/>
    <x v="10"/>
    <s v="M"/>
    <s v="FY25"/>
    <n v="663"/>
    <n v="628"/>
    <n v="-0.25421822272215971"/>
    <n v="-0.10668563300142248"/>
    <n v="4894"/>
    <n v="4136"/>
    <n v="0.89"/>
    <n v="0.05"/>
    <n v="0.95"/>
    <n v="0.36"/>
    <n v="1"/>
    <n v="105"/>
    <d v="1899-12-30T00:15:00"/>
    <n v="9"/>
    <s v="Normal"/>
    <s v="Normal"/>
    <n v="-0.25421822272215971"/>
    <n v="-0.10668563300142248"/>
  </r>
  <r>
    <d v="2024-06-11T00:00:00"/>
    <x v="10"/>
    <s v="T"/>
    <s v="FY25"/>
    <n v="600"/>
    <n v="575"/>
    <n v="-0.17241379310344829"/>
    <n v="-8.4394904458598721E-2"/>
    <n v="5494"/>
    <n v="4711"/>
    <n v="0.91"/>
    <n v="0.04"/>
    <n v="0.96"/>
    <n v="0.46"/>
    <n v="1"/>
    <n v="106"/>
    <d v="1899-12-30T00:08:00"/>
    <n v="9"/>
    <s v="Normal"/>
    <s v="Normal"/>
    <n v="-0.17241379310344829"/>
    <n v="-8.4394904458598721E-2"/>
  </r>
  <r>
    <d v="2024-06-12T00:00:00"/>
    <x v="10"/>
    <s v="W"/>
    <s v="FY25"/>
    <n v="551"/>
    <n v="507"/>
    <n v="-6.6101694915254236E-2"/>
    <n v="0.26119402985074625"/>
    <n v="6045"/>
    <n v="5218"/>
    <n v="0.78"/>
    <n v="0.08"/>
    <n v="0.92"/>
    <n v="0.37"/>
    <n v="1"/>
    <n v="119"/>
    <d v="1899-12-30T00:24:00"/>
    <n v="8"/>
    <s v="Normal"/>
    <s v="Normal"/>
    <n v="-6.6101694915254236E-2"/>
    <n v="0.26119402985074625"/>
  </r>
  <r>
    <d v="2024-06-13T00:00:00"/>
    <x v="10"/>
    <s v="R"/>
    <s v="FY25"/>
    <n v="589"/>
    <n v="567"/>
    <n v="-0.13254786450662739"/>
    <n v="-9.4249201277955275E-2"/>
    <n v="6634"/>
    <n v="5785"/>
    <n v="0.86"/>
    <n v="0.04"/>
    <n v="0.96"/>
    <n v="0.31"/>
    <n v="1"/>
    <n v="112"/>
    <d v="1899-12-30T00:14:00"/>
    <n v="10"/>
    <s v="Normal"/>
    <s v="Normal"/>
    <n v="-0.13254786450662739"/>
    <n v="-9.4249201277955275E-2"/>
  </r>
  <r>
    <d v="2024-06-14T00:00:00"/>
    <x v="10"/>
    <s v="F"/>
    <s v="FY25"/>
    <n v="466"/>
    <n v="448"/>
    <n v="-0.1588447653429603"/>
    <n v="-0.14503816793893129"/>
    <n v="7100"/>
    <n v="6233"/>
    <n v="0.92"/>
    <n v="0.04"/>
    <n v="0.96"/>
    <n v="0.26"/>
    <n v="1"/>
    <n v="111"/>
    <d v="1899-12-30T00:10:00"/>
    <n v="11"/>
    <s v="Normal"/>
    <s v="Normal"/>
    <n v="-0.1588447653429603"/>
    <n v="-0.14503816793893129"/>
  </r>
  <r>
    <d v="2024-06-15T00:00:00"/>
    <x v="10"/>
    <s v="S"/>
    <s v="FY25"/>
    <n v="303"/>
    <n v="262"/>
    <n v="-0.16298342541436464"/>
    <n v="-0.20845921450151059"/>
    <n v="7403"/>
    <n v="6495"/>
    <n v="0.64"/>
    <n v="0.14000000000000001"/>
    <n v="0.86"/>
    <n v="0.44"/>
    <n v="0.98"/>
    <n v="129"/>
    <d v="1899-12-30T00:31:00"/>
    <n v="5"/>
    <s v="Normal"/>
    <s v="Normal"/>
    <n v="-0.16298342541436464"/>
    <n v="-0.20845921450151059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7T00:00:00"/>
    <x v="11"/>
    <s v="M"/>
    <s v="FY25"/>
    <n v="564"/>
    <n v="526"/>
    <n v="-0.14932126696832579"/>
    <n v="-0.16242038216560509"/>
    <n v="7967"/>
    <n v="7021"/>
    <n v="0.92"/>
    <n v="7.0000000000000007E-2"/>
    <n v="0.93"/>
    <n v="0.3"/>
    <n v="1"/>
    <n v="120"/>
    <d v="1899-12-30T00:10:00"/>
    <n v="11"/>
    <s v="Normal"/>
    <s v="Normal"/>
    <n v="-0.14932126696832579"/>
    <n v="-0.16242038216560509"/>
  </r>
  <r>
    <d v="2024-06-18T00:00:00"/>
    <x v="11"/>
    <s v="T"/>
    <s v="FY25"/>
    <n v="618"/>
    <n v="525"/>
    <n v="0.03"/>
    <n v="-8.6956521739130432E-2"/>
    <n v="8585"/>
    <n v="7546"/>
    <n v="0.64"/>
    <n v="0.15"/>
    <n v="0.85"/>
    <n v="0.5"/>
    <n v="0.97"/>
    <n v="123"/>
    <d v="1899-12-30T00:49:00"/>
    <n v="7"/>
    <s v="Normal"/>
    <s v="Normal"/>
    <n v="0.03"/>
    <n v="-8.6956521739130432E-2"/>
  </r>
  <r>
    <d v="2024-06-19T00:00:00"/>
    <x v="11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20T00:00:00"/>
    <x v="11"/>
    <s v="R"/>
    <s v="FY25"/>
    <n v="690"/>
    <n v="644"/>
    <n v="0.17147707979626486"/>
    <n v="0.13580246913580246"/>
    <n v="9275"/>
    <n v="8190"/>
    <n v="0.73"/>
    <n v="7.0000000000000007E-2"/>
    <n v="0.93"/>
    <n v="0.39"/>
    <n v="0.99"/>
    <n v="133"/>
    <d v="1899-12-30T00:35:00"/>
    <n v="11"/>
    <s v="Normal"/>
    <s v="Normal"/>
    <n v="0.17147707979626486"/>
    <n v="0.13580246913580246"/>
  </r>
  <r>
    <d v="2024-06-21T00:00:00"/>
    <x v="11"/>
    <s v="F"/>
    <s v="FY25"/>
    <n v="781"/>
    <n v="463"/>
    <n v="0.67596566523605151"/>
    <n v="3.3482142857142856E-2"/>
    <n v="10056"/>
    <n v="8653"/>
    <n v="0.5"/>
    <n v="0.41"/>
    <n v="0.59"/>
    <n v="0.32"/>
    <n v="0.98"/>
    <n v="131"/>
    <d v="1899-12-30T01:45:00"/>
    <n v="9"/>
    <s v="Outlier"/>
    <s v="Normal"/>
    <n v="0.67596566523605151"/>
    <n v="3.3482142857142856E-2"/>
  </r>
  <r>
    <d v="2024-06-22T00:00:00"/>
    <x v="11"/>
    <s v="S"/>
    <s v="FY25"/>
    <n v="323"/>
    <n v="215"/>
    <n v="6.6006600660066E-2"/>
    <n v="-0.17938931297709923"/>
    <n v="10379"/>
    <n v="8868"/>
    <n v="0.28999999999999998"/>
    <n v="0.33"/>
    <n v="0.67"/>
    <n v="0.59"/>
    <n v="1"/>
    <n v="130"/>
    <d v="1899-12-30T02:04:00"/>
    <n v="4"/>
    <s v="Normal"/>
    <s v="Normal"/>
    <n v="6.6006600660066E-2"/>
    <n v="-0.17938931297709923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24T00:00:00"/>
    <x v="12"/>
    <s v="M"/>
    <s v="FY25"/>
    <n v="668"/>
    <n v="622"/>
    <n v="0.18439716312056736"/>
    <n v="0.18250950570342206"/>
    <n v="11047"/>
    <n v="9490"/>
    <n v="0.77"/>
    <n v="7.0000000000000007E-2"/>
    <n v="0.93"/>
    <n v="0.43"/>
    <n v="1"/>
    <n v="122"/>
    <d v="1899-12-30T00:21:00"/>
    <n v="9"/>
    <s v="Normal"/>
    <s v="Normal"/>
    <n v="0.18439716312056736"/>
    <n v="0.18250950570342206"/>
  </r>
  <r>
    <d v="2024-06-25T00:00:00"/>
    <x v="12"/>
    <s v="T"/>
    <s v="FY25"/>
    <n v="553"/>
    <n v="506"/>
    <n v="-0.10517799352750809"/>
    <n v="-3.619047619047619E-2"/>
    <n v="11600"/>
    <n v="9996"/>
    <n v="0.78"/>
    <n v="0.08"/>
    <n v="0.92"/>
    <n v="0.38"/>
    <n v="1"/>
    <n v="124"/>
    <d v="1899-12-30T00:26:00"/>
    <n v="9"/>
    <s v="Normal"/>
    <s v="Normal"/>
    <n v="-0.10517799352750809"/>
    <n v="-3.619047619047619E-2"/>
  </r>
  <r>
    <d v="2024-06-26T00:00:00"/>
    <x v="12"/>
    <s v="W"/>
    <s v="FY25"/>
    <n v="553"/>
    <n v="510"/>
    <n v="0"/>
    <n v="0"/>
    <n v="12153"/>
    <n v="10506"/>
    <n v="0.84"/>
    <n v="0.08"/>
    <n v="0.92"/>
    <n v="0.33"/>
    <n v="1"/>
    <n v="104"/>
    <d v="1899-12-30T00:23:00"/>
    <n v="9"/>
    <s v="Normal"/>
    <s v="Normal"/>
    <n v="0"/>
    <n v="0"/>
  </r>
  <r>
    <d v="2024-06-27T00:00:00"/>
    <x v="12"/>
    <s v="R"/>
    <s v="FY25"/>
    <n v="477"/>
    <n v="456"/>
    <n v="-0.30869565217391304"/>
    <n v="-0.29192546583850931"/>
    <n v="12630"/>
    <n v="10962"/>
    <n v="0.95"/>
    <n v="0.04"/>
    <n v="0.96"/>
    <n v="0.22"/>
    <n v="1"/>
    <n v="108"/>
    <d v="1899-12-30T00:06:00"/>
    <n v="12"/>
    <s v="Normal"/>
    <s v="Normal"/>
    <n v="-0.30869565217391304"/>
    <n v="-0.29192546583850931"/>
  </r>
  <r>
    <d v="2024-06-28T00:00:00"/>
    <x v="12"/>
    <s v="F"/>
    <s v="FY25"/>
    <n v="534"/>
    <n v="499"/>
    <n v="-0.31626120358514725"/>
    <n v="7.775377969762419E-2"/>
    <n v="13164"/>
    <n v="11461"/>
    <n v="0.81"/>
    <n v="7.0000000000000007E-2"/>
    <n v="0.93"/>
    <n v="0.37"/>
    <n v="1"/>
    <n v="114"/>
    <d v="1899-12-30T00:16:00"/>
    <n v="8"/>
    <s v="Normal"/>
    <s v="Normal"/>
    <n v="-0.31626120358514725"/>
    <n v="7.775377969762419E-2"/>
  </r>
  <r>
    <d v="2024-06-29T00:00:00"/>
    <x v="12"/>
    <s v="S"/>
    <s v="FY25"/>
    <n v="265"/>
    <n v="218"/>
    <n v="-0.17956656346749225"/>
    <n v="1.3953488372093023E-2"/>
    <n v="13429"/>
    <n v="11679"/>
    <n v="0.63"/>
    <n v="0.18"/>
    <n v="0.82"/>
    <n v="0.38"/>
    <n v="1"/>
    <n v="117"/>
    <d v="1899-12-30T00:37:00"/>
    <n v="5"/>
    <s v="Normal"/>
    <s v="Normal"/>
    <n v="-0.17956656346749225"/>
    <n v="1.3953488372093023E-2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1T00:00:00"/>
    <x v="13"/>
    <s v="M"/>
    <s v="FY25"/>
    <n v="390"/>
    <n v="375"/>
    <n v="-0.41616766467065869"/>
    <n v="-0.39710610932475882"/>
    <n v="13819"/>
    <n v="12054"/>
    <n v="0.94"/>
    <n v="0.04"/>
    <n v="0.96"/>
    <n v="0.25"/>
    <n v="1"/>
    <n v="87"/>
    <d v="1899-12-30T00:08:00"/>
    <n v="10"/>
    <s v="Normal"/>
    <s v="Outlier"/>
    <n v="-0.41616766467065869"/>
    <n v="-0.39710610932475882"/>
  </r>
  <r>
    <d v="2024-07-02T00:00:00"/>
    <x v="13"/>
    <s v="T"/>
    <s v="FY25"/>
    <n v="659"/>
    <n v="638"/>
    <n v="0.19168173598553345"/>
    <n v="0.2608695652173913"/>
    <n v="14478"/>
    <n v="12692"/>
    <n v="0.91"/>
    <n v="0.03"/>
    <n v="0.97"/>
    <n v="0.34"/>
    <n v="1"/>
    <n v="113"/>
    <d v="1899-12-30T00:09:00"/>
    <n v="11"/>
    <s v="Normal"/>
    <s v="Normal"/>
    <n v="0.19168173598553345"/>
    <n v="0.2608695652173913"/>
  </r>
  <r>
    <d v="2024-07-03T00:00:00"/>
    <x v="13"/>
    <s v="W"/>
    <s v="FY25"/>
    <n v="454"/>
    <n v="429"/>
    <n v="-0.17902350813743217"/>
    <n v="-0.1588235294117647"/>
    <n v="14932"/>
    <n v="13121"/>
    <n v="0.89"/>
    <n v="0.06"/>
    <n v="0.94"/>
    <n v="0.21"/>
    <n v="1"/>
    <n v="106"/>
    <d v="1899-12-30T00:04:00"/>
    <n v="11"/>
    <s v="Normal"/>
    <s v="Normal"/>
    <n v="-0.17902350813743217"/>
    <n v="-0.1588235294117647"/>
  </r>
  <r>
    <d v="2024-07-04T00:00:00"/>
    <x v="13"/>
    <s v="R"/>
    <s v="FY25"/>
    <n v="588"/>
    <n v="561"/>
    <n v="0.23270440251572327"/>
    <n v="0.23026315789473684"/>
    <n v="15520"/>
    <n v="13682"/>
    <n v="0.89"/>
    <n v="0.05"/>
    <n v="0.95"/>
    <n v="0.33"/>
    <n v="1"/>
    <n v="106"/>
    <d v="1899-12-30T00:10:00"/>
    <n v="10"/>
    <s v="Normal"/>
    <s v="Normal"/>
    <n v="0.23270440251572327"/>
    <n v="0.23026315789473684"/>
  </r>
  <r>
    <d v="2024-07-05T00:00:00"/>
    <x v="13"/>
    <s v="F"/>
    <s v="FY25"/>
    <n v="581"/>
    <n v="516"/>
    <n v="8.8014981273408247E-2"/>
    <n v="3.406813627254509E-2"/>
    <n v="16101"/>
    <n v="14198"/>
    <n v="0.79"/>
    <n v="0.11"/>
    <n v="0.89"/>
    <n v="0.37"/>
    <n v="1"/>
    <n v="126"/>
    <d v="1899-12-30T00:35:00"/>
    <n v="9"/>
    <s v="Normal"/>
    <s v="Normal"/>
    <n v="8.8014981273408247E-2"/>
    <n v="3.406813627254509E-2"/>
  </r>
  <r>
    <d v="2024-07-06T00:00:00"/>
    <x v="13"/>
    <s v="S"/>
    <s v="FY25"/>
    <n v="259"/>
    <n v="239"/>
    <n v="-2.2641509433962263E-2"/>
    <n v="9.6330275229357804E-2"/>
    <n v="16360"/>
    <n v="14437"/>
    <n v="0.74"/>
    <n v="0.08"/>
    <n v="0.92"/>
    <n v="0.48"/>
    <n v="1"/>
    <n v="123"/>
    <d v="1899-12-30T00:23:00"/>
    <n v="4"/>
    <s v="Normal"/>
    <s v="Normal"/>
    <n v="-2.2641509433962263E-2"/>
    <n v="9.6330275229357804E-2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8T00:00:00"/>
    <x v="14"/>
    <s v="M"/>
    <s v="FY25"/>
    <n v="612"/>
    <n v="550"/>
    <n v="0.56923076923076921"/>
    <n v="0.46666666666666667"/>
    <n v="16972"/>
    <n v="14987"/>
    <n v="0.76"/>
    <n v="0.1"/>
    <n v="0.9"/>
    <n v="0.46"/>
    <n v="1"/>
    <n v="127"/>
    <d v="1899-12-30T00:25:00"/>
    <n v="8"/>
    <s v="Outlier"/>
    <s v="Outlier"/>
    <n v="0.56923076923076921"/>
    <n v="0.46666666666666667"/>
  </r>
  <r>
    <d v="2024-07-09T00:00:00"/>
    <x v="14"/>
    <s v="T"/>
    <s v="FY25"/>
    <n v="521"/>
    <n v="482"/>
    <n v="-0.20940819423368739"/>
    <n v="-0.2445141065830721"/>
    <n v="17493"/>
    <n v="15469"/>
    <n v="0.86"/>
    <n v="7.0000000000000007E-2"/>
    <n v="0.93"/>
    <n v="0.31"/>
    <n v="1"/>
    <n v="115"/>
    <d v="1899-12-30T00:15:00"/>
    <n v="10"/>
    <s v="Normal"/>
    <s v="Normal"/>
    <n v="-0.20940819423368739"/>
    <n v="-0.2445141065830721"/>
  </r>
  <r>
    <d v="2024-07-10T00:00:00"/>
    <x v="14"/>
    <s v="W"/>
    <s v="FY25"/>
    <n v="525"/>
    <n v="424"/>
    <n v="0.15638766519823788"/>
    <n v="-1.1655011655011656E-2"/>
    <n v="18018"/>
    <n v="15893"/>
    <n v="0.54"/>
    <n v="0.19"/>
    <n v="0.81"/>
    <n v="0.34"/>
    <n v="1"/>
    <n v="111"/>
    <d v="1899-12-30T00:59:00"/>
    <n v="8"/>
    <s v="Normal"/>
    <s v="Normal"/>
    <n v="0.15638766519823788"/>
    <n v="-1.1655011655011656E-2"/>
  </r>
  <r>
    <d v="2024-07-11T00:00:00"/>
    <x v="14"/>
    <s v="R"/>
    <s v="FY25"/>
    <n v="520"/>
    <n v="481"/>
    <n v="-0.11564625850340136"/>
    <n v="-0.14260249554367202"/>
    <n v="18538"/>
    <n v="16374"/>
    <n v="0.87"/>
    <n v="0.08"/>
    <n v="0.92"/>
    <n v="0.3"/>
    <n v="1"/>
    <n v="111"/>
    <d v="1899-12-30T00:20:00"/>
    <n v="9"/>
    <s v="Normal"/>
    <s v="Normal"/>
    <n v="-0.11564625850340136"/>
    <n v="-0.14260249554367202"/>
  </r>
  <r>
    <d v="2024-07-12T00:00:00"/>
    <x v="14"/>
    <s v="F"/>
    <s v="FY25"/>
    <n v="439"/>
    <n v="416"/>
    <n v="-0.24440619621342513"/>
    <n v="-0.19379844961240311"/>
    <n v="18977"/>
    <n v="16790"/>
    <n v="0.83"/>
    <n v="0.05"/>
    <n v="0.95"/>
    <n v="0.28999999999999998"/>
    <n v="1"/>
    <n v="111"/>
    <d v="1899-12-30T00:14:00"/>
    <n v="8"/>
    <s v="Normal"/>
    <s v="Normal"/>
    <n v="-0.24440619621342513"/>
    <n v="-0.19379844961240311"/>
  </r>
  <r>
    <d v="2024-07-13T00:00:00"/>
    <x v="14"/>
    <s v="S"/>
    <s v="FY25"/>
    <n v="324"/>
    <n v="244"/>
    <n v="0.25096525096525096"/>
    <n v="2.0920502092050208E-2"/>
    <n v="19301"/>
    <n v="17034"/>
    <n v="0.52"/>
    <n v="0.25"/>
    <n v="0.75"/>
    <n v="0.35"/>
    <n v="0.99"/>
    <n v="124"/>
    <d v="1899-12-30T02:14:00"/>
    <n v="4"/>
    <s v="Normal"/>
    <s v="Normal"/>
    <n v="0.25096525096525096"/>
    <n v="2.0920502092050208E-2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15T00:00:00"/>
    <x v="15"/>
    <s v="M"/>
    <s v="FY25"/>
    <n v="552"/>
    <n v="485"/>
    <n v="-9.8039215686274508E-2"/>
    <n v="-0.11818181818181818"/>
    <n v="19853"/>
    <n v="17519"/>
    <n v="0.83"/>
    <n v="0.12"/>
    <n v="0.88"/>
    <n v="0.22"/>
    <n v="1"/>
    <n v="123"/>
    <d v="1899-12-30T00:25:00"/>
    <n v="12"/>
    <s v="Normal"/>
    <s v="Normal"/>
    <n v="-9.8039215686274508E-2"/>
    <n v="-0.11818181818181818"/>
  </r>
  <r>
    <d v="2024-07-16T00:00:00"/>
    <x v="15"/>
    <s v="T"/>
    <s v="FY25"/>
    <n v="570"/>
    <n v="543"/>
    <n v="9.4049904030710174E-2"/>
    <n v="0.12655601659751037"/>
    <n v="20423"/>
    <n v="18062"/>
    <n v="0.9"/>
    <n v="0.05"/>
    <n v="0.95"/>
    <n v="0.27"/>
    <n v="1"/>
    <n v="114"/>
    <d v="1899-12-30T00:12:00"/>
    <n v="11"/>
    <s v="Normal"/>
    <s v="Normal"/>
    <n v="9.4049904030710174E-2"/>
    <n v="0.12655601659751037"/>
  </r>
  <r>
    <d v="2024-07-17T00:00:00"/>
    <x v="15"/>
    <s v="W"/>
    <s v="FY25"/>
    <n v="653"/>
    <n v="610"/>
    <n v="0.24380952380952381"/>
    <n v="0.43867924528301888"/>
    <n v="21076"/>
    <n v="18672"/>
    <n v="0.87"/>
    <n v="7.0000000000000007E-2"/>
    <n v="0.93"/>
    <n v="0.3"/>
    <n v="0.99"/>
    <n v="112"/>
    <d v="1899-12-30T00:21:00"/>
    <n v="11"/>
    <s v="Normal"/>
    <s v="Outlier"/>
    <n v="0.24380952380952381"/>
    <n v="0.43867924528301888"/>
  </r>
  <r>
    <d v="2024-07-18T00:00:00"/>
    <x v="15"/>
    <s v="R"/>
    <s v="FY25"/>
    <n v="659"/>
    <n v="589"/>
    <n v="0.2673076923076923"/>
    <n v="0.22453222453222454"/>
    <n v="21735"/>
    <n v="19261"/>
    <n v="0.68"/>
    <n v="0.11"/>
    <n v="0.89"/>
    <n v="0.42"/>
    <n v="1"/>
    <n v="120"/>
    <d v="1899-12-30T00:32:00"/>
    <n v="8"/>
    <s v="Normal"/>
    <s v="Normal"/>
    <n v="0.2673076923076923"/>
    <n v="0.22453222453222454"/>
  </r>
  <r>
    <d v="2024-07-19T00:00:00"/>
    <x v="15"/>
    <s v="F"/>
    <s v="FY25"/>
    <n v="580"/>
    <n v="532"/>
    <n v="0.32118451025056949"/>
    <n v="0.27884615384615385"/>
    <n v="22315"/>
    <n v="19793"/>
    <n v="0.8"/>
    <n v="0.08"/>
    <n v="0.92"/>
    <n v="0.34"/>
    <n v="1"/>
    <n v="120"/>
    <d v="1899-12-30T00:22:00"/>
    <n v="9"/>
    <s v="Normal"/>
    <s v="Normal"/>
    <n v="0.32118451025056949"/>
    <n v="0.27884615384615385"/>
  </r>
  <r>
    <d v="2024-07-20T00:00:00"/>
    <x v="15"/>
    <s v="S"/>
    <s v="FY25"/>
    <n v="320"/>
    <n v="202"/>
    <n v="-1.2345679012345678E-2"/>
    <n v="-0.1721311475409836"/>
    <n v="22635"/>
    <n v="19995"/>
    <n v="0.25"/>
    <n v="0.37"/>
    <n v="0.73"/>
    <n v="0.61"/>
    <n v="1"/>
    <n v="129"/>
    <d v="1899-12-30T02:36:00"/>
    <n v="3"/>
    <s v="Normal"/>
    <s v="Normal"/>
    <n v="-1.2345679012345678E-2"/>
    <n v="-0.1721311475409836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22T00:00:00"/>
    <x v="16"/>
    <s v="M"/>
    <s v="FY25"/>
    <n v="2"/>
    <n v="2"/>
    <n v="-0.99637681159420288"/>
    <n v="-0.99587628865979383"/>
    <n v="22637"/>
    <n v="19997"/>
    <n v="1"/>
    <n v="0"/>
    <n v="1"/>
    <n v="0"/>
    <n v="1"/>
    <n v="58"/>
    <d v="1899-12-30T00:11:00"/>
    <n v="7"/>
    <s v="Outlier"/>
    <s v="Outlier"/>
    <n v="-0.99637681159420288"/>
    <n v="-0.99587628865979383"/>
  </r>
  <r>
    <d v="2024-07-23T00:00:00"/>
    <x v="16"/>
    <s v="T"/>
    <s v="FY25"/>
    <n v="786"/>
    <n v="526"/>
    <n v="0.37894736842105264"/>
    <n v="-3.1307550644567222E-2"/>
    <n v="23423"/>
    <n v="20523"/>
    <n v="0.39"/>
    <n v="0.33"/>
    <n v="0.67"/>
    <n v="0.45"/>
    <n v="1"/>
    <n v="124"/>
    <d v="1899-12-30T02:28:00"/>
    <n v="8"/>
    <s v="Normal"/>
    <s v="Normal"/>
    <n v="0.37894736842105264"/>
    <n v="-3.1307550644567222E-2"/>
  </r>
  <r>
    <d v="2024-07-24T00:00:00"/>
    <x v="16"/>
    <s v="W"/>
    <s v="FY25"/>
    <n v="601"/>
    <n v="472"/>
    <n v="-7.9632465543644712E-2"/>
    <n v="-0.2262295081967213"/>
    <n v="24024"/>
    <n v="20995"/>
    <n v="0.53"/>
    <n v="0.21"/>
    <n v="0.79"/>
    <n v="0.3"/>
    <n v="1"/>
    <n v="111"/>
    <d v="1899-12-30T01:08:00"/>
    <n v="8"/>
    <s v="Normal"/>
    <s v="Normal"/>
    <n v="-7.9632465543644712E-2"/>
    <n v="-0.2262295081967213"/>
  </r>
  <r>
    <d v="2024-07-25T00:00:00"/>
    <x v="16"/>
    <s v="R"/>
    <s v="FY25"/>
    <n v="548"/>
    <n v="525"/>
    <n v="-0.16843702579666162"/>
    <n v="-0.10865874363327674"/>
    <n v="24572"/>
    <n v="21520"/>
    <n v="0.93"/>
    <n v="0.04"/>
    <n v="0.96"/>
    <n v="0.34"/>
    <n v="1"/>
    <n v="119"/>
    <d v="1899-12-30T00:07:00"/>
    <n v="10"/>
    <s v="Normal"/>
    <s v="Normal"/>
    <n v="-0.16843702579666162"/>
    <n v="-0.10865874363327674"/>
  </r>
  <r>
    <d v="2024-07-26T00:00:00"/>
    <x v="16"/>
    <s v="F"/>
    <s v="FY25"/>
    <n v="501"/>
    <n v="455"/>
    <n v="-0.13620689655172413"/>
    <n v="-0.14473684210526316"/>
    <n v="25073"/>
    <n v="21975"/>
    <n v="0.84"/>
    <n v="0.09"/>
    <n v="0.91"/>
    <n v="0.24"/>
    <n v="1"/>
    <n v="111"/>
    <d v="1899-12-30T00:12:00"/>
    <n v="9"/>
    <s v="Normal"/>
    <s v="Normal"/>
    <n v="-0.13620689655172413"/>
    <n v="-0.14473684210526316"/>
  </r>
  <r>
    <d v="2024-07-27T00:00:00"/>
    <x v="16"/>
    <s v="S"/>
    <s v="FY25"/>
    <n v="267"/>
    <n v="228"/>
    <n v="-0.16562499999999999"/>
    <n v="0.12871287128712872"/>
    <n v="25340"/>
    <n v="22203"/>
    <n v="0.56000000000000005"/>
    <n v="0.15"/>
    <n v="0.85"/>
    <n v="0.43"/>
    <n v="1"/>
    <n v="112"/>
    <d v="1899-12-30T00:47:00"/>
    <n v="5"/>
    <s v="Normal"/>
    <s v="Normal"/>
    <n v="-0.16562499999999999"/>
    <n v="0.12871287128712872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29T00:00:00"/>
    <x v="17"/>
    <s v="M"/>
    <s v="FY25"/>
    <n v="591"/>
    <n v="543"/>
    <n v="294.5"/>
    <n v="270.5"/>
    <n v="25931"/>
    <n v="22746"/>
    <n v="0.74"/>
    <n v="0.08"/>
    <n v="0.92"/>
    <n v="0.37"/>
    <n v="1"/>
    <n v="142"/>
    <d v="1899-12-30T00:24:00"/>
    <n v="9"/>
    <s v="Outlier"/>
    <s v="Outlier"/>
    <n v="5.5425044678205735"/>
    <n v="5.4540794919577955"/>
  </r>
  <r>
    <d v="2024-07-30T00:00:00"/>
    <x v="17"/>
    <s v="T"/>
    <s v="FY25"/>
    <n v="642"/>
    <n v="529"/>
    <n v="-0.18320610687022901"/>
    <n v="5.7034220532319393E-3"/>
    <n v="26573"/>
    <n v="23275"/>
    <n v="0.56999999999999995"/>
    <n v="0.18"/>
    <n v="0.82"/>
    <n v="0.46"/>
    <n v="1"/>
    <n v="131"/>
    <d v="1899-12-30T01:03:00"/>
    <n v="7"/>
    <s v="Normal"/>
    <s v="Normal"/>
    <n v="-0.18320610687022901"/>
    <n v="5.7034220532319393E-3"/>
  </r>
  <r>
    <d v="2024-07-31T00:00:00"/>
    <x v="17"/>
    <s v="W"/>
    <s v="FY25"/>
    <n v="693"/>
    <n v="532"/>
    <n v="0.15307820299500832"/>
    <n v="0.1271186440677966"/>
    <n v="27266"/>
    <n v="23807"/>
    <n v="0.45"/>
    <n v="0.23"/>
    <n v="0.77"/>
    <n v="0.42"/>
    <n v="1"/>
    <n v="126"/>
    <d v="1899-12-30T01:17:00"/>
    <n v="7"/>
    <s v="Normal"/>
    <s v="Normal"/>
    <n v="0.15307820299500832"/>
    <n v="0.1271186440677966"/>
  </r>
  <r>
    <d v="2024-08-01T00:00:00"/>
    <x v="17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2T00:00:00"/>
    <x v="17"/>
    <s v="F"/>
    <s v="FY25"/>
    <n v="724"/>
    <n v="606"/>
    <n v="0.44510978043912175"/>
    <n v="0.33186813186813185"/>
    <n v="724"/>
    <n v="606"/>
    <n v="0.56999999999999995"/>
    <n v="0.16"/>
    <n v="0.84"/>
    <n v="0.46"/>
    <n v="1"/>
    <n v="125"/>
    <d v="1899-12-30T00:52:00"/>
    <n v="7"/>
    <s v="Outlier"/>
    <s v="Outlier"/>
    <n v="0.44510978043912175"/>
    <n v="0.33186813186813185"/>
  </r>
  <r>
    <d v="2024-08-03T00:00:00"/>
    <x v="17"/>
    <s v="S"/>
    <s v="FY25"/>
    <n v="353"/>
    <n v="178"/>
    <n v="0.32209737827715357"/>
    <n v="-0.21929824561403508"/>
    <n v="1077"/>
    <n v="784"/>
    <n v="0.18"/>
    <n v="0.5"/>
    <n v="0.5"/>
    <n v="0.51"/>
    <n v="1"/>
    <n v="134"/>
    <d v="1899-12-30T05:10:00"/>
    <n v="3"/>
    <s v="Normal"/>
    <s v="Normal"/>
    <n v="0.32209737827715357"/>
    <n v="-0.21929824561403508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5T00:00:00"/>
    <x v="18"/>
    <s v="M"/>
    <s v="FY25"/>
    <n v="537"/>
    <n v="378"/>
    <n v="-9.1370558375634514E-2"/>
    <n v="-0.30386740331491713"/>
    <n v="1614"/>
    <n v="1162"/>
    <n v="0.45"/>
    <n v="0.3"/>
    <n v="0.7"/>
    <n v="0.33"/>
    <n v="1"/>
    <n v="116"/>
    <d v="1899-12-30T02:22:00"/>
    <n v="8"/>
    <s v="Normal"/>
    <s v="Normal"/>
    <n v="-9.1370558375634514E-2"/>
    <n v="-0.30386740331491713"/>
  </r>
  <r>
    <d v="2024-08-06T00:00:00"/>
    <x v="18"/>
    <s v="T"/>
    <s v="FY25"/>
    <n v="639"/>
    <n v="526"/>
    <n v="-4.6728971962616819E-3"/>
    <n v="-5.6710775047258983E-3"/>
    <n v="2253"/>
    <n v="1688"/>
    <n v="0.61"/>
    <n v="0.18"/>
    <n v="0.82"/>
    <n v="0.39"/>
    <n v="1"/>
    <n v="135"/>
    <d v="1899-12-30T00:53:00"/>
    <n v="8"/>
    <s v="Normal"/>
    <s v="Normal"/>
    <n v="-4.6728971962616819E-3"/>
    <n v="-5.6710775047258983E-3"/>
  </r>
  <r>
    <d v="2024-08-07T00:00:00"/>
    <x v="18"/>
    <s v="W"/>
    <s v="FY25"/>
    <n v="567"/>
    <n v="525"/>
    <n v="-0.18181818181818182"/>
    <n v="-1.3157894736842105E-2"/>
    <n v="2820"/>
    <n v="2213"/>
    <n v="0.8"/>
    <n v="7.0000000000000007E-2"/>
    <n v="0.93"/>
    <n v="0.38"/>
    <n v="1"/>
    <n v="121"/>
    <d v="1899-12-30T00:24:00"/>
    <n v="9"/>
    <s v="Normal"/>
    <s v="Normal"/>
    <n v="-0.18181818181818182"/>
    <n v="-1.3157894736842105E-2"/>
  </r>
  <r>
    <d v="2024-08-08T00:00:00"/>
    <x v="18"/>
    <s v="R"/>
    <s v="FY25"/>
    <n v="593"/>
    <n v="486"/>
    <n v="0"/>
    <n v="0"/>
    <n v="3413"/>
    <n v="2699"/>
    <n v="0.61"/>
    <n v="0.18"/>
    <n v="0.82"/>
    <n v="0.38"/>
    <n v="1"/>
    <n v="136"/>
    <d v="1899-12-30T01:04:00"/>
    <n v="8"/>
    <s v="Normal"/>
    <s v="Normal"/>
    <n v="0"/>
    <n v="0"/>
  </r>
  <r>
    <d v="2024-08-09T00:00:00"/>
    <x v="18"/>
    <s v="F"/>
    <s v="FY25"/>
    <n v="462"/>
    <n v="401"/>
    <n v="-0.36187845303867405"/>
    <n v="-0.33828382838283827"/>
    <n v="3875"/>
    <n v="3100"/>
    <n v="0.65"/>
    <n v="0.13"/>
    <n v="0.87"/>
    <n v="0.28999999999999998"/>
    <n v="1"/>
    <n v="112"/>
    <d v="1899-12-30T00:43:00"/>
    <n v="8"/>
    <s v="Normal"/>
    <s v="Outlier"/>
    <n v="-0.36187845303867405"/>
    <n v="-0.33828382838283827"/>
  </r>
  <r>
    <d v="2024-08-10T00:00:00"/>
    <x v="18"/>
    <s v="S"/>
    <s v="FY25"/>
    <n v="319"/>
    <n v="282"/>
    <n v="-9.6317280453257784E-2"/>
    <n v="0.5842696629213483"/>
    <n v="4194"/>
    <n v="3382"/>
    <n v="0.72"/>
    <n v="0.12"/>
    <n v="0.88"/>
    <n v="0.37"/>
    <n v="1"/>
    <n v="107"/>
    <d v="1899-12-30T00:25:00"/>
    <n v="6"/>
    <s v="Normal"/>
    <s v="Outlier"/>
    <n v="-9.6317280453257784E-2"/>
    <n v="0.5842696629213483"/>
  </r>
  <r>
    <d v="2024-08-11T00:00:00"/>
    <x v="19"/>
    <s v="D"/>
    <s v="FY25"/>
    <m/>
    <m/>
    <m/>
    <m/>
    <m/>
    <m/>
    <m/>
    <m/>
    <m/>
    <m/>
    <m/>
    <m/>
    <m/>
    <m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m/>
    <s v="Normal"/>
    <s v="Normal"/>
    <n v="0"/>
    <n v="0"/>
  </r>
  <r>
    <d v="2024-08-13T00:00:00"/>
    <x v="19"/>
    <m/>
    <m/>
    <m/>
    <m/>
    <m/>
    <m/>
    <m/>
    <m/>
    <m/>
    <m/>
    <m/>
    <m/>
    <m/>
    <m/>
    <m/>
    <m/>
    <s v="Normal"/>
    <s v="Normal"/>
    <n v="0"/>
    <n v="0"/>
  </r>
  <r>
    <d v="2024-08-14T00:00:00"/>
    <x v="19"/>
    <m/>
    <m/>
    <m/>
    <m/>
    <m/>
    <m/>
    <m/>
    <m/>
    <m/>
    <m/>
    <m/>
    <m/>
    <m/>
    <m/>
    <m/>
    <m/>
    <s v="Normal"/>
    <s v="Normal"/>
    <n v="0"/>
    <n v="0"/>
  </r>
  <r>
    <d v="2024-08-15T00:00:00"/>
    <x v="19"/>
    <m/>
    <m/>
    <m/>
    <m/>
    <m/>
    <m/>
    <m/>
    <m/>
    <m/>
    <m/>
    <m/>
    <m/>
    <m/>
    <m/>
    <m/>
    <m/>
    <s v="Normal"/>
    <s v="Normal"/>
    <n v="0"/>
    <n v="0"/>
  </r>
  <r>
    <d v="2024-08-16T00:00:00"/>
    <x v="19"/>
    <m/>
    <m/>
    <m/>
    <m/>
    <m/>
    <m/>
    <m/>
    <m/>
    <m/>
    <m/>
    <m/>
    <m/>
    <m/>
    <m/>
    <m/>
    <m/>
    <s v="Normal"/>
    <s v="Normal"/>
    <n v="0"/>
    <n v="0"/>
  </r>
  <r>
    <d v="2024-08-17T00:00:00"/>
    <x v="19"/>
    <m/>
    <m/>
    <m/>
    <m/>
    <m/>
    <m/>
    <m/>
    <m/>
    <m/>
    <m/>
    <m/>
    <m/>
    <m/>
    <m/>
    <m/>
    <m/>
    <s v="Normal"/>
    <s v="Normal"/>
    <n v="0"/>
    <n v="0"/>
  </r>
  <r>
    <d v="2024-08-18T00:00:00"/>
    <x v="20"/>
    <m/>
    <m/>
    <m/>
    <m/>
    <m/>
    <m/>
    <m/>
    <m/>
    <m/>
    <m/>
    <m/>
    <m/>
    <m/>
    <m/>
    <m/>
    <m/>
    <s v="Normal"/>
    <s v="Normal"/>
    <n v="0"/>
    <n v="0"/>
  </r>
  <r>
    <d v="2024-08-19T00:00:00"/>
    <x v="20"/>
    <m/>
    <m/>
    <m/>
    <m/>
    <m/>
    <m/>
    <m/>
    <m/>
    <m/>
    <m/>
    <m/>
    <m/>
    <m/>
    <m/>
    <m/>
    <m/>
    <s v="Normal"/>
    <s v="Normal"/>
    <n v="0"/>
    <n v="0"/>
  </r>
  <r>
    <d v="2024-08-20T00:00:00"/>
    <x v="20"/>
    <m/>
    <m/>
    <m/>
    <m/>
    <m/>
    <m/>
    <m/>
    <m/>
    <m/>
    <m/>
    <m/>
    <m/>
    <m/>
    <m/>
    <m/>
    <m/>
    <s v="Normal"/>
    <s v="Normal"/>
    <n v="0"/>
    <n v="0"/>
  </r>
  <r>
    <d v="2024-08-21T00:00:00"/>
    <x v="20"/>
    <m/>
    <m/>
    <m/>
    <m/>
    <m/>
    <m/>
    <m/>
    <m/>
    <m/>
    <m/>
    <m/>
    <m/>
    <m/>
    <m/>
    <m/>
    <m/>
    <s v="Normal"/>
    <s v="Normal"/>
    <n v="0"/>
    <n v="0"/>
  </r>
  <r>
    <d v="2024-08-22T00:00:00"/>
    <x v="20"/>
    <m/>
    <m/>
    <m/>
    <m/>
    <m/>
    <m/>
    <m/>
    <m/>
    <m/>
    <m/>
    <m/>
    <m/>
    <m/>
    <m/>
    <m/>
    <m/>
    <s v="Normal"/>
    <s v="Normal"/>
    <n v="0"/>
    <n v="0"/>
  </r>
  <r>
    <d v="2024-08-23T00:00:00"/>
    <x v="20"/>
    <m/>
    <m/>
    <m/>
    <m/>
    <m/>
    <m/>
    <m/>
    <m/>
    <m/>
    <m/>
    <m/>
    <m/>
    <m/>
    <m/>
    <m/>
    <m/>
    <s v="Normal"/>
    <s v="Normal"/>
    <n v="0"/>
    <n v="0"/>
  </r>
  <r>
    <d v="2024-08-24T00:00:00"/>
    <x v="20"/>
    <m/>
    <m/>
    <m/>
    <m/>
    <m/>
    <m/>
    <m/>
    <m/>
    <m/>
    <m/>
    <m/>
    <m/>
    <m/>
    <m/>
    <m/>
    <m/>
    <s v="Normal"/>
    <s v="Normal"/>
    <n v="0"/>
    <n v="0"/>
  </r>
  <r>
    <d v="2024-08-25T00:00:00"/>
    <x v="21"/>
    <m/>
    <m/>
    <m/>
    <m/>
    <m/>
    <m/>
    <m/>
    <m/>
    <m/>
    <m/>
    <m/>
    <m/>
    <m/>
    <m/>
    <m/>
    <m/>
    <s v="Normal"/>
    <s v="Normal"/>
    <n v="0"/>
    <n v="0"/>
  </r>
  <r>
    <d v="2024-08-26T00:00:00"/>
    <x v="21"/>
    <m/>
    <m/>
    <m/>
    <m/>
    <m/>
    <m/>
    <m/>
    <m/>
    <m/>
    <m/>
    <m/>
    <m/>
    <m/>
    <m/>
    <m/>
    <m/>
    <s v="Normal"/>
    <s v="Normal"/>
    <n v="0"/>
    <n v="0"/>
  </r>
  <r>
    <d v="2024-08-27T00:00:00"/>
    <x v="21"/>
    <m/>
    <m/>
    <m/>
    <m/>
    <m/>
    <m/>
    <m/>
    <m/>
    <m/>
    <m/>
    <m/>
    <m/>
    <m/>
    <m/>
    <m/>
    <m/>
    <s v="Normal"/>
    <s v="Normal"/>
    <n v="0"/>
    <n v="0"/>
  </r>
  <r>
    <d v="2024-08-28T00:00:00"/>
    <x v="21"/>
    <m/>
    <m/>
    <m/>
    <m/>
    <m/>
    <m/>
    <m/>
    <m/>
    <m/>
    <m/>
    <m/>
    <m/>
    <m/>
    <m/>
    <m/>
    <m/>
    <s v="Normal"/>
    <s v="Normal"/>
    <n v="0"/>
    <n v="0"/>
  </r>
  <r>
    <d v="2024-08-29T00:00:00"/>
    <x v="21"/>
    <m/>
    <m/>
    <m/>
    <m/>
    <m/>
    <m/>
    <m/>
    <m/>
    <m/>
    <m/>
    <m/>
    <m/>
    <m/>
    <m/>
    <m/>
    <m/>
    <s v="Normal"/>
    <s v="Normal"/>
    <n v="0"/>
    <n v="0"/>
  </r>
  <r>
    <d v="2024-08-30T00:00:00"/>
    <x v="21"/>
    <m/>
    <m/>
    <m/>
    <m/>
    <m/>
    <m/>
    <m/>
    <m/>
    <m/>
    <m/>
    <m/>
    <m/>
    <m/>
    <m/>
    <m/>
    <m/>
    <s v="Normal"/>
    <s v="Normal"/>
    <n v="0"/>
    <n v="0"/>
  </r>
  <r>
    <d v="2024-08-31T00:00:00"/>
    <x v="21"/>
    <m/>
    <m/>
    <m/>
    <m/>
    <m/>
    <m/>
    <m/>
    <m/>
    <m/>
    <m/>
    <m/>
    <m/>
    <m/>
    <m/>
    <m/>
    <m/>
    <s v="Normal"/>
    <s v="Normal"/>
    <n v="0"/>
    <n v="0"/>
  </r>
  <r>
    <d v="2024-09-01T00:00:00"/>
    <x v="22"/>
    <m/>
    <m/>
    <m/>
    <m/>
    <m/>
    <m/>
    <m/>
    <m/>
    <m/>
    <m/>
    <m/>
    <m/>
    <m/>
    <m/>
    <m/>
    <m/>
    <s v="Normal"/>
    <s v="Normal"/>
    <n v="0"/>
    <n v="0"/>
  </r>
  <r>
    <d v="2024-09-02T00:00:00"/>
    <x v="22"/>
    <m/>
    <m/>
    <m/>
    <m/>
    <m/>
    <m/>
    <m/>
    <m/>
    <m/>
    <m/>
    <m/>
    <m/>
    <m/>
    <m/>
    <m/>
    <m/>
    <s v="Normal"/>
    <s v="Normal"/>
    <n v="0"/>
    <n v="0"/>
  </r>
  <r>
    <d v="2024-09-03T00:00:00"/>
    <x v="22"/>
    <m/>
    <m/>
    <m/>
    <m/>
    <m/>
    <m/>
    <m/>
    <m/>
    <m/>
    <m/>
    <m/>
    <m/>
    <m/>
    <m/>
    <m/>
    <m/>
    <s v="Normal"/>
    <s v="Normal"/>
    <n v="0"/>
    <n v="0"/>
  </r>
  <r>
    <d v="2024-09-04T00:00:00"/>
    <x v="22"/>
    <m/>
    <m/>
    <m/>
    <m/>
    <m/>
    <m/>
    <m/>
    <m/>
    <m/>
    <m/>
    <m/>
    <m/>
    <m/>
    <m/>
    <m/>
    <m/>
    <s v="Normal"/>
    <s v="Normal"/>
    <n v="0"/>
    <n v="0"/>
  </r>
  <r>
    <d v="2024-09-05T00:00:00"/>
    <x v="22"/>
    <m/>
    <m/>
    <m/>
    <m/>
    <m/>
    <m/>
    <m/>
    <m/>
    <m/>
    <m/>
    <m/>
    <m/>
    <m/>
    <m/>
    <m/>
    <m/>
    <s v="Normal"/>
    <s v="Normal"/>
    <n v="0"/>
    <n v="0"/>
  </r>
  <r>
    <d v="2024-09-06T00:00:00"/>
    <x v="22"/>
    <m/>
    <m/>
    <m/>
    <m/>
    <m/>
    <m/>
    <m/>
    <m/>
    <m/>
    <m/>
    <m/>
    <m/>
    <m/>
    <m/>
    <m/>
    <m/>
    <s v="Normal"/>
    <s v="Normal"/>
    <n v="0"/>
    <n v="0"/>
  </r>
  <r>
    <d v="2024-09-07T00:00:00"/>
    <x v="22"/>
    <m/>
    <m/>
    <m/>
    <m/>
    <m/>
    <m/>
    <m/>
    <m/>
    <m/>
    <m/>
    <m/>
    <m/>
    <m/>
    <m/>
    <m/>
    <m/>
    <s v="Normal"/>
    <s v="Normal"/>
    <n v="0"/>
    <n v="0"/>
  </r>
  <r>
    <d v="2024-09-08T00:00:00"/>
    <x v="23"/>
    <m/>
    <m/>
    <m/>
    <m/>
    <m/>
    <m/>
    <m/>
    <m/>
    <m/>
    <m/>
    <m/>
    <m/>
    <m/>
    <m/>
    <m/>
    <m/>
    <s v="Normal"/>
    <s v="Normal"/>
    <n v="0"/>
    <n v="0"/>
  </r>
  <r>
    <d v="2024-09-09T00:00:00"/>
    <x v="23"/>
    <m/>
    <m/>
    <m/>
    <m/>
    <m/>
    <m/>
    <m/>
    <m/>
    <m/>
    <m/>
    <m/>
    <m/>
    <m/>
    <m/>
    <m/>
    <m/>
    <s v="Normal"/>
    <s v="Normal"/>
    <n v="0"/>
    <n v="0"/>
  </r>
  <r>
    <d v="2024-09-10T00:00:00"/>
    <x v="23"/>
    <m/>
    <m/>
    <m/>
    <m/>
    <m/>
    <m/>
    <m/>
    <m/>
    <m/>
    <m/>
    <m/>
    <m/>
    <m/>
    <m/>
    <m/>
    <m/>
    <s v="Normal"/>
    <s v="Normal"/>
    <n v="0"/>
    <n v="0"/>
  </r>
  <r>
    <d v="2024-09-11T00:00:00"/>
    <x v="23"/>
    <m/>
    <m/>
    <m/>
    <m/>
    <m/>
    <m/>
    <m/>
    <m/>
    <m/>
    <m/>
    <m/>
    <m/>
    <m/>
    <m/>
    <m/>
    <m/>
    <s v="Normal"/>
    <s v="Normal"/>
    <n v="0"/>
    <n v="0"/>
  </r>
  <r>
    <d v="2024-09-12T00:00:00"/>
    <x v="23"/>
    <m/>
    <m/>
    <m/>
    <m/>
    <m/>
    <m/>
    <m/>
    <m/>
    <m/>
    <m/>
    <m/>
    <m/>
    <m/>
    <m/>
    <m/>
    <m/>
    <s v="Normal"/>
    <s v="Normal"/>
    <n v="0"/>
    <n v="0"/>
  </r>
  <r>
    <d v="2024-09-13T00:00:00"/>
    <x v="23"/>
    <m/>
    <m/>
    <m/>
    <m/>
    <m/>
    <m/>
    <m/>
    <m/>
    <m/>
    <m/>
    <m/>
    <m/>
    <m/>
    <m/>
    <m/>
    <m/>
    <s v="Normal"/>
    <s v="Normal"/>
    <n v="0"/>
    <n v="0"/>
  </r>
  <r>
    <d v="2024-09-14T00:00:00"/>
    <x v="23"/>
    <m/>
    <m/>
    <m/>
    <m/>
    <m/>
    <m/>
    <m/>
    <m/>
    <m/>
    <m/>
    <m/>
    <m/>
    <m/>
    <m/>
    <m/>
    <m/>
    <s v="Normal"/>
    <s v="Normal"/>
    <n v="0"/>
    <n v="0"/>
  </r>
  <r>
    <d v="2024-09-15T00:00:00"/>
    <x v="24"/>
    <m/>
    <m/>
    <m/>
    <m/>
    <m/>
    <m/>
    <m/>
    <m/>
    <m/>
    <m/>
    <m/>
    <m/>
    <m/>
    <m/>
    <m/>
    <m/>
    <s v="Normal"/>
    <s v="Normal"/>
    <n v="0"/>
    <n v="0"/>
  </r>
  <r>
    <d v="2024-09-16T00:00:00"/>
    <x v="24"/>
    <m/>
    <m/>
    <m/>
    <m/>
    <m/>
    <m/>
    <m/>
    <m/>
    <m/>
    <m/>
    <m/>
    <m/>
    <m/>
    <m/>
    <m/>
    <m/>
    <s v="Normal"/>
    <s v="Normal"/>
    <n v="0"/>
    <n v="0"/>
  </r>
  <r>
    <d v="2024-09-17T00:00:00"/>
    <x v="24"/>
    <m/>
    <m/>
    <m/>
    <m/>
    <m/>
    <m/>
    <m/>
    <m/>
    <m/>
    <m/>
    <m/>
    <m/>
    <m/>
    <m/>
    <m/>
    <m/>
    <s v="Normal"/>
    <s v="Normal"/>
    <n v="0"/>
    <n v="0"/>
  </r>
  <r>
    <d v="2024-09-18T00:00:00"/>
    <x v="24"/>
    <m/>
    <m/>
    <m/>
    <m/>
    <m/>
    <m/>
    <m/>
    <m/>
    <m/>
    <m/>
    <m/>
    <m/>
    <m/>
    <m/>
    <m/>
    <m/>
    <s v="Normal"/>
    <s v="Normal"/>
    <n v="0"/>
    <n v="0"/>
  </r>
  <r>
    <d v="2024-09-19T00:00:00"/>
    <x v="24"/>
    <m/>
    <m/>
    <m/>
    <m/>
    <m/>
    <m/>
    <m/>
    <m/>
    <m/>
    <m/>
    <m/>
    <m/>
    <m/>
    <m/>
    <m/>
    <m/>
    <s v="Normal"/>
    <s v="Normal"/>
    <n v="0"/>
    <n v="0"/>
  </r>
  <r>
    <d v="2024-09-20T00:00:00"/>
    <x v="24"/>
    <m/>
    <m/>
    <m/>
    <m/>
    <m/>
    <m/>
    <m/>
    <m/>
    <m/>
    <m/>
    <m/>
    <m/>
    <m/>
    <m/>
    <m/>
    <m/>
    <s v="Normal"/>
    <s v="Normal"/>
    <n v="0"/>
    <n v="0"/>
  </r>
  <r>
    <d v="2024-09-21T00:00:00"/>
    <x v="24"/>
    <m/>
    <m/>
    <m/>
    <m/>
    <m/>
    <m/>
    <m/>
    <m/>
    <m/>
    <m/>
    <m/>
    <m/>
    <m/>
    <m/>
    <m/>
    <m/>
    <s v="Normal"/>
    <s v="Normal"/>
    <n v="0"/>
    <n v="0"/>
  </r>
  <r>
    <d v="2024-09-22T00:00:00"/>
    <x v="25"/>
    <m/>
    <m/>
    <m/>
    <m/>
    <m/>
    <m/>
    <m/>
    <m/>
    <m/>
    <m/>
    <m/>
    <m/>
    <m/>
    <m/>
    <m/>
    <m/>
    <s v="Normal"/>
    <s v="Normal"/>
    <n v="0"/>
    <n v="0"/>
  </r>
  <r>
    <d v="2024-09-23T00:00:00"/>
    <x v="25"/>
    <m/>
    <m/>
    <m/>
    <m/>
    <m/>
    <m/>
    <m/>
    <m/>
    <m/>
    <m/>
    <m/>
    <m/>
    <m/>
    <m/>
    <m/>
    <m/>
    <s v="Normal"/>
    <s v="Normal"/>
    <n v="0"/>
    <n v="0"/>
  </r>
  <r>
    <d v="2024-09-24T00:00:00"/>
    <x v="25"/>
    <m/>
    <m/>
    <m/>
    <m/>
    <m/>
    <m/>
    <m/>
    <m/>
    <m/>
    <m/>
    <m/>
    <m/>
    <m/>
    <m/>
    <m/>
    <m/>
    <s v="Normal"/>
    <s v="Normal"/>
    <n v="0"/>
    <n v="0"/>
  </r>
  <r>
    <d v="2024-09-25T00:00:00"/>
    <x v="25"/>
    <m/>
    <m/>
    <m/>
    <m/>
    <m/>
    <m/>
    <m/>
    <m/>
    <m/>
    <m/>
    <m/>
    <m/>
    <m/>
    <m/>
    <m/>
    <m/>
    <s v="Normal"/>
    <s v="Normal"/>
    <n v="0"/>
    <n v="0"/>
  </r>
  <r>
    <d v="2024-09-26T00:00:00"/>
    <x v="25"/>
    <m/>
    <m/>
    <m/>
    <m/>
    <m/>
    <m/>
    <m/>
    <m/>
    <m/>
    <m/>
    <m/>
    <m/>
    <m/>
    <m/>
    <m/>
    <m/>
    <s v="Normal"/>
    <s v="Normal"/>
    <n v="0"/>
    <n v="0"/>
  </r>
  <r>
    <d v="2024-09-27T00:00:00"/>
    <x v="25"/>
    <m/>
    <m/>
    <m/>
    <m/>
    <m/>
    <m/>
    <m/>
    <m/>
    <m/>
    <m/>
    <m/>
    <m/>
    <m/>
    <m/>
    <m/>
    <m/>
    <s v="Normal"/>
    <s v="Normal"/>
    <n v="0"/>
    <n v="0"/>
  </r>
  <r>
    <d v="2024-09-28T00:00:00"/>
    <x v="25"/>
    <m/>
    <m/>
    <m/>
    <m/>
    <m/>
    <m/>
    <m/>
    <m/>
    <m/>
    <m/>
    <m/>
    <m/>
    <m/>
    <m/>
    <m/>
    <m/>
    <s v="Normal"/>
    <s v="Normal"/>
    <n v="0"/>
    <n v="0"/>
  </r>
  <r>
    <d v="2024-09-29T00:00:00"/>
    <x v="26"/>
    <m/>
    <m/>
    <m/>
    <m/>
    <m/>
    <m/>
    <m/>
    <m/>
    <m/>
    <m/>
    <m/>
    <m/>
    <m/>
    <m/>
    <m/>
    <m/>
    <s v="Normal"/>
    <s v="Normal"/>
    <n v="0"/>
    <n v="0"/>
  </r>
  <r>
    <d v="2024-09-30T00:00:00"/>
    <x v="26"/>
    <m/>
    <m/>
    <m/>
    <m/>
    <m/>
    <m/>
    <m/>
    <m/>
    <m/>
    <m/>
    <m/>
    <m/>
    <m/>
    <m/>
    <m/>
    <m/>
    <s v="Normal"/>
    <s v="Normal"/>
    <n v="0"/>
    <n v="0"/>
  </r>
  <r>
    <d v="2024-10-01T00:00:00"/>
    <x v="26"/>
    <m/>
    <m/>
    <m/>
    <m/>
    <m/>
    <m/>
    <m/>
    <m/>
    <m/>
    <m/>
    <m/>
    <m/>
    <m/>
    <m/>
    <m/>
    <m/>
    <s v="Normal"/>
    <s v="Normal"/>
    <n v="0"/>
    <n v="0"/>
  </r>
  <r>
    <d v="2024-10-02T00:00:00"/>
    <x v="26"/>
    <m/>
    <m/>
    <m/>
    <m/>
    <m/>
    <m/>
    <m/>
    <m/>
    <m/>
    <m/>
    <m/>
    <m/>
    <m/>
    <m/>
    <m/>
    <m/>
    <s v="Normal"/>
    <s v="Normal"/>
    <n v="0"/>
    <n v="0"/>
  </r>
  <r>
    <d v="2024-10-03T00:00:00"/>
    <x v="26"/>
    <m/>
    <m/>
    <m/>
    <m/>
    <m/>
    <m/>
    <m/>
    <m/>
    <m/>
    <m/>
    <m/>
    <m/>
    <m/>
    <m/>
    <m/>
    <m/>
    <s v="Normal"/>
    <s v="Normal"/>
    <n v="0"/>
    <n v="0"/>
  </r>
  <r>
    <d v="2024-10-04T00:00:00"/>
    <x v="26"/>
    <m/>
    <m/>
    <m/>
    <m/>
    <m/>
    <m/>
    <m/>
    <m/>
    <m/>
    <m/>
    <m/>
    <m/>
    <m/>
    <m/>
    <m/>
    <m/>
    <s v="Normal"/>
    <s v="Normal"/>
    <n v="0"/>
    <n v="0"/>
  </r>
  <r>
    <d v="2024-10-05T00:00:00"/>
    <x v="26"/>
    <m/>
    <m/>
    <m/>
    <m/>
    <m/>
    <m/>
    <m/>
    <m/>
    <m/>
    <m/>
    <m/>
    <m/>
    <m/>
    <m/>
    <m/>
    <m/>
    <s v="Normal"/>
    <s v="Normal"/>
    <n v="0"/>
    <n v="0"/>
  </r>
  <r>
    <d v="2024-10-06T00:00:00"/>
    <x v="27"/>
    <m/>
    <m/>
    <m/>
    <m/>
    <m/>
    <m/>
    <m/>
    <m/>
    <m/>
    <m/>
    <m/>
    <m/>
    <m/>
    <m/>
    <m/>
    <m/>
    <s v="Normal"/>
    <s v="Normal"/>
    <n v="0"/>
    <n v="0"/>
  </r>
  <r>
    <d v="2024-10-07T00:00:00"/>
    <x v="27"/>
    <m/>
    <m/>
    <m/>
    <m/>
    <m/>
    <m/>
    <m/>
    <m/>
    <m/>
    <m/>
    <m/>
    <m/>
    <m/>
    <m/>
    <m/>
    <m/>
    <s v="Normal"/>
    <s v="Normal"/>
    <n v="0"/>
    <n v="0"/>
  </r>
  <r>
    <d v="2024-10-08T00:00:00"/>
    <x v="27"/>
    <m/>
    <m/>
    <m/>
    <m/>
    <m/>
    <m/>
    <m/>
    <m/>
    <m/>
    <m/>
    <m/>
    <m/>
    <m/>
    <m/>
    <m/>
    <m/>
    <s v="Normal"/>
    <s v="Normal"/>
    <n v="0"/>
    <n v="0"/>
  </r>
  <r>
    <d v="2024-10-09T00:00:00"/>
    <x v="27"/>
    <m/>
    <m/>
    <m/>
    <m/>
    <m/>
    <m/>
    <m/>
    <m/>
    <m/>
    <m/>
    <m/>
    <m/>
    <m/>
    <m/>
    <m/>
    <m/>
    <s v="Normal"/>
    <s v="Normal"/>
    <n v="0"/>
    <n v="0"/>
  </r>
  <r>
    <d v="2024-10-10T00:00:00"/>
    <x v="27"/>
    <m/>
    <m/>
    <m/>
    <m/>
    <m/>
    <m/>
    <m/>
    <m/>
    <m/>
    <m/>
    <m/>
    <m/>
    <m/>
    <m/>
    <m/>
    <m/>
    <s v="Normal"/>
    <s v="Normal"/>
    <n v="0"/>
    <n v="0"/>
  </r>
  <r>
    <d v="2024-10-11T00:00:00"/>
    <x v="27"/>
    <m/>
    <m/>
    <m/>
    <m/>
    <m/>
    <m/>
    <m/>
    <m/>
    <m/>
    <m/>
    <m/>
    <m/>
    <m/>
    <m/>
    <m/>
    <m/>
    <s v="Normal"/>
    <s v="Normal"/>
    <n v="0"/>
    <n v="0"/>
  </r>
  <r>
    <d v="2024-10-12T00:00:00"/>
    <x v="27"/>
    <m/>
    <m/>
    <m/>
    <m/>
    <m/>
    <m/>
    <m/>
    <m/>
    <m/>
    <m/>
    <m/>
    <m/>
    <m/>
    <m/>
    <m/>
    <m/>
    <s v="Normal"/>
    <s v="Normal"/>
    <n v="0"/>
    <n v="0"/>
  </r>
  <r>
    <d v="2024-10-13T00:00:00"/>
    <x v="28"/>
    <m/>
    <m/>
    <m/>
    <m/>
    <m/>
    <m/>
    <m/>
    <m/>
    <m/>
    <m/>
    <m/>
    <m/>
    <m/>
    <m/>
    <m/>
    <m/>
    <s v="Normal"/>
    <s v="Normal"/>
    <n v="0"/>
    <n v="0"/>
  </r>
  <r>
    <d v="2024-10-14T00:00:00"/>
    <x v="28"/>
    <m/>
    <m/>
    <m/>
    <m/>
    <m/>
    <m/>
    <m/>
    <m/>
    <m/>
    <m/>
    <m/>
    <m/>
    <m/>
    <m/>
    <m/>
    <m/>
    <s v="Normal"/>
    <s v="Normal"/>
    <n v="0"/>
    <n v="0"/>
  </r>
  <r>
    <d v="2024-10-15T00:00:00"/>
    <x v="28"/>
    <m/>
    <m/>
    <m/>
    <m/>
    <m/>
    <m/>
    <m/>
    <m/>
    <m/>
    <m/>
    <m/>
    <m/>
    <m/>
    <m/>
    <m/>
    <m/>
    <s v="Normal"/>
    <s v="Normal"/>
    <n v="0"/>
    <n v="0"/>
  </r>
  <r>
    <d v="2024-10-16T00:00:00"/>
    <x v="28"/>
    <m/>
    <m/>
    <m/>
    <m/>
    <m/>
    <m/>
    <m/>
    <m/>
    <m/>
    <m/>
    <m/>
    <m/>
    <m/>
    <m/>
    <m/>
    <m/>
    <s v="Normal"/>
    <s v="Normal"/>
    <n v="0"/>
    <n v="0"/>
  </r>
  <r>
    <d v="2024-10-17T00:00:00"/>
    <x v="28"/>
    <m/>
    <m/>
    <m/>
    <m/>
    <m/>
    <m/>
    <m/>
    <m/>
    <m/>
    <m/>
    <m/>
    <m/>
    <m/>
    <m/>
    <m/>
    <m/>
    <s v="Normal"/>
    <s v="Normal"/>
    <n v="0"/>
    <n v="0"/>
  </r>
  <r>
    <d v="2024-10-18T00:00:00"/>
    <x v="28"/>
    <m/>
    <m/>
    <m/>
    <m/>
    <m/>
    <m/>
    <m/>
    <m/>
    <m/>
    <m/>
    <m/>
    <m/>
    <m/>
    <m/>
    <m/>
    <m/>
    <s v="Normal"/>
    <s v="Normal"/>
    <n v="0"/>
    <n v="0"/>
  </r>
  <r>
    <d v="2024-10-19T00:00:00"/>
    <x v="28"/>
    <m/>
    <m/>
    <m/>
    <m/>
    <m/>
    <m/>
    <m/>
    <m/>
    <m/>
    <m/>
    <m/>
    <m/>
    <m/>
    <m/>
    <m/>
    <m/>
    <s v="Normal"/>
    <s v="Normal"/>
    <n v="0"/>
    <n v="0"/>
  </r>
  <r>
    <d v="2024-10-20T00:00:00"/>
    <x v="29"/>
    <m/>
    <m/>
    <m/>
    <m/>
    <m/>
    <m/>
    <m/>
    <m/>
    <m/>
    <m/>
    <m/>
    <m/>
    <m/>
    <m/>
    <m/>
    <m/>
    <s v="Normal"/>
    <s v="Normal"/>
    <n v="0"/>
    <n v="0"/>
  </r>
  <r>
    <d v="2024-10-21T00:00:00"/>
    <x v="29"/>
    <m/>
    <m/>
    <m/>
    <m/>
    <m/>
    <m/>
    <m/>
    <m/>
    <m/>
    <m/>
    <m/>
    <m/>
    <m/>
    <m/>
    <m/>
    <m/>
    <s v="Normal"/>
    <s v="Normal"/>
    <n v="0"/>
    <n v="0"/>
  </r>
  <r>
    <d v="2024-10-22T00:00:00"/>
    <x v="29"/>
    <m/>
    <m/>
    <m/>
    <m/>
    <m/>
    <m/>
    <m/>
    <m/>
    <m/>
    <m/>
    <m/>
    <m/>
    <m/>
    <m/>
    <m/>
    <m/>
    <s v="Normal"/>
    <s v="Normal"/>
    <n v="0"/>
    <n v="0"/>
  </r>
  <r>
    <d v="2024-10-23T00:00:00"/>
    <x v="29"/>
    <m/>
    <m/>
    <m/>
    <m/>
    <m/>
    <m/>
    <m/>
    <m/>
    <m/>
    <m/>
    <m/>
    <m/>
    <m/>
    <m/>
    <m/>
    <m/>
    <s v="Normal"/>
    <s v="Normal"/>
    <n v="0"/>
    <n v="0"/>
  </r>
  <r>
    <d v="2024-10-24T00:00:00"/>
    <x v="29"/>
    <m/>
    <m/>
    <m/>
    <m/>
    <m/>
    <m/>
    <m/>
    <m/>
    <m/>
    <m/>
    <m/>
    <m/>
    <m/>
    <m/>
    <m/>
    <m/>
    <s v="Normal"/>
    <s v="Normal"/>
    <n v="0"/>
    <n v="0"/>
  </r>
  <r>
    <d v="2024-10-25T00:00:00"/>
    <x v="29"/>
    <m/>
    <m/>
    <m/>
    <m/>
    <m/>
    <m/>
    <m/>
    <m/>
    <m/>
    <m/>
    <m/>
    <m/>
    <m/>
    <m/>
    <m/>
    <m/>
    <s v="Normal"/>
    <s v="Normal"/>
    <n v="0"/>
    <n v="0"/>
  </r>
  <r>
    <d v="2024-10-26T00:00:00"/>
    <x v="29"/>
    <m/>
    <m/>
    <m/>
    <m/>
    <m/>
    <m/>
    <m/>
    <m/>
    <m/>
    <m/>
    <m/>
    <m/>
    <m/>
    <m/>
    <m/>
    <m/>
    <s v="Normal"/>
    <s v="Normal"/>
    <n v="0"/>
    <n v="0"/>
  </r>
  <r>
    <d v="2024-10-27T00:00:00"/>
    <x v="30"/>
    <m/>
    <m/>
    <m/>
    <m/>
    <m/>
    <m/>
    <m/>
    <m/>
    <m/>
    <m/>
    <m/>
    <m/>
    <m/>
    <m/>
    <m/>
    <m/>
    <s v="Normal"/>
    <s v="Normal"/>
    <n v="0"/>
    <n v="0"/>
  </r>
  <r>
    <d v="2024-10-28T00:00:00"/>
    <x v="30"/>
    <m/>
    <m/>
    <m/>
    <m/>
    <m/>
    <m/>
    <m/>
    <m/>
    <m/>
    <m/>
    <m/>
    <m/>
    <m/>
    <m/>
    <m/>
    <m/>
    <s v="Normal"/>
    <s v="Normal"/>
    <n v="0"/>
    <n v="0"/>
  </r>
  <r>
    <d v="2024-10-29T00:00:00"/>
    <x v="30"/>
    <m/>
    <m/>
    <m/>
    <m/>
    <m/>
    <m/>
    <m/>
    <m/>
    <m/>
    <m/>
    <m/>
    <m/>
    <m/>
    <m/>
    <m/>
    <m/>
    <s v="Normal"/>
    <s v="Normal"/>
    <n v="0"/>
    <n v="0"/>
  </r>
  <r>
    <d v="2024-10-30T00:00:00"/>
    <x v="30"/>
    <m/>
    <m/>
    <m/>
    <m/>
    <m/>
    <m/>
    <m/>
    <m/>
    <m/>
    <m/>
    <m/>
    <m/>
    <m/>
    <m/>
    <m/>
    <m/>
    <s v="Normal"/>
    <s v="Normal"/>
    <n v="0"/>
    <n v="0"/>
  </r>
  <r>
    <d v="2024-10-31T00:00:00"/>
    <x v="30"/>
    <m/>
    <m/>
    <m/>
    <m/>
    <m/>
    <m/>
    <m/>
    <m/>
    <m/>
    <m/>
    <m/>
    <m/>
    <m/>
    <m/>
    <m/>
    <m/>
    <s v="Normal"/>
    <s v="Normal"/>
    <n v="0"/>
    <n v="0"/>
  </r>
  <r>
    <d v="2024-11-01T00:00:00"/>
    <x v="30"/>
    <m/>
    <m/>
    <m/>
    <m/>
    <m/>
    <m/>
    <m/>
    <m/>
    <m/>
    <m/>
    <m/>
    <m/>
    <m/>
    <m/>
    <m/>
    <m/>
    <s v="Normal"/>
    <s v="Normal"/>
    <n v="0"/>
    <n v="0"/>
  </r>
  <r>
    <d v="2024-11-02T00:00:00"/>
    <x v="30"/>
    <m/>
    <m/>
    <m/>
    <m/>
    <m/>
    <m/>
    <m/>
    <m/>
    <m/>
    <m/>
    <m/>
    <m/>
    <m/>
    <m/>
    <m/>
    <m/>
    <s v="Normal"/>
    <s v="Normal"/>
    <n v="0"/>
    <n v="0"/>
  </r>
  <r>
    <d v="2024-11-03T00:00:00"/>
    <x v="31"/>
    <m/>
    <m/>
    <m/>
    <m/>
    <m/>
    <m/>
    <m/>
    <m/>
    <m/>
    <m/>
    <m/>
    <m/>
    <m/>
    <m/>
    <m/>
    <m/>
    <s v="Normal"/>
    <s v="Normal"/>
    <n v="0"/>
    <n v="0"/>
  </r>
  <r>
    <d v="2024-11-04T00:00:00"/>
    <x v="31"/>
    <m/>
    <m/>
    <m/>
    <m/>
    <m/>
    <m/>
    <m/>
    <m/>
    <m/>
    <m/>
    <m/>
    <m/>
    <m/>
    <m/>
    <m/>
    <m/>
    <s v="Normal"/>
    <s v="Normal"/>
    <n v="0"/>
    <n v="0"/>
  </r>
  <r>
    <d v="2024-11-05T00:00:00"/>
    <x v="31"/>
    <m/>
    <m/>
    <m/>
    <m/>
    <m/>
    <m/>
    <m/>
    <m/>
    <m/>
    <m/>
    <m/>
    <m/>
    <m/>
    <m/>
    <m/>
    <m/>
    <s v="Normal"/>
    <s v="Normal"/>
    <n v="0"/>
    <n v="0"/>
  </r>
  <r>
    <d v="2024-11-06T00:00:00"/>
    <x v="31"/>
    <m/>
    <m/>
    <m/>
    <m/>
    <m/>
    <m/>
    <m/>
    <m/>
    <m/>
    <m/>
    <m/>
    <m/>
    <m/>
    <m/>
    <m/>
    <m/>
    <s v="Normal"/>
    <s v="Normal"/>
    <n v="0"/>
    <n v="0"/>
  </r>
  <r>
    <d v="2024-11-07T00:00:00"/>
    <x v="31"/>
    <m/>
    <m/>
    <m/>
    <m/>
    <m/>
    <m/>
    <m/>
    <m/>
    <m/>
    <m/>
    <m/>
    <m/>
    <m/>
    <m/>
    <m/>
    <m/>
    <s v="Normal"/>
    <s v="Normal"/>
    <n v="0"/>
    <n v="0"/>
  </r>
  <r>
    <d v="2024-11-08T00:00:00"/>
    <x v="31"/>
    <m/>
    <m/>
    <m/>
    <m/>
    <m/>
    <m/>
    <m/>
    <m/>
    <m/>
    <m/>
    <m/>
    <m/>
    <m/>
    <m/>
    <m/>
    <m/>
    <s v="Normal"/>
    <s v="Normal"/>
    <n v="0"/>
    <n v="0"/>
  </r>
  <r>
    <d v="2024-11-09T00:00:00"/>
    <x v="31"/>
    <m/>
    <m/>
    <m/>
    <m/>
    <m/>
    <m/>
    <m/>
    <m/>
    <m/>
    <m/>
    <m/>
    <m/>
    <m/>
    <m/>
    <m/>
    <m/>
    <s v="Normal"/>
    <s v="Normal"/>
    <n v="0"/>
    <n v="0"/>
  </r>
  <r>
    <d v="2024-11-10T00:00:00"/>
    <x v="32"/>
    <m/>
    <m/>
    <m/>
    <m/>
    <m/>
    <m/>
    <m/>
    <m/>
    <m/>
    <m/>
    <m/>
    <m/>
    <m/>
    <m/>
    <m/>
    <m/>
    <s v="Normal"/>
    <s v="Normal"/>
    <n v="0"/>
    <n v="0"/>
  </r>
  <r>
    <d v="2024-11-11T00:00:00"/>
    <x v="32"/>
    <m/>
    <m/>
    <m/>
    <m/>
    <m/>
    <m/>
    <m/>
    <m/>
    <m/>
    <m/>
    <m/>
    <m/>
    <m/>
    <m/>
    <m/>
    <m/>
    <s v="Normal"/>
    <s v="Normal"/>
    <n v="0"/>
    <n v="0"/>
  </r>
  <r>
    <d v="2024-11-12T00:00:00"/>
    <x v="32"/>
    <m/>
    <m/>
    <m/>
    <m/>
    <m/>
    <m/>
    <m/>
    <m/>
    <m/>
    <m/>
    <m/>
    <m/>
    <m/>
    <m/>
    <m/>
    <m/>
    <s v="Normal"/>
    <s v="Normal"/>
    <n v="0"/>
    <n v="0"/>
  </r>
  <r>
    <d v="2024-11-13T00:00:00"/>
    <x v="32"/>
    <m/>
    <m/>
    <m/>
    <m/>
    <m/>
    <m/>
    <m/>
    <m/>
    <m/>
    <m/>
    <m/>
    <m/>
    <m/>
    <m/>
    <m/>
    <m/>
    <s v="Normal"/>
    <s v="Normal"/>
    <n v="0"/>
    <n v="0"/>
  </r>
  <r>
    <d v="2024-11-14T00:00:00"/>
    <x v="32"/>
    <m/>
    <m/>
    <m/>
    <m/>
    <m/>
    <m/>
    <m/>
    <m/>
    <m/>
    <m/>
    <m/>
    <m/>
    <m/>
    <m/>
    <m/>
    <m/>
    <s v="Normal"/>
    <s v="Normal"/>
    <n v="0"/>
    <n v="0"/>
  </r>
  <r>
    <d v="2024-11-15T00:00:00"/>
    <x v="32"/>
    <m/>
    <m/>
    <m/>
    <m/>
    <m/>
    <m/>
    <m/>
    <m/>
    <m/>
    <m/>
    <m/>
    <m/>
    <m/>
    <m/>
    <m/>
    <m/>
    <s v="Normal"/>
    <s v="Normal"/>
    <n v="0"/>
    <n v="0"/>
  </r>
  <r>
    <d v="2024-11-16T00:00:00"/>
    <x v="32"/>
    <m/>
    <m/>
    <m/>
    <m/>
    <m/>
    <m/>
    <m/>
    <m/>
    <m/>
    <m/>
    <m/>
    <m/>
    <m/>
    <m/>
    <m/>
    <m/>
    <s v="Normal"/>
    <s v="Normal"/>
    <n v="0"/>
    <n v="0"/>
  </r>
  <r>
    <d v="2024-11-17T00:00:00"/>
    <x v="33"/>
    <m/>
    <m/>
    <m/>
    <m/>
    <m/>
    <m/>
    <m/>
    <m/>
    <m/>
    <m/>
    <m/>
    <m/>
    <m/>
    <m/>
    <m/>
    <m/>
    <s v="Normal"/>
    <s v="Normal"/>
    <n v="0"/>
    <n v="0"/>
  </r>
  <r>
    <d v="2024-11-18T00:00:00"/>
    <x v="33"/>
    <m/>
    <m/>
    <m/>
    <m/>
    <m/>
    <m/>
    <m/>
    <m/>
    <m/>
    <m/>
    <m/>
    <m/>
    <m/>
    <m/>
    <m/>
    <m/>
    <s v="Normal"/>
    <s v="Normal"/>
    <n v="0"/>
    <n v="0"/>
  </r>
  <r>
    <d v="2024-11-19T00:00:00"/>
    <x v="33"/>
    <m/>
    <m/>
    <m/>
    <m/>
    <m/>
    <m/>
    <m/>
    <m/>
    <m/>
    <m/>
    <m/>
    <m/>
    <m/>
    <m/>
    <m/>
    <m/>
    <s v="Normal"/>
    <s v="Normal"/>
    <n v="0"/>
    <n v="0"/>
  </r>
  <r>
    <d v="2024-11-20T00:00:00"/>
    <x v="33"/>
    <m/>
    <m/>
    <m/>
    <m/>
    <m/>
    <m/>
    <m/>
    <m/>
    <m/>
    <m/>
    <m/>
    <m/>
    <m/>
    <m/>
    <m/>
    <m/>
    <s v="Normal"/>
    <s v="Normal"/>
    <n v="0"/>
    <n v="0"/>
  </r>
  <r>
    <d v="2024-11-21T00:00:00"/>
    <x v="33"/>
    <m/>
    <m/>
    <m/>
    <m/>
    <m/>
    <m/>
    <m/>
    <m/>
    <m/>
    <m/>
    <m/>
    <m/>
    <m/>
    <m/>
    <m/>
    <m/>
    <s v="Normal"/>
    <s v="Normal"/>
    <n v="0"/>
    <n v="0"/>
  </r>
  <r>
    <d v="2024-11-22T00:00:00"/>
    <x v="33"/>
    <m/>
    <m/>
    <m/>
    <m/>
    <m/>
    <m/>
    <m/>
    <m/>
    <m/>
    <m/>
    <m/>
    <m/>
    <m/>
    <m/>
    <m/>
    <m/>
    <s v="Normal"/>
    <s v="Normal"/>
    <n v="0"/>
    <n v="0"/>
  </r>
  <r>
    <d v="2024-11-23T00:00:00"/>
    <x v="33"/>
    <m/>
    <m/>
    <m/>
    <m/>
    <m/>
    <m/>
    <m/>
    <m/>
    <m/>
    <m/>
    <m/>
    <m/>
    <m/>
    <m/>
    <m/>
    <m/>
    <s v="Normal"/>
    <s v="Normal"/>
    <n v="0"/>
    <n v="0"/>
  </r>
  <r>
    <d v="2024-11-24T00:00:00"/>
    <x v="34"/>
    <m/>
    <m/>
    <m/>
    <m/>
    <m/>
    <m/>
    <m/>
    <m/>
    <m/>
    <m/>
    <m/>
    <m/>
    <m/>
    <m/>
    <m/>
    <m/>
    <s v="Normal"/>
    <s v="Normal"/>
    <n v="0"/>
    <n v="0"/>
  </r>
  <r>
    <d v="2024-11-25T00:00:00"/>
    <x v="34"/>
    <m/>
    <m/>
    <m/>
    <m/>
    <m/>
    <m/>
    <m/>
    <m/>
    <m/>
    <m/>
    <m/>
    <m/>
    <m/>
    <m/>
    <m/>
    <m/>
    <s v="Normal"/>
    <s v="Normal"/>
    <n v="0"/>
    <n v="0"/>
  </r>
  <r>
    <d v="2024-11-26T00:00:00"/>
    <x v="34"/>
    <m/>
    <m/>
    <m/>
    <m/>
    <m/>
    <m/>
    <m/>
    <m/>
    <m/>
    <m/>
    <m/>
    <m/>
    <m/>
    <m/>
    <m/>
    <m/>
    <s v="Normal"/>
    <s v="Normal"/>
    <n v="0"/>
    <n v="0"/>
  </r>
  <r>
    <d v="2024-11-27T00:00:00"/>
    <x v="34"/>
    <m/>
    <m/>
    <m/>
    <m/>
    <m/>
    <m/>
    <m/>
    <m/>
    <m/>
    <m/>
    <m/>
    <m/>
    <m/>
    <m/>
    <m/>
    <m/>
    <s v="Normal"/>
    <s v="Normal"/>
    <n v="0"/>
    <n v="0"/>
  </r>
  <r>
    <d v="2024-11-28T00:00:00"/>
    <x v="34"/>
    <m/>
    <m/>
    <m/>
    <m/>
    <m/>
    <m/>
    <m/>
    <m/>
    <m/>
    <m/>
    <m/>
    <m/>
    <m/>
    <m/>
    <m/>
    <m/>
    <s v="Normal"/>
    <s v="Normal"/>
    <n v="0"/>
    <n v="0"/>
  </r>
  <r>
    <d v="2024-11-29T00:00:00"/>
    <x v="34"/>
    <m/>
    <m/>
    <m/>
    <m/>
    <m/>
    <m/>
    <m/>
    <m/>
    <m/>
    <m/>
    <m/>
    <m/>
    <m/>
    <m/>
    <m/>
    <m/>
    <s v="Normal"/>
    <s v="Normal"/>
    <n v="0"/>
    <n v="0"/>
  </r>
  <r>
    <d v="2024-11-30T00:00:00"/>
    <x v="34"/>
    <m/>
    <m/>
    <m/>
    <m/>
    <m/>
    <m/>
    <m/>
    <m/>
    <m/>
    <m/>
    <m/>
    <m/>
    <m/>
    <m/>
    <m/>
    <m/>
    <s v="Normal"/>
    <s v="Normal"/>
    <n v="0"/>
    <n v="0"/>
  </r>
  <r>
    <d v="2024-12-01T00:00:00"/>
    <x v="35"/>
    <m/>
    <m/>
    <m/>
    <m/>
    <m/>
    <m/>
    <m/>
    <m/>
    <m/>
    <m/>
    <m/>
    <m/>
    <m/>
    <m/>
    <m/>
    <m/>
    <s v="Normal"/>
    <s v="Normal"/>
    <n v="0"/>
    <n v="0"/>
  </r>
  <r>
    <d v="2024-12-02T00:00:00"/>
    <x v="35"/>
    <m/>
    <m/>
    <m/>
    <m/>
    <m/>
    <m/>
    <m/>
    <m/>
    <m/>
    <m/>
    <m/>
    <m/>
    <m/>
    <m/>
    <m/>
    <m/>
    <s v="Normal"/>
    <s v="Normal"/>
    <n v="0"/>
    <n v="0"/>
  </r>
  <r>
    <d v="2024-12-03T00:00:00"/>
    <x v="35"/>
    <m/>
    <m/>
    <m/>
    <m/>
    <m/>
    <m/>
    <m/>
    <m/>
    <m/>
    <m/>
    <m/>
    <m/>
    <m/>
    <m/>
    <m/>
    <m/>
    <s v="Normal"/>
    <s v="Normal"/>
    <n v="0"/>
    <n v="0"/>
  </r>
  <r>
    <d v="2024-12-04T00:00:00"/>
    <x v="35"/>
    <m/>
    <m/>
    <m/>
    <m/>
    <m/>
    <m/>
    <m/>
    <m/>
    <m/>
    <m/>
    <m/>
    <m/>
    <m/>
    <m/>
    <m/>
    <m/>
    <s v="Normal"/>
    <s v="Normal"/>
    <n v="0"/>
    <n v="0"/>
  </r>
  <r>
    <d v="2024-12-05T00:00:00"/>
    <x v="35"/>
    <m/>
    <m/>
    <m/>
    <m/>
    <m/>
    <m/>
    <m/>
    <m/>
    <m/>
    <m/>
    <m/>
    <m/>
    <m/>
    <m/>
    <m/>
    <m/>
    <s v="Normal"/>
    <s v="Normal"/>
    <n v="0"/>
    <n v="0"/>
  </r>
  <r>
    <d v="2024-12-06T00:00:00"/>
    <x v="35"/>
    <m/>
    <m/>
    <m/>
    <m/>
    <m/>
    <m/>
    <m/>
    <m/>
    <m/>
    <m/>
    <m/>
    <m/>
    <m/>
    <m/>
    <m/>
    <m/>
    <s v="Normal"/>
    <s v="Normal"/>
    <n v="0"/>
    <n v="0"/>
  </r>
  <r>
    <d v="2024-12-07T00:00:00"/>
    <x v="35"/>
    <m/>
    <m/>
    <m/>
    <m/>
    <m/>
    <m/>
    <m/>
    <m/>
    <m/>
    <m/>
    <m/>
    <m/>
    <m/>
    <m/>
    <m/>
    <m/>
    <s v="Normal"/>
    <s v="Normal"/>
    <n v="0"/>
    <n v="0"/>
  </r>
  <r>
    <d v="2024-12-08T00:00:00"/>
    <x v="36"/>
    <m/>
    <m/>
    <m/>
    <m/>
    <m/>
    <m/>
    <m/>
    <m/>
    <m/>
    <m/>
    <m/>
    <m/>
    <m/>
    <m/>
    <m/>
    <m/>
    <s v="Normal"/>
    <s v="Normal"/>
    <n v="0"/>
    <n v="0"/>
  </r>
  <r>
    <d v="2024-12-09T00:00:00"/>
    <x v="36"/>
    <m/>
    <m/>
    <m/>
    <m/>
    <m/>
    <m/>
    <m/>
    <m/>
    <m/>
    <m/>
    <m/>
    <m/>
    <m/>
    <m/>
    <m/>
    <m/>
    <s v="Normal"/>
    <s v="Normal"/>
    <n v="0"/>
    <n v="0"/>
  </r>
  <r>
    <d v="2024-12-10T00:00:00"/>
    <x v="36"/>
    <m/>
    <m/>
    <m/>
    <m/>
    <m/>
    <m/>
    <m/>
    <m/>
    <m/>
    <m/>
    <m/>
    <m/>
    <m/>
    <m/>
    <m/>
    <m/>
    <s v="Normal"/>
    <s v="Normal"/>
    <n v="0"/>
    <n v="0"/>
  </r>
  <r>
    <d v="2024-12-11T00:00:00"/>
    <x v="36"/>
    <m/>
    <m/>
    <m/>
    <m/>
    <m/>
    <m/>
    <m/>
    <m/>
    <m/>
    <m/>
    <m/>
    <m/>
    <m/>
    <m/>
    <m/>
    <m/>
    <s v="Normal"/>
    <s v="Normal"/>
    <n v="0"/>
    <n v="0"/>
  </r>
  <r>
    <d v="2024-12-12T00:00:00"/>
    <x v="36"/>
    <m/>
    <m/>
    <m/>
    <m/>
    <m/>
    <m/>
    <m/>
    <m/>
    <m/>
    <m/>
    <m/>
    <m/>
    <m/>
    <m/>
    <m/>
    <m/>
    <s v="Normal"/>
    <s v="Normal"/>
    <n v="0"/>
    <n v="0"/>
  </r>
  <r>
    <d v="2024-12-13T00:00:00"/>
    <x v="36"/>
    <m/>
    <m/>
    <m/>
    <m/>
    <m/>
    <m/>
    <m/>
    <m/>
    <m/>
    <m/>
    <m/>
    <m/>
    <m/>
    <m/>
    <m/>
    <m/>
    <s v="Normal"/>
    <s v="Normal"/>
    <n v="0"/>
    <n v="0"/>
  </r>
  <r>
    <d v="2024-12-14T00:00:00"/>
    <x v="36"/>
    <m/>
    <m/>
    <m/>
    <m/>
    <m/>
    <m/>
    <m/>
    <m/>
    <m/>
    <m/>
    <m/>
    <m/>
    <m/>
    <m/>
    <m/>
    <m/>
    <s v="Normal"/>
    <s v="Normal"/>
    <n v="0"/>
    <n v="0"/>
  </r>
  <r>
    <d v="2024-12-15T00:00:00"/>
    <x v="37"/>
    <m/>
    <m/>
    <m/>
    <m/>
    <m/>
    <m/>
    <m/>
    <m/>
    <m/>
    <m/>
    <m/>
    <m/>
    <m/>
    <m/>
    <m/>
    <m/>
    <s v="Normal"/>
    <s v="Normal"/>
    <n v="0"/>
    <n v="0"/>
  </r>
  <r>
    <d v="2024-12-16T00:00:00"/>
    <x v="37"/>
    <m/>
    <m/>
    <m/>
    <m/>
    <m/>
    <m/>
    <m/>
    <m/>
    <m/>
    <m/>
    <m/>
    <m/>
    <m/>
    <m/>
    <m/>
    <m/>
    <s v="Normal"/>
    <s v="Normal"/>
    <n v="0"/>
    <n v="0"/>
  </r>
  <r>
    <d v="2024-12-17T00:00:00"/>
    <x v="37"/>
    <m/>
    <m/>
    <m/>
    <m/>
    <m/>
    <m/>
    <m/>
    <m/>
    <m/>
    <m/>
    <m/>
    <m/>
    <m/>
    <m/>
    <m/>
    <m/>
    <s v="Normal"/>
    <s v="Normal"/>
    <n v="0"/>
    <n v="0"/>
  </r>
  <r>
    <d v="2024-12-18T00:00:00"/>
    <x v="37"/>
    <m/>
    <m/>
    <m/>
    <m/>
    <m/>
    <m/>
    <m/>
    <m/>
    <m/>
    <m/>
    <m/>
    <m/>
    <m/>
    <m/>
    <m/>
    <m/>
    <s v="Normal"/>
    <s v="Normal"/>
    <n v="0"/>
    <n v="0"/>
  </r>
  <r>
    <d v="2024-12-19T00:00:00"/>
    <x v="37"/>
    <m/>
    <m/>
    <m/>
    <m/>
    <m/>
    <m/>
    <m/>
    <m/>
    <m/>
    <m/>
    <m/>
    <m/>
    <m/>
    <m/>
    <m/>
    <m/>
    <s v="Normal"/>
    <s v="Normal"/>
    <n v="0"/>
    <n v="0"/>
  </r>
  <r>
    <d v="2024-12-20T00:00:00"/>
    <x v="37"/>
    <m/>
    <m/>
    <m/>
    <m/>
    <m/>
    <m/>
    <m/>
    <m/>
    <m/>
    <m/>
    <m/>
    <m/>
    <m/>
    <m/>
    <m/>
    <m/>
    <s v="Normal"/>
    <s v="Normal"/>
    <n v="0"/>
    <n v="0"/>
  </r>
  <r>
    <d v="2024-12-21T00:00:00"/>
    <x v="37"/>
    <m/>
    <m/>
    <m/>
    <m/>
    <m/>
    <m/>
    <m/>
    <m/>
    <m/>
    <m/>
    <m/>
    <m/>
    <m/>
    <m/>
    <m/>
    <m/>
    <s v="Normal"/>
    <s v="Normal"/>
    <n v="0"/>
    <n v="0"/>
  </r>
  <r>
    <d v="2024-12-22T00:00:00"/>
    <x v="38"/>
    <m/>
    <m/>
    <m/>
    <m/>
    <m/>
    <m/>
    <m/>
    <m/>
    <m/>
    <m/>
    <m/>
    <m/>
    <m/>
    <m/>
    <m/>
    <m/>
    <s v="Normal"/>
    <s v="Normal"/>
    <n v="0"/>
    <n v="0"/>
  </r>
  <r>
    <d v="2024-12-23T00:00:00"/>
    <x v="38"/>
    <m/>
    <m/>
    <m/>
    <m/>
    <m/>
    <m/>
    <m/>
    <m/>
    <m/>
    <m/>
    <m/>
    <m/>
    <m/>
    <m/>
    <m/>
    <m/>
    <s v="Normal"/>
    <s v="Normal"/>
    <n v="0"/>
    <n v="0"/>
  </r>
  <r>
    <d v="2024-12-24T00:00:00"/>
    <x v="38"/>
    <m/>
    <m/>
    <m/>
    <m/>
    <m/>
    <m/>
    <m/>
    <m/>
    <m/>
    <m/>
    <m/>
    <m/>
    <m/>
    <m/>
    <m/>
    <m/>
    <s v="Normal"/>
    <s v="Normal"/>
    <n v="0"/>
    <n v="0"/>
  </r>
  <r>
    <d v="2024-12-25T00:00:00"/>
    <x v="38"/>
    <m/>
    <m/>
    <m/>
    <m/>
    <m/>
    <m/>
    <m/>
    <m/>
    <m/>
    <m/>
    <m/>
    <m/>
    <m/>
    <m/>
    <m/>
    <m/>
    <s v="Normal"/>
    <s v="Normal"/>
    <n v="0"/>
    <n v="0"/>
  </r>
  <r>
    <d v="2024-12-26T00:00:00"/>
    <x v="38"/>
    <m/>
    <m/>
    <m/>
    <m/>
    <m/>
    <m/>
    <m/>
    <m/>
    <m/>
    <m/>
    <m/>
    <m/>
    <m/>
    <m/>
    <m/>
    <m/>
    <s v="Normal"/>
    <s v="Normal"/>
    <n v="0"/>
    <n v="0"/>
  </r>
  <r>
    <d v="2024-12-27T00:00:00"/>
    <x v="38"/>
    <m/>
    <m/>
    <m/>
    <m/>
    <m/>
    <m/>
    <m/>
    <m/>
    <m/>
    <m/>
    <m/>
    <m/>
    <m/>
    <m/>
    <m/>
    <m/>
    <s v="Normal"/>
    <s v="Normal"/>
    <n v="0"/>
    <n v="0"/>
  </r>
  <r>
    <d v="2024-12-28T00:00:00"/>
    <x v="38"/>
    <m/>
    <m/>
    <m/>
    <m/>
    <m/>
    <m/>
    <m/>
    <m/>
    <m/>
    <m/>
    <m/>
    <m/>
    <m/>
    <m/>
    <m/>
    <m/>
    <s v="Normal"/>
    <s v="Normal"/>
    <n v="0"/>
    <n v="0"/>
  </r>
  <r>
    <d v="2024-12-29T00:00:00"/>
    <x v="39"/>
    <m/>
    <m/>
    <m/>
    <m/>
    <m/>
    <m/>
    <m/>
    <m/>
    <m/>
    <m/>
    <m/>
    <m/>
    <m/>
    <m/>
    <m/>
    <m/>
    <s v="Normal"/>
    <s v="Normal"/>
    <n v="0"/>
    <n v="0"/>
  </r>
  <r>
    <d v="2024-12-30T00:00:00"/>
    <x v="39"/>
    <m/>
    <m/>
    <m/>
    <m/>
    <m/>
    <m/>
    <m/>
    <m/>
    <m/>
    <m/>
    <m/>
    <m/>
    <m/>
    <m/>
    <m/>
    <m/>
    <s v="Normal"/>
    <s v="Normal"/>
    <n v="0"/>
    <n v="0"/>
  </r>
  <r>
    <d v="2024-12-31T00:00:00"/>
    <x v="39"/>
    <m/>
    <m/>
    <m/>
    <m/>
    <m/>
    <m/>
    <m/>
    <m/>
    <m/>
    <m/>
    <m/>
    <m/>
    <m/>
    <m/>
    <m/>
    <m/>
    <s v="Normal"/>
    <s v="Normal"/>
    <n v="0"/>
    <n v="0"/>
  </r>
  <r>
    <d v="2025-01-01T00:00:00"/>
    <x v="40"/>
    <m/>
    <m/>
    <m/>
    <m/>
    <m/>
    <m/>
    <m/>
    <m/>
    <m/>
    <m/>
    <m/>
    <m/>
    <m/>
    <m/>
    <m/>
    <m/>
    <s v="Normal"/>
    <s v="Normal"/>
    <n v="0"/>
    <n v="0"/>
  </r>
  <r>
    <d v="2025-01-02T00:00:00"/>
    <x v="40"/>
    <m/>
    <m/>
    <m/>
    <m/>
    <m/>
    <m/>
    <m/>
    <m/>
    <m/>
    <m/>
    <m/>
    <m/>
    <m/>
    <m/>
    <m/>
    <m/>
    <s v="Normal"/>
    <s v="Normal"/>
    <n v="0"/>
    <n v="0"/>
  </r>
  <r>
    <d v="2025-01-03T00:00:00"/>
    <x v="40"/>
    <m/>
    <m/>
    <m/>
    <m/>
    <m/>
    <m/>
    <m/>
    <m/>
    <m/>
    <m/>
    <m/>
    <m/>
    <m/>
    <m/>
    <m/>
    <m/>
    <s v="Normal"/>
    <s v="Normal"/>
    <n v="0"/>
    <n v="0"/>
  </r>
  <r>
    <d v="2025-01-04T00:00:00"/>
    <x v="40"/>
    <m/>
    <m/>
    <m/>
    <m/>
    <m/>
    <m/>
    <m/>
    <m/>
    <m/>
    <m/>
    <m/>
    <m/>
    <m/>
    <m/>
    <m/>
    <m/>
    <s v="Normal"/>
    <s v="Normal"/>
    <n v="0"/>
    <n v="0"/>
  </r>
  <r>
    <d v="2025-01-05T00:00:00"/>
    <x v="41"/>
    <m/>
    <m/>
    <m/>
    <m/>
    <m/>
    <m/>
    <m/>
    <m/>
    <m/>
    <m/>
    <m/>
    <m/>
    <m/>
    <m/>
    <m/>
    <m/>
    <s v="Normal"/>
    <s v="Normal"/>
    <n v="0"/>
    <n v="0"/>
  </r>
  <r>
    <d v="2025-01-06T00:00:00"/>
    <x v="41"/>
    <m/>
    <m/>
    <m/>
    <m/>
    <m/>
    <m/>
    <m/>
    <m/>
    <m/>
    <m/>
    <m/>
    <m/>
    <m/>
    <m/>
    <m/>
    <m/>
    <s v="Normal"/>
    <s v="Normal"/>
    <n v="0"/>
    <n v="0"/>
  </r>
  <r>
    <d v="2025-01-07T00:00:00"/>
    <x v="41"/>
    <m/>
    <m/>
    <m/>
    <m/>
    <m/>
    <m/>
    <m/>
    <m/>
    <m/>
    <m/>
    <m/>
    <m/>
    <m/>
    <m/>
    <m/>
    <m/>
    <s v="Normal"/>
    <s v="Normal"/>
    <n v="0"/>
    <n v="0"/>
  </r>
  <r>
    <d v="2025-01-08T00:00:00"/>
    <x v="41"/>
    <m/>
    <m/>
    <m/>
    <m/>
    <m/>
    <m/>
    <m/>
    <m/>
    <m/>
    <m/>
    <m/>
    <m/>
    <m/>
    <m/>
    <m/>
    <m/>
    <s v="Normal"/>
    <s v="Normal"/>
    <n v="0"/>
    <n v="0"/>
  </r>
  <r>
    <d v="2025-01-09T00:00:00"/>
    <x v="41"/>
    <m/>
    <m/>
    <m/>
    <m/>
    <m/>
    <m/>
    <m/>
    <m/>
    <m/>
    <m/>
    <m/>
    <m/>
    <m/>
    <m/>
    <m/>
    <m/>
    <s v="Normal"/>
    <s v="Normal"/>
    <n v="0"/>
    <n v="0"/>
  </r>
  <r>
    <d v="2025-01-10T00:00:00"/>
    <x v="41"/>
    <m/>
    <m/>
    <m/>
    <m/>
    <m/>
    <m/>
    <m/>
    <m/>
    <m/>
    <m/>
    <m/>
    <m/>
    <m/>
    <m/>
    <m/>
    <m/>
    <s v="Normal"/>
    <s v="Normal"/>
    <n v="0"/>
    <n v="0"/>
  </r>
  <r>
    <d v="2025-01-11T00:00:00"/>
    <x v="41"/>
    <m/>
    <m/>
    <m/>
    <m/>
    <m/>
    <m/>
    <m/>
    <m/>
    <m/>
    <m/>
    <m/>
    <m/>
    <m/>
    <m/>
    <m/>
    <m/>
    <s v="Normal"/>
    <s v="Normal"/>
    <n v="0"/>
    <n v="0"/>
  </r>
  <r>
    <d v="2025-01-12T00:00:00"/>
    <x v="42"/>
    <m/>
    <m/>
    <m/>
    <m/>
    <m/>
    <m/>
    <m/>
    <m/>
    <m/>
    <m/>
    <m/>
    <m/>
    <m/>
    <m/>
    <m/>
    <m/>
    <s v="Normal"/>
    <s v="Normal"/>
    <n v="0"/>
    <n v="0"/>
  </r>
  <r>
    <d v="2025-01-13T00:00:00"/>
    <x v="42"/>
    <m/>
    <m/>
    <m/>
    <m/>
    <m/>
    <m/>
    <m/>
    <m/>
    <m/>
    <m/>
    <m/>
    <m/>
    <m/>
    <m/>
    <m/>
    <m/>
    <s v="Normal"/>
    <s v="Normal"/>
    <n v="0"/>
    <n v="0"/>
  </r>
  <r>
    <d v="2025-01-14T00:00:00"/>
    <x v="42"/>
    <m/>
    <m/>
    <m/>
    <m/>
    <m/>
    <m/>
    <m/>
    <m/>
    <m/>
    <m/>
    <m/>
    <m/>
    <m/>
    <m/>
    <m/>
    <m/>
    <s v="Normal"/>
    <s v="Normal"/>
    <n v="0"/>
    <n v="0"/>
  </r>
  <r>
    <d v="2025-01-15T00:00:00"/>
    <x v="42"/>
    <m/>
    <m/>
    <m/>
    <m/>
    <m/>
    <m/>
    <m/>
    <m/>
    <m/>
    <m/>
    <m/>
    <m/>
    <m/>
    <m/>
    <m/>
    <m/>
    <s v="Normal"/>
    <s v="Normal"/>
    <n v="0"/>
    <n v="0"/>
  </r>
  <r>
    <d v="2025-01-16T00:00:00"/>
    <x v="42"/>
    <m/>
    <m/>
    <m/>
    <m/>
    <m/>
    <m/>
    <m/>
    <m/>
    <m/>
    <m/>
    <m/>
    <m/>
    <m/>
    <m/>
    <m/>
    <m/>
    <s v="Normal"/>
    <s v="Normal"/>
    <n v="0"/>
    <n v="0"/>
  </r>
  <r>
    <d v="2025-01-17T00:00:00"/>
    <x v="42"/>
    <m/>
    <m/>
    <m/>
    <m/>
    <m/>
    <m/>
    <m/>
    <m/>
    <m/>
    <m/>
    <m/>
    <m/>
    <m/>
    <m/>
    <m/>
    <m/>
    <s v="Normal"/>
    <s v="Normal"/>
    <n v="0"/>
    <n v="0"/>
  </r>
  <r>
    <d v="2025-01-18T00:00:00"/>
    <x v="42"/>
    <m/>
    <m/>
    <m/>
    <m/>
    <m/>
    <m/>
    <m/>
    <m/>
    <m/>
    <m/>
    <m/>
    <m/>
    <m/>
    <m/>
    <m/>
    <m/>
    <s v="Normal"/>
    <s v="Normal"/>
    <n v="0"/>
    <n v="0"/>
  </r>
  <r>
    <d v="2025-01-19T00:00:00"/>
    <x v="43"/>
    <m/>
    <m/>
    <m/>
    <m/>
    <m/>
    <m/>
    <m/>
    <m/>
    <m/>
    <m/>
    <m/>
    <m/>
    <m/>
    <m/>
    <m/>
    <m/>
    <s v="Normal"/>
    <s v="Normal"/>
    <n v="0"/>
    <n v="0"/>
  </r>
  <r>
    <d v="2025-01-20T00:00:00"/>
    <x v="43"/>
    <m/>
    <m/>
    <m/>
    <m/>
    <m/>
    <m/>
    <m/>
    <m/>
    <m/>
    <m/>
    <m/>
    <m/>
    <m/>
    <m/>
    <m/>
    <m/>
    <s v="Normal"/>
    <s v="Normal"/>
    <n v="0"/>
    <n v="0"/>
  </r>
  <r>
    <d v="2025-01-21T00:00:00"/>
    <x v="43"/>
    <m/>
    <m/>
    <m/>
    <m/>
    <m/>
    <m/>
    <m/>
    <m/>
    <m/>
    <m/>
    <m/>
    <m/>
    <m/>
    <m/>
    <m/>
    <m/>
    <s v="Normal"/>
    <s v="Normal"/>
    <n v="0"/>
    <n v="0"/>
  </r>
  <r>
    <d v="2025-01-22T00:00:00"/>
    <x v="43"/>
    <m/>
    <m/>
    <m/>
    <m/>
    <m/>
    <m/>
    <m/>
    <m/>
    <m/>
    <m/>
    <m/>
    <m/>
    <m/>
    <m/>
    <m/>
    <m/>
    <s v="Normal"/>
    <s v="Normal"/>
    <n v="0"/>
    <n v="0"/>
  </r>
  <r>
    <d v="2025-01-23T00:00:00"/>
    <x v="43"/>
    <m/>
    <m/>
    <m/>
    <m/>
    <m/>
    <m/>
    <m/>
    <m/>
    <m/>
    <m/>
    <m/>
    <m/>
    <m/>
    <m/>
    <m/>
    <m/>
    <s v="Normal"/>
    <s v="Normal"/>
    <n v="0"/>
    <n v="0"/>
  </r>
  <r>
    <d v="2025-01-24T00:00:00"/>
    <x v="43"/>
    <m/>
    <m/>
    <m/>
    <m/>
    <m/>
    <m/>
    <m/>
    <m/>
    <m/>
    <m/>
    <m/>
    <m/>
    <m/>
    <m/>
    <m/>
    <m/>
    <s v="Normal"/>
    <s v="Normal"/>
    <n v="0"/>
    <n v="0"/>
  </r>
  <r>
    <d v="2025-01-25T00:00:00"/>
    <x v="43"/>
    <m/>
    <m/>
    <m/>
    <m/>
    <m/>
    <m/>
    <m/>
    <m/>
    <m/>
    <m/>
    <m/>
    <m/>
    <m/>
    <m/>
    <m/>
    <m/>
    <s v="Normal"/>
    <s v="Normal"/>
    <n v="0"/>
    <n v="0"/>
  </r>
  <r>
    <d v="2025-01-26T00:00:00"/>
    <x v="44"/>
    <m/>
    <m/>
    <m/>
    <m/>
    <m/>
    <m/>
    <m/>
    <m/>
    <m/>
    <m/>
    <m/>
    <m/>
    <m/>
    <m/>
    <m/>
    <m/>
    <s v="Normal"/>
    <s v="Normal"/>
    <n v="0"/>
    <n v="0"/>
  </r>
  <r>
    <d v="2025-01-27T00:00:00"/>
    <x v="44"/>
    <m/>
    <m/>
    <m/>
    <m/>
    <m/>
    <m/>
    <m/>
    <m/>
    <m/>
    <m/>
    <m/>
    <m/>
    <m/>
    <m/>
    <m/>
    <m/>
    <s v="Normal"/>
    <s v="Normal"/>
    <n v="0"/>
    <n v="0"/>
  </r>
  <r>
    <d v="2025-01-28T00:00:00"/>
    <x v="44"/>
    <m/>
    <m/>
    <m/>
    <m/>
    <m/>
    <m/>
    <m/>
    <m/>
    <m/>
    <m/>
    <m/>
    <m/>
    <m/>
    <m/>
    <m/>
    <m/>
    <s v="Normal"/>
    <s v="Normal"/>
    <n v="0"/>
    <n v="0"/>
  </r>
  <r>
    <d v="2025-01-29T00:00:00"/>
    <x v="44"/>
    <m/>
    <m/>
    <m/>
    <m/>
    <m/>
    <m/>
    <m/>
    <m/>
    <m/>
    <m/>
    <m/>
    <m/>
    <m/>
    <m/>
    <m/>
    <m/>
    <s v="Normal"/>
    <s v="Normal"/>
    <n v="0"/>
    <n v="0"/>
  </r>
  <r>
    <d v="2025-01-30T00:00:00"/>
    <x v="44"/>
    <m/>
    <m/>
    <m/>
    <m/>
    <m/>
    <m/>
    <m/>
    <m/>
    <m/>
    <m/>
    <m/>
    <m/>
    <m/>
    <m/>
    <m/>
    <m/>
    <s v="Normal"/>
    <s v="Normal"/>
    <n v="0"/>
    <n v="0"/>
  </r>
  <r>
    <d v="2025-01-31T00:00:00"/>
    <x v="44"/>
    <m/>
    <m/>
    <m/>
    <m/>
    <m/>
    <m/>
    <m/>
    <m/>
    <m/>
    <m/>
    <m/>
    <m/>
    <m/>
    <m/>
    <m/>
    <m/>
    <s v="Normal"/>
    <s v="Normal"/>
    <n v="0"/>
    <n v="0"/>
  </r>
  <r>
    <d v="2025-02-01T00:00:00"/>
    <x v="44"/>
    <m/>
    <m/>
    <m/>
    <m/>
    <m/>
    <m/>
    <m/>
    <m/>
    <m/>
    <m/>
    <m/>
    <m/>
    <m/>
    <m/>
    <m/>
    <m/>
    <s v="Normal"/>
    <s v="Normal"/>
    <n v="0"/>
    <n v="0"/>
  </r>
  <r>
    <d v="2025-02-02T00:00:00"/>
    <x v="45"/>
    <m/>
    <m/>
    <m/>
    <m/>
    <m/>
    <m/>
    <m/>
    <m/>
    <m/>
    <m/>
    <m/>
    <m/>
    <m/>
    <m/>
    <m/>
    <m/>
    <s v="Normal"/>
    <s v="Normal"/>
    <n v="0"/>
    <n v="0"/>
  </r>
  <r>
    <d v="2025-02-03T00:00:00"/>
    <x v="45"/>
    <m/>
    <m/>
    <m/>
    <m/>
    <m/>
    <m/>
    <m/>
    <m/>
    <m/>
    <m/>
    <m/>
    <m/>
    <m/>
    <m/>
    <m/>
    <m/>
    <s v="Normal"/>
    <s v="Normal"/>
    <n v="0"/>
    <n v="0"/>
  </r>
  <r>
    <d v="2025-02-04T00:00:00"/>
    <x v="45"/>
    <m/>
    <m/>
    <m/>
    <m/>
    <m/>
    <m/>
    <m/>
    <m/>
    <m/>
    <m/>
    <m/>
    <m/>
    <m/>
    <m/>
    <m/>
    <m/>
    <s v="Normal"/>
    <s v="Normal"/>
    <n v="0"/>
    <n v="0"/>
  </r>
  <r>
    <d v="2025-02-05T00:00:00"/>
    <x v="45"/>
    <m/>
    <m/>
    <m/>
    <m/>
    <m/>
    <m/>
    <m/>
    <m/>
    <m/>
    <m/>
    <m/>
    <m/>
    <m/>
    <m/>
    <m/>
    <m/>
    <s v="Normal"/>
    <s v="Normal"/>
    <n v="0"/>
    <n v="0"/>
  </r>
  <r>
    <d v="2025-02-06T00:00:00"/>
    <x v="45"/>
    <m/>
    <m/>
    <m/>
    <m/>
    <m/>
    <m/>
    <m/>
    <m/>
    <m/>
    <m/>
    <m/>
    <m/>
    <m/>
    <m/>
    <m/>
    <m/>
    <s v="Normal"/>
    <s v="Normal"/>
    <n v="0"/>
    <n v="0"/>
  </r>
  <r>
    <d v="2025-02-07T00:00:00"/>
    <x v="45"/>
    <m/>
    <m/>
    <m/>
    <m/>
    <m/>
    <m/>
    <m/>
    <m/>
    <m/>
    <m/>
    <m/>
    <m/>
    <m/>
    <m/>
    <m/>
    <m/>
    <s v="Normal"/>
    <s v="Normal"/>
    <n v="0"/>
    <n v="0"/>
  </r>
  <r>
    <d v="2025-02-08T00:00:00"/>
    <x v="45"/>
    <m/>
    <m/>
    <m/>
    <m/>
    <m/>
    <m/>
    <m/>
    <m/>
    <m/>
    <m/>
    <m/>
    <m/>
    <m/>
    <m/>
    <m/>
    <m/>
    <s v="Normal"/>
    <s v="Normal"/>
    <n v="0"/>
    <n v="0"/>
  </r>
  <r>
    <d v="2025-02-09T00:00:00"/>
    <x v="46"/>
    <m/>
    <m/>
    <m/>
    <m/>
    <m/>
    <m/>
    <m/>
    <m/>
    <m/>
    <m/>
    <m/>
    <m/>
    <m/>
    <m/>
    <m/>
    <m/>
    <s v="Normal"/>
    <s v="Normal"/>
    <n v="0"/>
    <n v="0"/>
  </r>
  <r>
    <d v="2025-02-10T00:00:00"/>
    <x v="46"/>
    <m/>
    <m/>
    <m/>
    <m/>
    <m/>
    <m/>
    <m/>
    <m/>
    <m/>
    <m/>
    <m/>
    <m/>
    <m/>
    <m/>
    <m/>
    <m/>
    <s v="Normal"/>
    <s v="Normal"/>
    <n v="0"/>
    <n v="0"/>
  </r>
  <r>
    <d v="2025-02-11T00:00:00"/>
    <x v="46"/>
    <m/>
    <m/>
    <m/>
    <m/>
    <m/>
    <m/>
    <m/>
    <m/>
    <m/>
    <m/>
    <m/>
    <m/>
    <m/>
    <m/>
    <m/>
    <m/>
    <s v="Normal"/>
    <s v="Normal"/>
    <n v="0"/>
    <n v="0"/>
  </r>
  <r>
    <d v="2025-02-12T00:00:00"/>
    <x v="46"/>
    <m/>
    <m/>
    <m/>
    <m/>
    <m/>
    <m/>
    <m/>
    <m/>
    <m/>
    <m/>
    <m/>
    <m/>
    <m/>
    <m/>
    <m/>
    <m/>
    <s v="Normal"/>
    <s v="Normal"/>
    <n v="0"/>
    <n v="0"/>
  </r>
  <r>
    <d v="2025-02-13T00:00:00"/>
    <x v="46"/>
    <m/>
    <m/>
    <m/>
    <m/>
    <m/>
    <m/>
    <m/>
    <m/>
    <m/>
    <m/>
    <m/>
    <m/>
    <m/>
    <m/>
    <m/>
    <m/>
    <s v="Normal"/>
    <s v="Normal"/>
    <n v="0"/>
    <n v="0"/>
  </r>
  <r>
    <d v="2025-02-14T00:00:00"/>
    <x v="46"/>
    <m/>
    <m/>
    <m/>
    <m/>
    <m/>
    <m/>
    <m/>
    <m/>
    <m/>
    <m/>
    <m/>
    <m/>
    <m/>
    <m/>
    <m/>
    <m/>
    <s v="Normal"/>
    <s v="Normal"/>
    <n v="0"/>
    <n v="0"/>
  </r>
  <r>
    <d v="2025-02-15T00:00:00"/>
    <x v="46"/>
    <m/>
    <m/>
    <m/>
    <m/>
    <m/>
    <m/>
    <m/>
    <m/>
    <m/>
    <m/>
    <m/>
    <m/>
    <m/>
    <m/>
    <m/>
    <m/>
    <s v="Normal"/>
    <s v="Normal"/>
    <n v="0"/>
    <n v="0"/>
  </r>
  <r>
    <d v="2025-02-16T00:00:00"/>
    <x v="47"/>
    <m/>
    <m/>
    <m/>
    <m/>
    <m/>
    <m/>
    <m/>
    <m/>
    <m/>
    <m/>
    <m/>
    <m/>
    <m/>
    <m/>
    <m/>
    <m/>
    <s v="Normal"/>
    <s v="Normal"/>
    <n v="0"/>
    <n v="0"/>
  </r>
  <r>
    <d v="2025-02-17T00:00:00"/>
    <x v="47"/>
    <m/>
    <m/>
    <m/>
    <m/>
    <m/>
    <m/>
    <m/>
    <m/>
    <m/>
    <m/>
    <m/>
    <m/>
    <m/>
    <m/>
    <m/>
    <m/>
    <s v="Normal"/>
    <s v="Normal"/>
    <n v="0"/>
    <n v="0"/>
  </r>
  <r>
    <d v="2025-02-18T00:00:00"/>
    <x v="47"/>
    <m/>
    <m/>
    <m/>
    <m/>
    <m/>
    <m/>
    <m/>
    <m/>
    <m/>
    <m/>
    <m/>
    <m/>
    <m/>
    <m/>
    <m/>
    <m/>
    <s v="Normal"/>
    <s v="Normal"/>
    <n v="0"/>
    <n v="0"/>
  </r>
  <r>
    <d v="2025-02-19T00:00:00"/>
    <x v="47"/>
    <m/>
    <m/>
    <m/>
    <m/>
    <m/>
    <m/>
    <m/>
    <m/>
    <m/>
    <m/>
    <m/>
    <m/>
    <m/>
    <m/>
    <m/>
    <m/>
    <s v="Normal"/>
    <s v="Normal"/>
    <n v="0"/>
    <n v="0"/>
  </r>
  <r>
    <d v="2025-02-20T00:00:00"/>
    <x v="47"/>
    <m/>
    <m/>
    <m/>
    <m/>
    <m/>
    <m/>
    <m/>
    <m/>
    <m/>
    <m/>
    <m/>
    <m/>
    <m/>
    <m/>
    <m/>
    <m/>
    <s v="Normal"/>
    <s v="Normal"/>
    <n v="0"/>
    <n v="0"/>
  </r>
  <r>
    <d v="2025-02-21T00:00:00"/>
    <x v="47"/>
    <m/>
    <m/>
    <m/>
    <m/>
    <m/>
    <m/>
    <m/>
    <m/>
    <m/>
    <m/>
    <m/>
    <m/>
    <m/>
    <m/>
    <m/>
    <m/>
    <s v="Normal"/>
    <s v="Normal"/>
    <n v="0"/>
    <n v="0"/>
  </r>
  <r>
    <d v="2025-02-22T00:00:00"/>
    <x v="47"/>
    <m/>
    <m/>
    <m/>
    <m/>
    <m/>
    <m/>
    <m/>
    <m/>
    <m/>
    <m/>
    <m/>
    <m/>
    <m/>
    <m/>
    <m/>
    <m/>
    <s v="Normal"/>
    <s v="Normal"/>
    <n v="0"/>
    <n v="0"/>
  </r>
  <r>
    <d v="2025-02-23T00:00:00"/>
    <x v="48"/>
    <m/>
    <m/>
    <m/>
    <m/>
    <m/>
    <m/>
    <m/>
    <m/>
    <m/>
    <m/>
    <m/>
    <m/>
    <m/>
    <m/>
    <m/>
    <m/>
    <s v="Normal"/>
    <s v="Normal"/>
    <n v="0"/>
    <n v="0"/>
  </r>
  <r>
    <d v="2025-02-24T00:00:00"/>
    <x v="48"/>
    <m/>
    <m/>
    <m/>
    <m/>
    <m/>
    <m/>
    <m/>
    <m/>
    <m/>
    <m/>
    <m/>
    <m/>
    <m/>
    <m/>
    <m/>
    <m/>
    <s v="Normal"/>
    <s v="Normal"/>
    <n v="0"/>
    <n v="0"/>
  </r>
  <r>
    <d v="2025-02-25T00:00:00"/>
    <x v="48"/>
    <m/>
    <m/>
    <m/>
    <m/>
    <m/>
    <m/>
    <m/>
    <m/>
    <m/>
    <m/>
    <m/>
    <m/>
    <m/>
    <m/>
    <m/>
    <m/>
    <s v="Normal"/>
    <s v="Normal"/>
    <n v="0"/>
    <n v="0"/>
  </r>
  <r>
    <d v="2025-02-26T00:00:00"/>
    <x v="48"/>
    <m/>
    <m/>
    <m/>
    <m/>
    <m/>
    <m/>
    <m/>
    <m/>
    <m/>
    <m/>
    <m/>
    <m/>
    <m/>
    <m/>
    <m/>
    <m/>
    <s v="Normal"/>
    <s v="Normal"/>
    <n v="0"/>
    <n v="0"/>
  </r>
  <r>
    <d v="2025-02-27T00:00:00"/>
    <x v="48"/>
    <m/>
    <m/>
    <m/>
    <m/>
    <m/>
    <m/>
    <m/>
    <m/>
    <m/>
    <m/>
    <m/>
    <m/>
    <m/>
    <m/>
    <m/>
    <m/>
    <s v="Normal"/>
    <s v="Normal"/>
    <n v="0"/>
    <n v="0"/>
  </r>
  <r>
    <d v="2025-02-28T00:00:00"/>
    <x v="48"/>
    <m/>
    <m/>
    <m/>
    <m/>
    <m/>
    <m/>
    <m/>
    <m/>
    <m/>
    <m/>
    <m/>
    <m/>
    <m/>
    <m/>
    <m/>
    <m/>
    <s v="Normal"/>
    <s v="Normal"/>
    <n v="0"/>
    <n v="0"/>
  </r>
  <r>
    <d v="2025-03-01T00:00:00"/>
    <x v="48"/>
    <m/>
    <m/>
    <m/>
    <m/>
    <m/>
    <m/>
    <m/>
    <m/>
    <m/>
    <m/>
    <m/>
    <m/>
    <m/>
    <m/>
    <m/>
    <m/>
    <s v="Normal"/>
    <s v="Normal"/>
    <n v="0"/>
    <n v="0"/>
  </r>
  <r>
    <d v="2025-03-02T00:00:00"/>
    <x v="49"/>
    <m/>
    <m/>
    <m/>
    <m/>
    <m/>
    <m/>
    <m/>
    <m/>
    <m/>
    <m/>
    <m/>
    <m/>
    <m/>
    <m/>
    <m/>
    <m/>
    <s v="Normal"/>
    <s v="Normal"/>
    <n v="0"/>
    <n v="0"/>
  </r>
  <r>
    <d v="2025-03-03T00:00:00"/>
    <x v="49"/>
    <m/>
    <m/>
    <m/>
    <m/>
    <m/>
    <m/>
    <m/>
    <m/>
    <m/>
    <m/>
    <m/>
    <m/>
    <m/>
    <m/>
    <m/>
    <m/>
    <s v="Normal"/>
    <s v="Normal"/>
    <n v="0"/>
    <n v="0"/>
  </r>
  <r>
    <d v="2025-03-04T00:00:00"/>
    <x v="49"/>
    <m/>
    <m/>
    <m/>
    <m/>
    <m/>
    <m/>
    <m/>
    <m/>
    <m/>
    <m/>
    <m/>
    <m/>
    <m/>
    <m/>
    <m/>
    <m/>
    <s v="Normal"/>
    <s v="Normal"/>
    <n v="0"/>
    <n v="0"/>
  </r>
  <r>
    <d v="2025-03-05T00:00:00"/>
    <x v="49"/>
    <m/>
    <m/>
    <m/>
    <m/>
    <m/>
    <m/>
    <m/>
    <m/>
    <m/>
    <m/>
    <m/>
    <m/>
    <m/>
    <m/>
    <m/>
    <m/>
    <s v="Normal"/>
    <s v="Normal"/>
    <n v="0"/>
    <n v="0"/>
  </r>
  <r>
    <d v="2025-03-06T00:00:00"/>
    <x v="49"/>
    <m/>
    <m/>
    <m/>
    <m/>
    <m/>
    <m/>
    <m/>
    <m/>
    <m/>
    <m/>
    <m/>
    <m/>
    <m/>
    <m/>
    <m/>
    <m/>
    <s v="Normal"/>
    <s v="Normal"/>
    <n v="0"/>
    <n v="0"/>
  </r>
  <r>
    <d v="2025-03-07T00:00:00"/>
    <x v="49"/>
    <m/>
    <m/>
    <m/>
    <m/>
    <m/>
    <m/>
    <m/>
    <m/>
    <m/>
    <m/>
    <m/>
    <m/>
    <m/>
    <m/>
    <m/>
    <m/>
    <s v="Normal"/>
    <s v="Normal"/>
    <n v="0"/>
    <n v="0"/>
  </r>
  <r>
    <d v="2025-03-08T00:00:00"/>
    <x v="49"/>
    <m/>
    <m/>
    <m/>
    <m/>
    <m/>
    <m/>
    <m/>
    <m/>
    <m/>
    <m/>
    <m/>
    <m/>
    <m/>
    <m/>
    <m/>
    <m/>
    <s v="Normal"/>
    <s v="Normal"/>
    <n v="0"/>
    <n v="0"/>
  </r>
  <r>
    <d v="2025-03-09T00:00:00"/>
    <x v="50"/>
    <m/>
    <m/>
    <m/>
    <m/>
    <m/>
    <m/>
    <m/>
    <m/>
    <m/>
    <m/>
    <m/>
    <m/>
    <m/>
    <m/>
    <m/>
    <m/>
    <s v="Normal"/>
    <s v="Normal"/>
    <n v="0"/>
    <n v="0"/>
  </r>
  <r>
    <d v="2025-03-10T00:00:00"/>
    <x v="50"/>
    <m/>
    <m/>
    <m/>
    <m/>
    <m/>
    <m/>
    <m/>
    <m/>
    <m/>
    <m/>
    <m/>
    <m/>
    <m/>
    <m/>
    <m/>
    <m/>
    <s v="Normal"/>
    <s v="Normal"/>
    <n v="0"/>
    <n v="0"/>
  </r>
  <r>
    <d v="2025-03-11T00:00:00"/>
    <x v="50"/>
    <m/>
    <m/>
    <m/>
    <m/>
    <m/>
    <m/>
    <m/>
    <m/>
    <m/>
    <m/>
    <m/>
    <m/>
    <m/>
    <m/>
    <m/>
    <m/>
    <s v="Normal"/>
    <s v="Normal"/>
    <n v="0"/>
    <n v="0"/>
  </r>
  <r>
    <d v="2025-03-12T00:00:00"/>
    <x v="50"/>
    <m/>
    <m/>
    <m/>
    <m/>
    <m/>
    <m/>
    <m/>
    <m/>
    <m/>
    <m/>
    <m/>
    <m/>
    <m/>
    <m/>
    <m/>
    <m/>
    <s v="Normal"/>
    <s v="Normal"/>
    <n v="0"/>
    <n v="0"/>
  </r>
  <r>
    <d v="2025-03-13T00:00:00"/>
    <x v="50"/>
    <m/>
    <m/>
    <m/>
    <m/>
    <m/>
    <m/>
    <m/>
    <m/>
    <m/>
    <m/>
    <m/>
    <m/>
    <m/>
    <m/>
    <m/>
    <m/>
    <s v="Normal"/>
    <s v="Normal"/>
    <n v="0"/>
    <n v="0"/>
  </r>
  <r>
    <d v="2025-03-14T00:00:00"/>
    <x v="50"/>
    <m/>
    <m/>
    <m/>
    <m/>
    <m/>
    <m/>
    <m/>
    <m/>
    <m/>
    <m/>
    <m/>
    <m/>
    <m/>
    <m/>
    <m/>
    <m/>
    <s v="Normal"/>
    <s v="Normal"/>
    <n v="0"/>
    <n v="0"/>
  </r>
  <r>
    <d v="2025-03-15T00:00:00"/>
    <x v="50"/>
    <m/>
    <m/>
    <m/>
    <m/>
    <m/>
    <m/>
    <m/>
    <m/>
    <m/>
    <m/>
    <m/>
    <m/>
    <m/>
    <m/>
    <m/>
    <m/>
    <s v="Normal"/>
    <s v="Normal"/>
    <n v="0"/>
    <n v="0"/>
  </r>
  <r>
    <d v="2025-03-16T00:00:00"/>
    <x v="51"/>
    <m/>
    <m/>
    <m/>
    <m/>
    <m/>
    <m/>
    <m/>
    <m/>
    <m/>
    <m/>
    <m/>
    <m/>
    <m/>
    <m/>
    <m/>
    <m/>
    <s v="Normal"/>
    <s v="Normal"/>
    <n v="0"/>
    <n v="0"/>
  </r>
  <r>
    <d v="2025-03-17T00:00:00"/>
    <x v="51"/>
    <m/>
    <m/>
    <m/>
    <m/>
    <m/>
    <m/>
    <m/>
    <m/>
    <m/>
    <m/>
    <m/>
    <m/>
    <m/>
    <m/>
    <m/>
    <m/>
    <s v="Normal"/>
    <s v="Normal"/>
    <n v="0"/>
    <n v="0"/>
  </r>
  <r>
    <d v="2025-03-18T00:00:00"/>
    <x v="51"/>
    <m/>
    <m/>
    <m/>
    <m/>
    <m/>
    <m/>
    <m/>
    <m/>
    <m/>
    <m/>
    <m/>
    <m/>
    <m/>
    <m/>
    <m/>
    <m/>
    <s v="Normal"/>
    <s v="Normal"/>
    <n v="0"/>
    <n v="0"/>
  </r>
  <r>
    <d v="2025-03-19T00:00:00"/>
    <x v="51"/>
    <m/>
    <m/>
    <m/>
    <m/>
    <m/>
    <m/>
    <m/>
    <m/>
    <m/>
    <m/>
    <m/>
    <m/>
    <m/>
    <m/>
    <m/>
    <m/>
    <s v="Normal"/>
    <s v="Normal"/>
    <n v="0"/>
    <n v="0"/>
  </r>
  <r>
    <d v="2025-03-20T00:00:00"/>
    <x v="51"/>
    <m/>
    <m/>
    <m/>
    <m/>
    <m/>
    <m/>
    <m/>
    <m/>
    <m/>
    <m/>
    <m/>
    <m/>
    <m/>
    <m/>
    <m/>
    <m/>
    <s v="Normal"/>
    <s v="Normal"/>
    <n v="0"/>
    <n v="0"/>
  </r>
  <r>
    <d v="2025-03-21T00:00:00"/>
    <x v="51"/>
    <m/>
    <m/>
    <m/>
    <m/>
    <m/>
    <m/>
    <m/>
    <m/>
    <m/>
    <m/>
    <m/>
    <m/>
    <m/>
    <m/>
    <m/>
    <m/>
    <s v="Normal"/>
    <s v="Normal"/>
    <n v="0"/>
    <n v="0"/>
  </r>
  <r>
    <d v="2025-03-22T00:00:00"/>
    <x v="51"/>
    <m/>
    <m/>
    <m/>
    <m/>
    <m/>
    <m/>
    <m/>
    <m/>
    <m/>
    <m/>
    <m/>
    <m/>
    <m/>
    <m/>
    <m/>
    <m/>
    <s v="Normal"/>
    <s v="Normal"/>
    <n v="0"/>
    <n v="0"/>
  </r>
  <r>
    <d v="2025-03-23T00:00:00"/>
    <x v="52"/>
    <m/>
    <m/>
    <m/>
    <m/>
    <m/>
    <m/>
    <m/>
    <m/>
    <m/>
    <m/>
    <m/>
    <m/>
    <m/>
    <m/>
    <m/>
    <m/>
    <s v="Normal"/>
    <s v="Normal"/>
    <n v="0"/>
    <n v="0"/>
  </r>
  <r>
    <d v="2025-03-24T00:00:00"/>
    <x v="52"/>
    <m/>
    <m/>
    <m/>
    <m/>
    <m/>
    <m/>
    <m/>
    <m/>
    <m/>
    <m/>
    <m/>
    <m/>
    <m/>
    <m/>
    <m/>
    <m/>
    <s v="Normal"/>
    <s v="Normal"/>
    <n v="0"/>
    <n v="0"/>
  </r>
  <r>
    <d v="2025-03-25T00:00:00"/>
    <x v="52"/>
    <m/>
    <m/>
    <m/>
    <m/>
    <m/>
    <m/>
    <m/>
    <m/>
    <m/>
    <m/>
    <m/>
    <m/>
    <m/>
    <m/>
    <m/>
    <m/>
    <s v="Normal"/>
    <s v="Normal"/>
    <n v="0"/>
    <n v="0"/>
  </r>
  <r>
    <d v="2025-03-26T00:00:00"/>
    <x v="52"/>
    <m/>
    <m/>
    <m/>
    <m/>
    <m/>
    <m/>
    <m/>
    <m/>
    <m/>
    <m/>
    <m/>
    <m/>
    <m/>
    <m/>
    <m/>
    <m/>
    <s v="Normal"/>
    <s v="Normal"/>
    <n v="0"/>
    <n v="0"/>
  </r>
  <r>
    <d v="2025-03-27T00:00:00"/>
    <x v="52"/>
    <m/>
    <m/>
    <m/>
    <m/>
    <m/>
    <m/>
    <m/>
    <m/>
    <m/>
    <m/>
    <m/>
    <m/>
    <m/>
    <m/>
    <m/>
    <m/>
    <s v="Normal"/>
    <s v="Normal"/>
    <n v="0"/>
    <n v="0"/>
  </r>
  <r>
    <d v="2025-03-28T00:00:00"/>
    <x v="52"/>
    <m/>
    <m/>
    <m/>
    <m/>
    <m/>
    <m/>
    <m/>
    <m/>
    <m/>
    <m/>
    <m/>
    <m/>
    <m/>
    <m/>
    <m/>
    <m/>
    <s v="Normal"/>
    <s v="Normal"/>
    <n v="0"/>
    <n v="0"/>
  </r>
  <r>
    <d v="2025-03-29T00:00:00"/>
    <x v="52"/>
    <m/>
    <m/>
    <m/>
    <m/>
    <m/>
    <m/>
    <m/>
    <m/>
    <m/>
    <m/>
    <m/>
    <m/>
    <m/>
    <m/>
    <m/>
    <m/>
    <s v="Normal"/>
    <s v="Normal"/>
    <n v="0"/>
    <n v="0"/>
  </r>
  <r>
    <d v="2025-03-30T00:00:00"/>
    <x v="53"/>
    <m/>
    <m/>
    <m/>
    <m/>
    <m/>
    <m/>
    <m/>
    <m/>
    <m/>
    <m/>
    <m/>
    <m/>
    <m/>
    <m/>
    <m/>
    <m/>
    <s v="Normal"/>
    <s v="Normal"/>
    <n v="0"/>
    <n v="0"/>
  </r>
  <r>
    <d v="2025-03-31T00:00:00"/>
    <x v="53"/>
    <m/>
    <m/>
    <m/>
    <m/>
    <m/>
    <m/>
    <m/>
    <m/>
    <m/>
    <m/>
    <m/>
    <m/>
    <m/>
    <m/>
    <m/>
    <m/>
    <s v="Normal"/>
    <s v="Norma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2T00:00:00"/>
    <x v="0"/>
    <s v="T"/>
    <s v="FY25"/>
    <n v="1242"/>
    <n v="834"/>
    <n v="9.0430201931518878E-2"/>
    <n v="4.4673539518900345E-2"/>
    <n v="1242"/>
    <n v="834"/>
    <n v="0.17"/>
    <n v="0.33"/>
    <n v="0.67"/>
    <n v="1"/>
    <m/>
    <n v="420"/>
    <d v="1899-12-30T03:00:00"/>
    <n v="13"/>
    <s v="Normal"/>
    <s v="Normal"/>
    <n v="9.0430201931518878E-2"/>
    <n v="4.4673539518900345E-2"/>
  </r>
  <r>
    <d v="2024-04-03T00:00:00"/>
    <x v="0"/>
    <s v="W"/>
    <s v="FY25"/>
    <n v="1114"/>
    <n v="774"/>
    <n v="-4.9488054607508533E-2"/>
    <n v="-0.21020408163265306"/>
    <n v="2356"/>
    <n v="1608"/>
    <n v="0.32"/>
    <n v="0.31"/>
    <n v="0.69"/>
    <n v="0.72"/>
    <m/>
    <n v="300"/>
    <d v="1899-12-30T02:59:00"/>
    <n v="12"/>
    <s v="Normal"/>
    <s v="Normal"/>
    <n v="-4.9488054607508533E-2"/>
    <n v="-0.21020408163265306"/>
  </r>
  <r>
    <d v="2024-04-04T00:00:00"/>
    <x v="0"/>
    <s v="R"/>
    <s v="FY25"/>
    <n v="1045"/>
    <n v="726"/>
    <n v="-0.1370767960363336"/>
    <n v="-3.5856573705179286E-2"/>
    <n v="3401"/>
    <n v="2334"/>
    <n v="0.28000000000000003"/>
    <n v="0.31"/>
    <n v="0.69"/>
    <n v="0.88"/>
    <m/>
    <n v="360"/>
    <d v="1899-12-30T02:15:00"/>
    <n v="11"/>
    <s v="Normal"/>
    <s v="Normal"/>
    <n v="-0.1370767960363336"/>
    <n v="-3.5856573705179286E-2"/>
  </r>
  <r>
    <d v="2024-04-05T00:00:00"/>
    <x v="0"/>
    <s v="F"/>
    <s v="FY25"/>
    <n v="1023"/>
    <n v="950"/>
    <n v="0"/>
    <n v="0"/>
    <n v="4424"/>
    <n v="3284"/>
    <n v="0.76"/>
    <n v="7.0000000000000007E-2"/>
    <n v="0.93"/>
    <n v="0.79"/>
    <m/>
    <n v="291"/>
    <d v="1899-12-30T00:36:00"/>
    <n v="13"/>
    <s v="Normal"/>
    <s v="Normal"/>
    <n v="0"/>
    <n v="0"/>
  </r>
  <r>
    <d v="2024-04-06T00:00:00"/>
    <x v="0"/>
    <s v="S"/>
    <s v="FY25"/>
    <n v="759"/>
    <n v="549"/>
    <n v="-0.20440251572327045"/>
    <n v="-0.12579617834394904"/>
    <n v="5183"/>
    <n v="3833"/>
    <n v="0.31"/>
    <n v="0.28000000000000003"/>
    <n v="0.62"/>
    <n v="0.76"/>
    <m/>
    <n v="300"/>
    <d v="1899-12-30T02:24:00"/>
    <n v="8"/>
    <s v="Normal"/>
    <s v="Normal"/>
    <n v="-0.20440251572327045"/>
    <n v="-0.12579617834394904"/>
  </r>
  <r>
    <d v="2024-04-07T00:00:00"/>
    <x v="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8T00:00:00"/>
    <x v="1"/>
    <s v="M"/>
    <s v="FY25"/>
    <n v="991"/>
    <n v="938"/>
    <n v="0"/>
    <n v="0"/>
    <n v="6174"/>
    <n v="4771"/>
    <n v="0.8"/>
    <n v="0.05"/>
    <n v="0.95"/>
    <n v="0.7"/>
    <m/>
    <n v="301"/>
    <d v="1899-12-30T00:31:00"/>
    <n v="15"/>
    <s v="Normal"/>
    <s v="Normal"/>
    <n v="0"/>
    <n v="0"/>
  </r>
  <r>
    <d v="2024-04-09T00:00:00"/>
    <x v="1"/>
    <s v="T"/>
    <s v="FY25"/>
    <n v="908"/>
    <n v="778"/>
    <n v="-0.2689210950080515"/>
    <n v="-6.7146282973621102E-2"/>
    <n v="7082"/>
    <n v="5549"/>
    <n v="0.83"/>
    <n v="0.14000000000000001"/>
    <n v="0.86"/>
    <n v="0.46"/>
    <m/>
    <n v="240"/>
    <d v="1899-12-30T02:00:00"/>
    <n v="15"/>
    <s v="Outlier"/>
    <s v="Normal"/>
    <n v="2.7235622912365934E-2"/>
    <n v="-6.7146282973621102E-2"/>
  </r>
  <r>
    <d v="2024-04-10T00:00:00"/>
    <x v="1"/>
    <s v="W"/>
    <s v="FY25"/>
    <n v="984"/>
    <n v="826"/>
    <n v="-0.11669658886894076"/>
    <n v="6.7183462532299745E-2"/>
    <n v="8066"/>
    <n v="6375"/>
    <n v="0.47"/>
    <n v="0.16"/>
    <n v="0.84"/>
    <n v="0.2"/>
    <m/>
    <n v="77"/>
    <d v="1899-12-30T05:19:00"/>
    <n v="12"/>
    <s v="Normal"/>
    <s v="Normal"/>
    <n v="-0.11669658886894076"/>
    <n v="6.7183462532299745E-2"/>
  </r>
  <r>
    <d v="2024-04-11T00:00:00"/>
    <x v="1"/>
    <s v="R"/>
    <s v="FY25"/>
    <n v="869"/>
    <n v="770"/>
    <n v="-0.16842105263157894"/>
    <n v="6.0606060606060608E-2"/>
    <n v="8935"/>
    <n v="7145"/>
    <n v="0.54"/>
    <n v="0.11"/>
    <n v="0.89"/>
    <n v="0.73"/>
    <m/>
    <n v="331"/>
    <d v="1899-12-30T01:00:00"/>
    <n v="13"/>
    <s v="Normal"/>
    <s v="Normal"/>
    <n v="-0.16842105263157894"/>
    <n v="6.0606060606060608E-2"/>
  </r>
  <r>
    <d v="2024-04-12T00:00:00"/>
    <x v="1"/>
    <s v="F"/>
    <s v="FY25"/>
    <n v="898"/>
    <n v="751"/>
    <n v="-0.12218963831867058"/>
    <n v="-0.20947368421052631"/>
    <n v="9833"/>
    <n v="7896"/>
    <n v="0.56999999999999995"/>
    <n v="0.16"/>
    <n v="0.84"/>
    <n v="0.82"/>
    <m/>
    <n v="324"/>
    <d v="1899-12-30T01:00:00"/>
    <n v="11"/>
    <s v="Normal"/>
    <s v="Normal"/>
    <n v="-0.12218963831867058"/>
    <n v="-0.20947368421052631"/>
  </r>
  <r>
    <d v="2024-04-13T00:00:00"/>
    <x v="1"/>
    <s v="S"/>
    <s v="FY25"/>
    <n v="783"/>
    <n v="569"/>
    <n v="3.1620553359683792E-2"/>
    <n v="3.6429872495446269E-2"/>
    <n v="10616"/>
    <n v="8465"/>
    <n v="0.31"/>
    <n v="0.27"/>
    <n v="0.73"/>
    <n v="0.9"/>
    <m/>
    <n v="300"/>
    <d v="1899-12-30T02:05:00"/>
    <n v="7"/>
    <s v="Normal"/>
    <s v="Normal"/>
    <n v="3.1620553359683792E-2"/>
    <n v="3.6429872495446269E-2"/>
  </r>
  <r>
    <d v="2024-04-14T00:00:00"/>
    <x v="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15T00:00:00"/>
    <x v="2"/>
    <s v="M"/>
    <s v="FY25"/>
    <n v="1131"/>
    <n v="1000"/>
    <n v="0.14127144298688193"/>
    <n v="6.6098081023454158E-2"/>
    <n v="11747"/>
    <n v="9465"/>
    <n v="0.62"/>
    <n v="0.12"/>
    <n v="0.88"/>
    <n v="0.76"/>
    <m/>
    <n v="327"/>
    <d v="1899-12-30T00:01:00"/>
    <n v="16"/>
    <s v="Normal"/>
    <s v="Normal"/>
    <n v="0.14127144298688193"/>
    <n v="6.6098081023454158E-2"/>
  </r>
  <r>
    <d v="2024-04-16T00:00:00"/>
    <x v="2"/>
    <s v="T"/>
    <s v="FY25"/>
    <n v="923"/>
    <n v="848"/>
    <n v="1.6519823788546256E-2"/>
    <n v="8.9974293059125965E-2"/>
    <n v="12670"/>
    <n v="10313"/>
    <n v="0.71"/>
    <n v="0.08"/>
    <n v="0.92"/>
    <n v="0.72"/>
    <m/>
    <n v="300"/>
    <d v="1899-12-30T00:00:59"/>
    <n v="13"/>
    <s v="Normal"/>
    <s v="Normal"/>
    <n v="1.6519823788546256E-2"/>
    <n v="8.9974293059125965E-2"/>
  </r>
  <r>
    <d v="2024-04-17T00:00:00"/>
    <x v="2"/>
    <s v="W"/>
    <s v="FY25"/>
    <n v="867"/>
    <n v="766"/>
    <n v="-0.11890243902439024"/>
    <n v="-7.2639225181598058E-2"/>
    <n v="13537"/>
    <n v="11079"/>
    <n v="0.67"/>
    <n v="0.12"/>
    <n v="0.88"/>
    <n v="0.77"/>
    <m/>
    <n v="300"/>
    <d v="1899-12-30T00:01:00"/>
    <n v="11"/>
    <s v="Normal"/>
    <s v="Normal"/>
    <n v="-0.11890243902439024"/>
    <n v="-7.2639225181598058E-2"/>
  </r>
  <r>
    <d v="2024-04-18T00:00:00"/>
    <x v="2"/>
    <s v="R"/>
    <s v="FY25"/>
    <n v="823"/>
    <n v="756"/>
    <n v="-5.2934407364787113E-2"/>
    <n v="-1.8181818181818181E-2"/>
    <n v="14360"/>
    <n v="11835"/>
    <n v="0.83"/>
    <n v="0.08"/>
    <n v="0.92"/>
    <n v="0.75"/>
    <m/>
    <n v="323"/>
    <d v="1899-12-30T00:23:00"/>
    <n v="12"/>
    <s v="Normal"/>
    <s v="Normal"/>
    <n v="-5.2934407364787113E-2"/>
    <n v="-1.8181818181818181E-2"/>
  </r>
  <r>
    <d v="2024-04-19T00:00:00"/>
    <x v="2"/>
    <s v="F"/>
    <s v="FY25"/>
    <n v="848"/>
    <n v="770"/>
    <n v="-5.5679287305122498E-2"/>
    <n v="2.529960053262317E-2"/>
    <n v="15208"/>
    <n v="12605"/>
    <n v="0.74"/>
    <n v="0.09"/>
    <n v="0.91"/>
    <n v="0.66"/>
    <m/>
    <n v="300"/>
    <d v="1899-12-30T00:39:00"/>
    <n v="13"/>
    <s v="Normal"/>
    <s v="Normal"/>
    <n v="-5.5679287305122498E-2"/>
    <n v="2.529960053262317E-2"/>
  </r>
  <r>
    <d v="2024-04-20T00:00:00"/>
    <x v="2"/>
    <s v="S"/>
    <s v="FY25"/>
    <n v="684"/>
    <n v="553"/>
    <n v="-0.12643678160919541"/>
    <n v="-2.8119507908611598E-2"/>
    <n v="15892"/>
    <n v="13158"/>
    <n v="0.5"/>
    <n v="0.19"/>
    <n v="0.81"/>
    <n v="0.7"/>
    <m/>
    <n v="306"/>
    <d v="1899-12-30T01:35:00"/>
    <n v="9"/>
    <s v="Normal"/>
    <s v="Normal"/>
    <n v="-0.12643678160919541"/>
    <n v="-2.8119507908611598E-2"/>
  </r>
  <r>
    <d v="2024-04-21T00:00:00"/>
    <x v="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2T00:00:00"/>
    <x v="3"/>
    <s v="M"/>
    <s v="FY25"/>
    <n v="1031"/>
    <n v="922"/>
    <n v="-8.8417329796640146E-2"/>
    <n v="-7.8E-2"/>
    <n v="16923"/>
    <n v="14080"/>
    <n v="0.5"/>
    <n v="0.19"/>
    <n v="0.81"/>
    <n v="0.86"/>
    <m/>
    <n v="328"/>
    <d v="1899-12-30T01:00:00"/>
    <n v="13"/>
    <s v="Normal"/>
    <s v="Normal"/>
    <n v="-8.8417329796640146E-2"/>
    <n v="-7.8E-2"/>
  </r>
  <r>
    <d v="2024-04-23T00:00:00"/>
    <x v="3"/>
    <s v="T"/>
    <s v="FY25"/>
    <n v="901"/>
    <n v="837"/>
    <n v="-2.3835319609967497E-2"/>
    <n v="-1.2971698113207548E-2"/>
    <n v="17824"/>
    <n v="14917"/>
    <n v="0.8"/>
    <n v="7.0000000000000007E-2"/>
    <n v="0.93"/>
    <n v="0.66"/>
    <m/>
    <n v="300"/>
    <d v="1899-12-30T00:27:00"/>
    <n v="14"/>
    <s v="Normal"/>
    <s v="Normal"/>
    <n v="-2.3835319609967497E-2"/>
    <n v="-1.2971698113207548E-2"/>
  </r>
  <r>
    <d v="2024-04-24T00:00:00"/>
    <x v="3"/>
    <s v="W"/>
    <s v="FY25"/>
    <n v="902"/>
    <n v="858"/>
    <n v="4.0369088811995385E-2"/>
    <n v="0.12010443864229765"/>
    <n v="18726"/>
    <n v="15775"/>
    <n v="0.82"/>
    <n v="0.05"/>
    <n v="0.95"/>
    <n v="0.64"/>
    <m/>
    <n v="300"/>
    <d v="1899-12-30T00:24:00"/>
    <n v="15"/>
    <s v="Normal"/>
    <s v="Normal"/>
    <n v="4.0369088811995385E-2"/>
    <n v="0.12010443864229765"/>
  </r>
  <r>
    <d v="2024-04-25T00:00:00"/>
    <x v="3"/>
    <s v="R"/>
    <s v="FY25"/>
    <n v="900"/>
    <n v="768"/>
    <n v="9.356014580801944E-2"/>
    <n v="1.5873015873015872E-2"/>
    <n v="19626"/>
    <n v="16543"/>
    <n v="0.57999999999999996"/>
    <n v="0.15"/>
    <n v="0.85"/>
    <n v="0.78"/>
    <m/>
    <n v="300"/>
    <d v="1899-12-30T00:10:00"/>
    <n v="11"/>
    <s v="Normal"/>
    <s v="Normal"/>
    <n v="9.356014580801944E-2"/>
    <n v="1.5873015873015872E-2"/>
  </r>
  <r>
    <d v="2024-04-26T00:00:00"/>
    <x v="3"/>
    <s v="F"/>
    <s v="FY25"/>
    <n v="893"/>
    <n v="842"/>
    <n v="5.3066037735849059E-2"/>
    <n v="9.350649350649351E-2"/>
    <n v="20519"/>
    <n v="17385"/>
    <n v="0.86"/>
    <n v="0.06"/>
    <n v="0.94"/>
    <n v="0.62"/>
    <m/>
    <n v="300"/>
    <d v="1899-12-30T00:23:00"/>
    <n v="15"/>
    <s v="Normal"/>
    <s v="Normal"/>
    <n v="5.3066037735849059E-2"/>
    <n v="9.350649350649351E-2"/>
  </r>
  <r>
    <d v="2024-04-27T00:00:00"/>
    <x v="3"/>
    <s v="S"/>
    <s v="FY25"/>
    <n v="742"/>
    <n v="543"/>
    <n v="8.4795321637426896E-2"/>
    <n v="-1.8083182640144666E-2"/>
    <n v="21261"/>
    <n v="17928"/>
    <n v="0.33"/>
    <n v="0.27"/>
    <n v="0.73"/>
    <n v="0.86"/>
    <m/>
    <n v="300"/>
    <d v="1899-12-30T02:00:00"/>
    <n v="7"/>
    <s v="Normal"/>
    <s v="Normal"/>
    <n v="8.4795321637426896E-2"/>
    <n v="-1.8083182640144666E-2"/>
  </r>
  <r>
    <d v="2024-04-28T00:00:00"/>
    <x v="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9T00:00:00"/>
    <x v="4"/>
    <s v="M"/>
    <s v="FY25"/>
    <n v="1092"/>
    <n v="922"/>
    <n v="5.9165858389912708E-2"/>
    <n v="0"/>
    <n v="22353"/>
    <n v="18850"/>
    <n v="0.44"/>
    <n v="0.16"/>
    <n v="0.84"/>
    <n v="0.85"/>
    <m/>
    <n v="300"/>
    <d v="1899-12-30T01:25:00"/>
    <n v="12"/>
    <s v="Normal"/>
    <s v="Normal"/>
    <n v="5.9165858389912708E-2"/>
    <n v="0"/>
  </r>
  <r>
    <d v="2024-04-30T00:00:00"/>
    <x v="4"/>
    <s v="T"/>
    <s v="FY25"/>
    <n v="1059"/>
    <n v="827"/>
    <n v="0.17536071032186459"/>
    <n v="-1.1947431302270013E-2"/>
    <n v="23412"/>
    <n v="19677"/>
    <n v="0.43"/>
    <n v="0.22"/>
    <n v="0.78"/>
    <n v="0.87"/>
    <m/>
    <n v="342"/>
    <d v="1899-12-30T02:00:00"/>
    <n v="12"/>
    <s v="Normal"/>
    <s v="Normal"/>
    <n v="0.17536071032186459"/>
    <n v="-1.1947431302270013E-2"/>
  </r>
  <r>
    <d v="2024-05-01T00:00:00"/>
    <x v="4"/>
    <s v="W"/>
    <s v="FY25"/>
    <n v="850"/>
    <n v="738"/>
    <n v="-5.7649667405764965E-2"/>
    <n v="-0.13986013986013987"/>
    <n v="24262"/>
    <n v="20415"/>
    <n v="0.66"/>
    <n v="0.13"/>
    <n v="0.87"/>
    <n v="0.68"/>
    <m/>
    <n v="300"/>
    <d v="1899-12-30T01:00:00"/>
    <n v="12"/>
    <s v="Normal"/>
    <s v="Normal"/>
    <n v="-5.7649667405764965E-2"/>
    <n v="-0.13986013986013987"/>
  </r>
  <r>
    <d v="2024-05-02T00:00:00"/>
    <x v="4"/>
    <s v="R"/>
    <s v="FY25"/>
    <n v="924"/>
    <n v="717"/>
    <n v="2.6666666666666668E-2"/>
    <n v="-6.640625E-2"/>
    <n v="25186"/>
    <n v="21132"/>
    <n v="0.38"/>
    <n v="0.22"/>
    <n v="0.78"/>
    <n v="0.67"/>
    <m/>
    <n v="304"/>
    <d v="1899-12-30T01:48:00"/>
    <n v="12"/>
    <s v="Normal"/>
    <s v="Normal"/>
    <n v="2.6666666666666668E-2"/>
    <n v="-6.640625E-2"/>
  </r>
  <r>
    <d v="2024-05-03T00:00:00"/>
    <x v="4"/>
    <s v="F"/>
    <s v="FY25"/>
    <n v="897"/>
    <n v="798"/>
    <n v="4.4792833146696529E-3"/>
    <n v="-5.2256532066508314E-2"/>
    <n v="26083"/>
    <n v="21930"/>
    <n v="0.67"/>
    <n v="0.11"/>
    <n v="0.89"/>
    <n v="0.65"/>
    <m/>
    <n v="309"/>
    <d v="1899-12-30T01:00:00"/>
    <n v="14"/>
    <s v="Normal"/>
    <s v="Normal"/>
    <n v="4.4792833146696529E-3"/>
    <n v="-5.2256532066508314E-2"/>
  </r>
  <r>
    <d v="2024-05-04T00:00:00"/>
    <x v="4"/>
    <s v="S"/>
    <s v="FY25"/>
    <n v="703"/>
    <n v="586"/>
    <n v="-5.2560646900269542E-2"/>
    <n v="7.918968692449356E-2"/>
    <n v="26786"/>
    <n v="22516"/>
    <n v="0.65"/>
    <n v="0.17"/>
    <n v="0.83"/>
    <n v="0.72"/>
    <m/>
    <n v="300"/>
    <d v="1899-12-30T01:40:00"/>
    <n v="9"/>
    <s v="Normal"/>
    <s v="Normal"/>
    <n v="-5.2560646900269542E-2"/>
    <n v="7.918968692449356E-2"/>
  </r>
  <r>
    <d v="2024-05-05T00:00:00"/>
    <x v="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06T00:00:00"/>
    <x v="5"/>
    <s v="M"/>
    <s v="FY25"/>
    <n v="1044"/>
    <n v="968"/>
    <n v="-4.3956043956043959E-2"/>
    <n v="4.9891540130151846E-2"/>
    <n v="27830"/>
    <n v="23484"/>
    <n v="0.84"/>
    <n v="7.0000000000000007E-2"/>
    <n v="0.83"/>
    <n v="0.6"/>
    <m/>
    <n v="267"/>
    <d v="1899-12-30T00:24:00"/>
    <n v="16"/>
    <s v="Normal"/>
    <s v="Normal"/>
    <n v="-4.3956043956043959E-2"/>
    <n v="4.9891540130151846E-2"/>
  </r>
  <r>
    <d v="2024-05-07T00:00:00"/>
    <x v="5"/>
    <s v="T"/>
    <s v="FY25"/>
    <n v="885"/>
    <n v="821"/>
    <n v="-0.1643059490084986"/>
    <n v="-7.2551390568319227E-3"/>
    <n v="28715"/>
    <n v="24305"/>
    <n v="0.82"/>
    <n v="7.0000000000000007E-2"/>
    <n v="0.93"/>
    <n v="0.65"/>
    <m/>
    <n v="300"/>
    <d v="1899-12-30T00:25:00"/>
    <n v="14"/>
    <s v="Normal"/>
    <s v="Normal"/>
    <n v="-0.1643059490084986"/>
    <n v="-7.2551390568319227E-3"/>
  </r>
  <r>
    <d v="2024-05-08T00:00:00"/>
    <x v="5"/>
    <s v="W"/>
    <s v="FY25"/>
    <n v="934"/>
    <n v="864"/>
    <n v="9.8823529411764699E-2"/>
    <n v="0.17073170731707318"/>
    <n v="29649"/>
    <n v="25169"/>
    <n v="0.72"/>
    <n v="7.0000000000000007E-2"/>
    <n v="0.93"/>
    <n v="0.74"/>
    <m/>
    <n v="345"/>
    <d v="1899-12-30T00:51:00"/>
    <n v="15"/>
    <s v="Normal"/>
    <s v="Normal"/>
    <n v="9.8823529411764699E-2"/>
    <n v="0.17073170731707318"/>
  </r>
  <r>
    <d v="2024-05-09T00:00:00"/>
    <x v="5"/>
    <s v="R"/>
    <s v="FY25"/>
    <n v="954"/>
    <n v="841"/>
    <n v="3.2467532467532464E-2"/>
    <n v="0.17294281729428174"/>
    <n v="30603"/>
    <n v="26010"/>
    <n v="0.61"/>
    <n v="0.12"/>
    <n v="0.88"/>
    <n v="0.85"/>
    <m/>
    <n v="328"/>
    <d v="1899-12-30T00:58:00"/>
    <n v="12"/>
    <s v="Normal"/>
    <s v="Normal"/>
    <n v="3.2467532467532464E-2"/>
    <n v="0.17294281729428174"/>
  </r>
  <r>
    <d v="2024-05-10T00:00:00"/>
    <x v="5"/>
    <s v="F"/>
    <s v="FY25"/>
    <n v="862"/>
    <n v="806"/>
    <n v="-3.901895206243032E-2"/>
    <n v="1.0025062656641603E-2"/>
    <n v="31465"/>
    <n v="26816"/>
    <n v="0.83"/>
    <n v="0.06"/>
    <n v="0.94"/>
    <n v="0.64"/>
    <m/>
    <n v="300"/>
    <d v="1899-12-30T00:23:00"/>
    <n v="14"/>
    <s v="Normal"/>
    <s v="Normal"/>
    <n v="-3.901895206243032E-2"/>
    <n v="1.0025062656641603E-2"/>
  </r>
  <r>
    <d v="2024-05-11T00:00:00"/>
    <x v="5"/>
    <s v="S"/>
    <s v="FY25"/>
    <n v="710"/>
    <n v="615"/>
    <n v="9.9573257467994308E-3"/>
    <n v="4.9488054607508533E-2"/>
    <n v="32175"/>
    <n v="27431"/>
    <n v="0.66"/>
    <n v="0.13"/>
    <n v="0.87"/>
    <n v="0.76"/>
    <m/>
    <n v="300"/>
    <d v="1899-12-30T00:56:00"/>
    <n v="9"/>
    <s v="Normal"/>
    <s v="Normal"/>
    <n v="9.9573257467994308E-3"/>
    <n v="4.9488054607508533E-2"/>
  </r>
  <r>
    <d v="2024-05-12T00:00:00"/>
    <x v="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13T00:00:00"/>
    <x v="6"/>
    <s v="M"/>
    <s v="FY25"/>
    <n v="1034"/>
    <n v="954"/>
    <n v="-9.5785440613026813E-3"/>
    <n v="-1.4462809917355372E-2"/>
    <n v="33209"/>
    <n v="28385"/>
    <n v="0.66"/>
    <n v="0.13"/>
    <n v="0.87"/>
    <n v="0.71"/>
    <m/>
    <n v="300"/>
    <d v="1899-12-30T00:37:00"/>
    <n v="15"/>
    <s v="Normal"/>
    <s v="Normal"/>
    <n v="-9.5785440613026813E-3"/>
    <n v="-1.4462809917355372E-2"/>
  </r>
  <r>
    <d v="2024-05-14T00:00:00"/>
    <x v="6"/>
    <s v="T"/>
    <s v="FY25"/>
    <n v="1049"/>
    <n v="991"/>
    <n v="0.18531073446327684"/>
    <n v="0.20706455542021923"/>
    <n v="34258"/>
    <n v="29376"/>
    <n v="0.83"/>
    <n v="0.06"/>
    <n v="0.94"/>
    <n v="0.79"/>
    <m/>
    <n v="300"/>
    <d v="1899-12-30T00:25:00"/>
    <n v="14"/>
    <s v="Normal"/>
    <s v="Normal"/>
    <n v="0.18531073446327684"/>
    <n v="0.20706455542021923"/>
  </r>
  <r>
    <d v="2024-05-15T00:00:00"/>
    <x v="6"/>
    <s v="W"/>
    <s v="FY25"/>
    <n v="1021"/>
    <n v="841"/>
    <n v="9.3147751605995713E-2"/>
    <n v="-2.6620370370370371E-2"/>
    <n v="35279"/>
    <n v="30217"/>
    <n v="0.56999999999999995"/>
    <n v="0.18"/>
    <n v="0.82"/>
    <n v="0.78"/>
    <m/>
    <n v="326"/>
    <d v="1899-12-30T01:00:00"/>
    <n v="13"/>
    <s v="Normal"/>
    <s v="Normal"/>
    <n v="9.3147751605995713E-2"/>
    <n v="-2.6620370370370371E-2"/>
  </r>
  <r>
    <d v="2024-05-16T00:00:00"/>
    <x v="6"/>
    <s v="R"/>
    <s v="FY25"/>
    <n v="988"/>
    <n v="881"/>
    <n v="3.5639412997903561E-2"/>
    <n v="4.7562425683709872E-2"/>
    <n v="36267"/>
    <n v="31098"/>
    <n v="0.77"/>
    <n v="0.11"/>
    <n v="0.89"/>
    <n v="0.65"/>
    <m/>
    <n v="300"/>
    <d v="1899-12-30T00:42:00"/>
    <n v="15"/>
    <s v="Normal"/>
    <s v="Normal"/>
    <n v="3.5639412997903561E-2"/>
    <n v="4.7562425683709872E-2"/>
  </r>
  <r>
    <d v="2024-05-17T00:00:00"/>
    <x v="6"/>
    <s v="F"/>
    <s v="FY25"/>
    <n v="852"/>
    <n v="824"/>
    <n v="-1.1600928074245939E-2"/>
    <n v="2.2332506203473945E-2"/>
    <n v="37119"/>
    <n v="31922"/>
    <n v="0.9"/>
    <n v="0.03"/>
    <n v="0.97"/>
    <n v="0.7"/>
    <m/>
    <n v="300"/>
    <d v="1899-12-30T00:15:00"/>
    <n v="13"/>
    <s v="Normal"/>
    <s v="Normal"/>
    <n v="-1.1600928074245939E-2"/>
    <n v="2.2332506203473945E-2"/>
  </r>
  <r>
    <d v="2024-05-18T00:00:00"/>
    <x v="6"/>
    <s v="S"/>
    <s v="FY25"/>
    <n v="766"/>
    <n v="589"/>
    <n v="7.8873239436619724E-2"/>
    <n v="-4.2276422764227641E-2"/>
    <n v="37885"/>
    <n v="32511"/>
    <n v="0.46"/>
    <n v="0.23"/>
    <n v="0.77"/>
    <n v="0.73"/>
    <m/>
    <n v="300"/>
    <d v="1899-12-30T00:15:00"/>
    <n v="9"/>
    <s v="Normal"/>
    <s v="Normal"/>
    <n v="7.8873239436619724E-2"/>
    <n v="-4.2276422764227641E-2"/>
  </r>
  <r>
    <d v="2024-05-19T00:00:00"/>
    <x v="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0T00:00:00"/>
    <x v="7"/>
    <s v="M"/>
    <s v="FY25"/>
    <n v="1054"/>
    <n v="969"/>
    <n v="1.9342359767891684E-2"/>
    <n v="1.5723270440251572E-2"/>
    <n v="38939"/>
    <n v="33480"/>
    <n v="0.74"/>
    <n v="0.08"/>
    <n v="0.92"/>
    <n v="0.65"/>
    <m/>
    <n v="271"/>
    <d v="1899-12-30T00:35:00"/>
    <n v="15"/>
    <s v="Normal"/>
    <s v="Normal"/>
    <n v="1.9342359767891684E-2"/>
    <n v="1.5723270440251572E-2"/>
  </r>
  <r>
    <d v="2024-05-21T00:00:00"/>
    <x v="7"/>
    <s v="T"/>
    <s v="FY25"/>
    <n v="964"/>
    <n v="841"/>
    <n v="-8.1029551954242135E-2"/>
    <n v="-0.15136226034308778"/>
    <n v="39903"/>
    <n v="34321"/>
    <n v="0.64"/>
    <n v="0.13"/>
    <n v="0.87"/>
    <n v="0.67"/>
    <m/>
    <n v="300"/>
    <d v="1899-12-30T01:10:00"/>
    <n v="14"/>
    <s v="Normal"/>
    <s v="Normal"/>
    <n v="-8.1029551954242135E-2"/>
    <n v="-0.15136226034308778"/>
  </r>
  <r>
    <d v="2024-05-22T00:00:00"/>
    <x v="7"/>
    <s v="W"/>
    <s v="FY25"/>
    <n v="969"/>
    <n v="911"/>
    <n v="-5.0930460333006855E-2"/>
    <n v="8.3234244946492272E-2"/>
    <n v="40872"/>
    <n v="35232"/>
    <n v="0.77"/>
    <n v="0.06"/>
    <n v="0.94"/>
    <n v="0.67"/>
    <m/>
    <n v="300"/>
    <d v="1899-12-30T00:34:00"/>
    <n v="15"/>
    <s v="Normal"/>
    <s v="Normal"/>
    <n v="-5.0930460333006855E-2"/>
    <n v="8.3234244946492272E-2"/>
  </r>
  <r>
    <d v="2024-05-23T00:00:00"/>
    <x v="7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4T00:00:00"/>
    <x v="7"/>
    <s v="F"/>
    <s v="FY25"/>
    <n v="1363"/>
    <n v="809"/>
    <n v="0.59976525821596249"/>
    <n v="-1.820388349514563E-2"/>
    <n v="42235"/>
    <n v="36041"/>
    <n v="7.0000000000000007E-2"/>
    <n v="0.41"/>
    <n v="0.59"/>
    <n v="0.83"/>
    <m/>
    <n v="360"/>
    <d v="1899-12-30T04:10:00"/>
    <n v="13"/>
    <s v="Outlier"/>
    <s v="Normal"/>
    <n v="2.7235622912365934E-2"/>
    <n v="-1.820388349514563E-2"/>
  </r>
  <r>
    <d v="2024-05-25T00:00:00"/>
    <x v="7"/>
    <s v="S"/>
    <s v="FY25"/>
    <n v="829"/>
    <n v="767"/>
    <n v="8.2245430809399472E-2"/>
    <n v="0.30220713073005095"/>
    <n v="43064"/>
    <n v="36808"/>
    <n v="0.7"/>
    <n v="7.0000000000000007E-2"/>
    <n v="0.93"/>
    <n v="0.68"/>
    <m/>
    <n v="310"/>
    <d v="1899-12-30T00:41:00"/>
    <n v="13"/>
    <s v="Normal"/>
    <s v="Outlier"/>
    <n v="8.2245430809399472E-2"/>
    <n v="0.14911975585572834"/>
  </r>
  <r>
    <d v="2024-05-26T00:00:00"/>
    <x v="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7T00:00:00"/>
    <x v="8"/>
    <s v="M"/>
    <s v="FY25"/>
    <n v="1287"/>
    <n v="862"/>
    <n v="0.22106261859582543"/>
    <n v="-0.11042311661506708"/>
    <n v="44351"/>
    <n v="37670"/>
    <n v="0.21"/>
    <n v="0.33"/>
    <n v="0.67"/>
    <n v="0.8"/>
    <m/>
    <n v="301"/>
    <d v="1899-12-30T03:11:00"/>
    <n v="12"/>
    <s v="Outlier"/>
    <s v="Normal"/>
    <n v="2.7235622912365934E-2"/>
    <n v="-0.11042311661506708"/>
  </r>
  <r>
    <d v="2024-05-28T00:00:00"/>
    <x v="8"/>
    <s v="T"/>
    <s v="FY25"/>
    <n v="1080"/>
    <n v="973"/>
    <n v="0.12033195020746888"/>
    <n v="0.15695600475624258"/>
    <n v="45431"/>
    <n v="38643"/>
    <n v="0.76"/>
    <n v="0.1"/>
    <n v="0.9"/>
    <n v="0.72"/>
    <m/>
    <n v="300"/>
    <d v="1899-12-30T00:32:00"/>
    <n v="15"/>
    <s v="Normal"/>
    <s v="Normal"/>
    <n v="0.12033195020746888"/>
    <n v="0.15695600475624258"/>
  </r>
  <r>
    <d v="2024-05-29T00:00:00"/>
    <x v="8"/>
    <s v="W"/>
    <s v="FY25"/>
    <n v="987"/>
    <n v="762"/>
    <n v="1.8575851393188854E-2"/>
    <n v="-0.16355653128430298"/>
    <n v="46418"/>
    <n v="39405"/>
    <n v="0.38"/>
    <n v="0.23"/>
    <n v="0.77"/>
    <n v="0.8"/>
    <m/>
    <n v="340"/>
    <d v="1899-12-30T02:01:00"/>
    <n v="12"/>
    <s v="Normal"/>
    <s v="Normal"/>
    <n v="1.8575851393188854E-2"/>
    <n v="-0.16355653128430298"/>
  </r>
  <r>
    <d v="2024-05-30T00:00:00"/>
    <x v="8"/>
    <s v="R"/>
    <s v="FY25"/>
    <n v="934"/>
    <n v="843"/>
    <n v="0"/>
    <n v="0"/>
    <n v="47352"/>
    <n v="40248"/>
    <n v="0.66"/>
    <n v="0.1"/>
    <n v="0.9"/>
    <n v="0.78"/>
    <m/>
    <n v="300"/>
    <d v="1899-12-30T00:47:00"/>
    <n v="12"/>
    <s v="Normal"/>
    <s v="Normal"/>
    <n v="0"/>
    <n v="0"/>
  </r>
  <r>
    <d v="2024-05-31T00:00:00"/>
    <x v="8"/>
    <s v="F"/>
    <s v="FY25"/>
    <n v="989"/>
    <n v="916"/>
    <n v="-0.27439471753484962"/>
    <n v="0.13226205191594562"/>
    <n v="48341"/>
    <n v="41164"/>
    <n v="0.78"/>
    <n v="7.0000000000000007E-2"/>
    <n v="0.93"/>
    <n v="0.67"/>
    <m/>
    <n v="298"/>
    <d v="1899-12-30T00:34:00"/>
    <n v="15"/>
    <s v="Outlier"/>
    <s v="Normal"/>
    <n v="2.7235622912365934E-2"/>
    <n v="0.13226205191594562"/>
  </r>
  <r>
    <d v="2024-06-01T00:00:00"/>
    <x v="8"/>
    <s v="S"/>
    <s v="FY25"/>
    <n v="708"/>
    <n v="598"/>
    <n v="-0.14595898673100122"/>
    <n v="-0.22033898305084745"/>
    <n v="49049"/>
    <n v="41762"/>
    <n v="0.63"/>
    <n v="0.16"/>
    <n v="0.84"/>
    <n v="0.72"/>
    <m/>
    <n v="294"/>
    <d v="1899-12-30T01:16:00"/>
    <n v="9"/>
    <s v="Normal"/>
    <s v="Outlier"/>
    <n v="-0.14595898673100122"/>
    <n v="0.14911975585572834"/>
  </r>
  <r>
    <d v="2024-06-02T00:00:00"/>
    <x v="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03T00:00:00"/>
    <x v="9"/>
    <s v="M"/>
    <s v="FY25"/>
    <n v="1013"/>
    <n v="947"/>
    <n v="-0.2128982128982129"/>
    <n v="9.860788863109049E-2"/>
    <n v="50062"/>
    <n v="42709"/>
    <n v="0.83"/>
    <n v="7.0000000000000007E-2"/>
    <n v="0.93"/>
    <n v="0.7"/>
    <m/>
    <n v="300"/>
    <d v="1899-12-30T00:26:00"/>
    <n v="15"/>
    <s v="Normal"/>
    <s v="Normal"/>
    <n v="-0.2128982128982129"/>
    <n v="9.860788863109049E-2"/>
  </r>
  <r>
    <d v="2024-06-04T00:00:00"/>
    <x v="9"/>
    <s v="T"/>
    <s v="FY25"/>
    <n v="912"/>
    <n v="782"/>
    <n v="-0.15555555555555556"/>
    <n v="-0.19630010277492291"/>
    <n v="50974"/>
    <n v="43491"/>
    <n v="0.67"/>
    <n v="0.14000000000000001"/>
    <n v="0.86"/>
    <n v="0.79"/>
    <m/>
    <n v="300"/>
    <d v="1899-12-30T01:00:00"/>
    <n v="11"/>
    <s v="Normal"/>
    <s v="Normal"/>
    <n v="-0.15555555555555556"/>
    <n v="-0.19630010277492291"/>
  </r>
  <r>
    <d v="2024-06-05T00:00:00"/>
    <x v="9"/>
    <s v="W"/>
    <s v="FY25"/>
    <n v="908"/>
    <n v="832"/>
    <n v="-8.0040526849037494E-2"/>
    <n v="9.1863517060367453E-2"/>
    <n v="51882"/>
    <n v="44323"/>
    <n v="0.75"/>
    <n v="0.08"/>
    <n v="0.92"/>
    <n v="0.71"/>
    <m/>
    <n v="300"/>
    <d v="1899-12-30T00:34:00"/>
    <n v="13"/>
    <s v="Normal"/>
    <s v="Normal"/>
    <n v="-8.0040526849037494E-2"/>
    <n v="9.1863517060367453E-2"/>
  </r>
  <r>
    <d v="2024-06-06T00:00:00"/>
    <x v="9"/>
    <s v="R"/>
    <s v="FY25"/>
    <n v="895"/>
    <n v="813"/>
    <n v="-4.17558886509636E-2"/>
    <n v="-3.5587188612099648E-2"/>
    <n v="52777"/>
    <n v="45136"/>
    <n v="0.72"/>
    <n v="0.09"/>
    <n v="0.91"/>
    <n v="0.69"/>
    <m/>
    <n v="300"/>
    <d v="1899-12-30T01:00:00"/>
    <n v="13"/>
    <s v="Normal"/>
    <s v="Normal"/>
    <n v="-4.17558886509636E-2"/>
    <n v="-3.5587188612099648E-2"/>
  </r>
  <r>
    <d v="2024-06-07T00:00:00"/>
    <x v="9"/>
    <s v="F"/>
    <s v="FY25"/>
    <n v="922"/>
    <n v="884"/>
    <n v="-6.7745197168857435E-2"/>
    <n v="-3.4934497816593885E-2"/>
    <n v="53699"/>
    <n v="46020"/>
    <n v="0.92"/>
    <n v="0.04"/>
    <n v="0.96"/>
    <n v="0.55000000000000004"/>
    <m/>
    <n v="270"/>
    <d v="1899-12-30T00:18:00"/>
    <n v="16"/>
    <s v="Normal"/>
    <s v="Normal"/>
    <n v="-6.7745197168857435E-2"/>
    <n v="-3.4934497816593885E-2"/>
  </r>
  <r>
    <d v="2024-06-08T00:00:00"/>
    <x v="9"/>
    <s v="S"/>
    <s v="FY25"/>
    <n v="796"/>
    <n v="708"/>
    <n v="0.12429378531073447"/>
    <n v="0.18394648829431437"/>
    <n v="54495"/>
    <n v="46728"/>
    <n v="0.61"/>
    <n v="0.11"/>
    <n v="0.89"/>
    <n v="0.66"/>
    <m/>
    <n v="300"/>
    <d v="1899-12-30T01:00:00"/>
    <n v="12"/>
    <s v="Normal"/>
    <s v="Normal"/>
    <n v="0.12429378531073447"/>
    <n v="0.18394648829431437"/>
  </r>
  <r>
    <d v="2024-06-09T00:00:00"/>
    <x v="10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0T00:00:00"/>
    <x v="10"/>
    <s v="M"/>
    <s v="FY25"/>
    <n v="1051"/>
    <n v="902"/>
    <n v="3.751233958538993E-2"/>
    <n v="-4.7518479408658922E-2"/>
    <n v="55546"/>
    <n v="47630"/>
    <n v="0.52"/>
    <n v="0.14000000000000001"/>
    <n v="0.86"/>
    <n v="0.77"/>
    <m/>
    <n v="300"/>
    <d v="1900-02-28T00:00:00"/>
    <n v="13"/>
    <s v="Normal"/>
    <s v="Normal"/>
    <n v="3.751233958538993E-2"/>
    <n v="-4.7518479408658922E-2"/>
  </r>
  <r>
    <d v="2024-06-11T00:00:00"/>
    <x v="10"/>
    <s v="T"/>
    <s v="FY25"/>
    <n v="933"/>
    <n v="887"/>
    <n v="2.3026315789473683E-2"/>
    <n v="0.13427109974424553"/>
    <n v="56479"/>
    <n v="48517"/>
    <n v="0.89"/>
    <n v="0.05"/>
    <n v="0.95"/>
    <n v="0.65"/>
    <m/>
    <n v="279"/>
    <d v="1899-12-30T00:24:00"/>
    <n v="14"/>
    <s v="Normal"/>
    <s v="Normal"/>
    <n v="2.3026315789473683E-2"/>
    <n v="0.13427109974424553"/>
  </r>
  <r>
    <d v="2024-06-12T00:00:00"/>
    <x v="10"/>
    <s v="W"/>
    <s v="FY25"/>
    <n v="934"/>
    <n v="876"/>
    <n v="2.8634361233480177E-2"/>
    <n v="5.2884615384615384E-2"/>
    <n v="57413"/>
    <n v="49393"/>
    <n v="0.85"/>
    <n v="0.06"/>
    <n v="0.94"/>
    <n v="0.56999999999999995"/>
    <m/>
    <n v="246"/>
    <d v="1899-12-30T00:22:00"/>
    <n v="14"/>
    <s v="Normal"/>
    <s v="Normal"/>
    <n v="2.8634361233480177E-2"/>
    <n v="5.2884615384615384E-2"/>
  </r>
  <r>
    <d v="2024-06-13T00:00:00"/>
    <x v="10"/>
    <s v="R"/>
    <s v="FY25"/>
    <n v="887"/>
    <n v="701"/>
    <n v="-8.9385474860335188E-3"/>
    <n v="-0.13776137761377613"/>
    <n v="58300"/>
    <n v="50094"/>
    <n v="0.45"/>
    <n v="0.21"/>
    <n v="0.79"/>
    <n v="0.85"/>
    <m/>
    <n v="360"/>
    <d v="1899-12-30T01:50:00"/>
    <n v="11"/>
    <s v="Normal"/>
    <s v="Normal"/>
    <n v="-8.9385474860335188E-3"/>
    <n v="-0.13776137761377613"/>
  </r>
  <r>
    <d v="2024-06-14T00:00:00"/>
    <x v="10"/>
    <s v="F"/>
    <s v="FY25"/>
    <n v="870"/>
    <n v="822"/>
    <n v="-5.6399132321041212E-2"/>
    <n v="-7.0135746606334842E-2"/>
    <n v="59170"/>
    <n v="50916"/>
    <n v="0.86"/>
    <n v="0.06"/>
    <n v="0.94"/>
    <n v="0.65"/>
    <m/>
    <n v="300"/>
    <d v="1899-12-30T00:19:00"/>
    <n v="14"/>
    <s v="Normal"/>
    <s v="Normal"/>
    <n v="-5.6399132321041212E-2"/>
    <n v="-7.0135746606334842E-2"/>
  </r>
  <r>
    <d v="2024-06-15T00:00:00"/>
    <x v="10"/>
    <s v="S"/>
    <s v="FY25"/>
    <n v="726"/>
    <n v="706"/>
    <n v="-8.7939698492462318E-2"/>
    <n v="-2.8248587570621469E-3"/>
    <n v="59896"/>
    <n v="51622"/>
    <n v="0.89"/>
    <n v="0.03"/>
    <n v="0.97"/>
    <n v="0.55000000000000004"/>
    <m/>
    <n v="254"/>
    <d v="1899-12-30T00:16:00"/>
    <n v="12"/>
    <s v="Normal"/>
    <s v="Normal"/>
    <n v="-8.7939698492462318E-2"/>
    <n v="-2.8248587570621469E-3"/>
  </r>
  <r>
    <d v="2024-06-16T00:00:00"/>
    <x v="1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7T00:00:00"/>
    <x v="11"/>
    <s v="M"/>
    <s v="FY25"/>
    <n v="1102"/>
    <n v="1034"/>
    <n v="4.8525214081826834E-2"/>
    <n v="0.14634146341463414"/>
    <n v="60998"/>
    <n v="52656"/>
    <n v="0.84"/>
    <n v="0.06"/>
    <n v="0.94"/>
    <n v="0.68"/>
    <m/>
    <n v="284"/>
    <d v="1899-12-30T00:24:00"/>
    <n v="16"/>
    <s v="Normal"/>
    <s v="Normal"/>
    <n v="4.8525214081826834E-2"/>
    <n v="0.14634146341463414"/>
  </r>
  <r>
    <d v="2024-06-18T00:00:00"/>
    <x v="11"/>
    <s v="T"/>
    <s v="FY25"/>
    <n v="1004"/>
    <n v="934"/>
    <n v="7.6098606645230438E-2"/>
    <n v="5.2987598647125142E-2"/>
    <n v="62002"/>
    <n v="53590"/>
    <n v="0.81"/>
    <n v="7.0000000000000007E-2"/>
    <n v="0.93"/>
    <n v="0.55000000000000004"/>
    <m/>
    <n v="255"/>
    <d v="1899-12-30T00:27:00"/>
    <n v="16"/>
    <s v="Normal"/>
    <s v="Normal"/>
    <n v="7.6098606645230438E-2"/>
    <n v="5.2987598647125142E-2"/>
  </r>
  <r>
    <d v="2024-06-19T00:00:00"/>
    <x v="11"/>
    <s v="W"/>
    <s v="FY25"/>
    <n v="948"/>
    <n v="889"/>
    <n v="1.4989293361884369E-2"/>
    <n v="1.4840182648401826E-2"/>
    <n v="62950"/>
    <n v="54479"/>
    <n v="0.75"/>
    <n v="0.06"/>
    <n v="0.94"/>
    <n v="0.6"/>
    <m/>
    <n v="274"/>
    <d v="1899-12-30T00:53:00"/>
    <n v="15"/>
    <s v="Normal"/>
    <s v="Normal"/>
    <n v="1.4989293361884369E-2"/>
    <n v="1.4840182648401826E-2"/>
  </r>
  <r>
    <d v="2024-06-20T00:00:00"/>
    <x v="11"/>
    <s v="R"/>
    <s v="FY25"/>
    <n v="836"/>
    <n v="759"/>
    <n v="-5.749718151071026E-2"/>
    <n v="8.2738944365192579E-2"/>
    <n v="63786"/>
    <n v="55238"/>
    <n v="0.76"/>
    <n v="0.09"/>
    <n v="0.91"/>
    <n v="0.56000000000000005"/>
    <m/>
    <n v="300"/>
    <d v="1899-12-30T00:32:00"/>
    <n v="15"/>
    <s v="Normal"/>
    <s v="Normal"/>
    <n v="-5.749718151071026E-2"/>
    <n v="8.2738944365192579E-2"/>
  </r>
  <r>
    <d v="2024-06-21T00:00:00"/>
    <x v="11"/>
    <s v="F"/>
    <s v="FY25"/>
    <n v="758"/>
    <n v="730"/>
    <n v="-0.12873563218390804"/>
    <n v="-0.11192214111922141"/>
    <n v="64544"/>
    <n v="55968"/>
    <n v="0.93"/>
    <n v="0.04"/>
    <n v="0.96"/>
    <n v="0.59"/>
    <m/>
    <n v="303"/>
    <d v="1899-12-30T00:14:00"/>
    <n v="15"/>
    <s v="Normal"/>
    <s v="Normal"/>
    <n v="-0.12873563218390804"/>
    <n v="-0.11192214111922141"/>
  </r>
  <r>
    <d v="2024-06-22T00:00:00"/>
    <x v="11"/>
    <s v="S"/>
    <s v="FY25"/>
    <n v="706"/>
    <n v="642"/>
    <n v="-2.7548209366391185E-2"/>
    <n v="-9.0651558073654395E-2"/>
    <n v="65250"/>
    <n v="56610"/>
    <n v="0.74"/>
    <n v="0.09"/>
    <n v="0.91"/>
    <n v="0.66"/>
    <m/>
    <n v="248"/>
    <d v="1899-12-30T00:38:00"/>
    <n v="9"/>
    <s v="Normal"/>
    <s v="Normal"/>
    <n v="-2.7548209366391185E-2"/>
    <n v="-9.0651558073654395E-2"/>
  </r>
  <r>
    <d v="2024-06-23T00:00:00"/>
    <x v="1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4T00:00:00"/>
    <x v="12"/>
    <s v="M"/>
    <s v="FY25"/>
    <n v="1033"/>
    <n v="964"/>
    <n v="-6.2613430127041736E-2"/>
    <n v="-6.7698259187620888E-2"/>
    <n v="66283"/>
    <n v="57574"/>
    <n v="0.85"/>
    <n v="7.0000000000000007E-2"/>
    <n v="0.93"/>
    <n v="0.77"/>
    <m/>
    <n v="300"/>
    <d v="1899-12-30T00:22:00"/>
    <n v="14"/>
    <s v="Normal"/>
    <s v="Normal"/>
    <n v="-6.2613430127041736E-2"/>
    <n v="-6.7698259187620888E-2"/>
  </r>
  <r>
    <d v="2024-06-25T00:00:00"/>
    <x v="12"/>
    <s v="T"/>
    <s v="FY25"/>
    <n v="928"/>
    <n v="877"/>
    <n v="-7.5697211155378488E-2"/>
    <n v="-6.1027837259100645E-2"/>
    <n v="67211"/>
    <n v="58451"/>
    <n v="0.84"/>
    <n v="0.05"/>
    <n v="0.95"/>
    <n v="0.56999999999999995"/>
    <m/>
    <n v="283"/>
    <d v="1899-12-30T00:24:00"/>
    <n v="16"/>
    <s v="Normal"/>
    <s v="Normal"/>
    <n v="-7.5697211155378488E-2"/>
    <n v="-6.1027837259100645E-2"/>
  </r>
  <r>
    <d v="2024-06-26T00:00:00"/>
    <x v="12"/>
    <s v="W"/>
    <s v="FY25"/>
    <n v="981"/>
    <n v="852"/>
    <n v="3.4810126582278479E-2"/>
    <n v="-4.1619797525309338E-2"/>
    <n v="68192"/>
    <n v="59303"/>
    <n v="0.61"/>
    <n v="0.13"/>
    <n v="0.87"/>
    <n v="0.69"/>
    <m/>
    <n v="285"/>
    <d v="1899-12-30T01:00:00"/>
    <n v="13"/>
    <s v="Normal"/>
    <s v="Normal"/>
    <n v="3.4810126582278479E-2"/>
    <n v="-4.1619797525309338E-2"/>
  </r>
  <r>
    <d v="2024-06-27T00:00:00"/>
    <x v="12"/>
    <s v="R"/>
    <s v="FY25"/>
    <n v="969"/>
    <n v="857"/>
    <n v="0.15909090909090909"/>
    <n v="0.12911725955204217"/>
    <n v="69161"/>
    <n v="60160"/>
    <n v="0.6"/>
    <n v="0.12"/>
    <n v="0.88"/>
    <n v="0.72"/>
    <m/>
    <n v="295"/>
    <d v="1899-12-30T01:00:00"/>
    <n v="13"/>
    <s v="Normal"/>
    <s v="Normal"/>
    <n v="0.15909090909090909"/>
    <n v="0.12911725955204217"/>
  </r>
  <r>
    <d v="2024-06-28T00:00:00"/>
    <x v="12"/>
    <s v="F"/>
    <s v="FY25"/>
    <n v="1035"/>
    <n v="932"/>
    <n v="0.36543535620052769"/>
    <n v="0.27671232876712326"/>
    <n v="70196"/>
    <n v="61092"/>
    <n v="0.71"/>
    <n v="0.1"/>
    <n v="0.9"/>
    <n v="0.64"/>
    <m/>
    <n v="279"/>
    <d v="1899-12-30T00:45:00"/>
    <n v="15"/>
    <s v="Outlier"/>
    <s v="Outlier"/>
    <n v="2.7235622912365934E-2"/>
    <n v="0.14911975585572834"/>
  </r>
  <r>
    <d v="2024-06-29T00:00:00"/>
    <x v="12"/>
    <s v="S"/>
    <s v="FY25"/>
    <n v="787"/>
    <n v="598"/>
    <n v="0.11473087818696884"/>
    <n v="-6.8535825545171333E-2"/>
    <n v="70983"/>
    <n v="61690"/>
    <n v="0.37"/>
    <n v="0.24"/>
    <n v="0.76"/>
    <n v="0.95"/>
    <m/>
    <n v="300"/>
    <d v="1899-12-30T02:00:00"/>
    <n v="7"/>
    <s v="Normal"/>
    <s v="Normal"/>
    <n v="0.11473087818696884"/>
    <n v="-6.8535825545171333E-2"/>
  </r>
  <r>
    <d v="2024-06-30T00:00:00"/>
    <x v="1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1T00:00:00"/>
    <x v="13"/>
    <s v="M"/>
    <s v="FY25"/>
    <n v="981"/>
    <n v="922"/>
    <n v="-5.033881897386254E-2"/>
    <n v="-4.3568464730290454E-2"/>
    <n v="71964"/>
    <n v="62612"/>
    <n v="0.85"/>
    <n v="0.06"/>
    <n v="0.94"/>
    <n v="0.73"/>
    <m/>
    <n v="300"/>
    <d v="1899-12-30T00:23:00"/>
    <n v="14"/>
    <s v="Normal"/>
    <s v="Normal"/>
    <n v="-5.033881897386254E-2"/>
    <n v="-4.3568464730290454E-2"/>
  </r>
  <r>
    <d v="2024-07-02T00:00:00"/>
    <x v="13"/>
    <s v="T"/>
    <s v="FY25"/>
    <n v="389"/>
    <n v="143"/>
    <n v="-0.58081896551724133"/>
    <n v="-0.83694412770809579"/>
    <n v="72353"/>
    <n v="62755"/>
    <n v="0.27"/>
    <n v="0.63"/>
    <n v="0.37"/>
    <n v="0.4"/>
    <m/>
    <n v="300"/>
    <d v="1899-12-30T06:00:00"/>
    <n v="4"/>
    <s v="Outlier"/>
    <s v="Outlier"/>
    <n v="2.7235622912365934E-2"/>
    <n v="0.14911975585572834"/>
  </r>
  <r>
    <d v="2024-07-03T00:00:00"/>
    <x v="13"/>
    <s v="W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4T00:00:00"/>
    <x v="13"/>
    <s v="R"/>
    <s v="FY25"/>
    <n v="394"/>
    <n v="44"/>
    <n v="-0.59339525283797734"/>
    <n v="-0.94865810968494746"/>
    <n v="72747"/>
    <n v="62799"/>
    <n v="0.11"/>
    <n v="0.89"/>
    <n v="0.11"/>
    <n v="0.1"/>
    <m/>
    <n v="380"/>
    <d v="1899-12-30T07:00:00"/>
    <n v="6"/>
    <s v="Outlier"/>
    <s v="Outlier"/>
    <n v="2.7235622912365934E-2"/>
    <n v="0.14911975585572834"/>
  </r>
  <r>
    <d v="2024-07-05T00:00:00"/>
    <x v="13"/>
    <s v="F"/>
    <s v="FY25"/>
    <n v="829"/>
    <n v="602"/>
    <n v="-0.19903381642512077"/>
    <n v="-0.35407725321888411"/>
    <n v="73576"/>
    <n v="63401"/>
    <n v="0.31"/>
    <n v="0.27"/>
    <n v="0.73"/>
    <n v="0.75"/>
    <m/>
    <n v="270"/>
    <d v="1899-12-30T02:00:00"/>
    <n v="8"/>
    <s v="Normal"/>
    <s v="Outlier"/>
    <n v="-0.19903381642512077"/>
    <n v="0.14911975585572834"/>
  </r>
  <r>
    <d v="2024-07-06T00:00:00"/>
    <x v="13"/>
    <s v="S"/>
    <s v="FY25"/>
    <n v="683"/>
    <n v="446"/>
    <n v="-0.13214739517153748"/>
    <n v="-0.25418060200668896"/>
    <n v="74259"/>
    <n v="63847"/>
    <n v="0.28999999999999998"/>
    <n v="0.35"/>
    <n v="0.65"/>
    <n v="0.62"/>
    <m/>
    <n v="300"/>
    <d v="1899-12-30T03:00:00"/>
    <n v="8"/>
    <s v="Normal"/>
    <s v="Outlier"/>
    <n v="-0.13214739517153748"/>
    <n v="0.14911975585572834"/>
  </r>
  <r>
    <d v="2024-07-07T00:00:00"/>
    <x v="1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8T00:00:00"/>
    <x v="14"/>
    <s v="M"/>
    <s v="FY25"/>
    <n v="930"/>
    <n v="761"/>
    <n v="-5.1987767584097858E-2"/>
    <n v="-0.17462039045553146"/>
    <n v="75189"/>
    <n v="64608"/>
    <n v="0.55000000000000004"/>
    <n v="0.18"/>
    <n v="0.82"/>
    <n v="0.7"/>
    <m/>
    <n v="300"/>
    <d v="1899-12-30T03:26:00"/>
    <n v="12"/>
    <s v="Normal"/>
    <s v="Normal"/>
    <n v="-5.1987767584097858E-2"/>
    <n v="-0.17462039045553146"/>
  </r>
  <r>
    <d v="2024-07-09T00:00:00"/>
    <x v="14"/>
    <s v="T"/>
    <s v="FY25"/>
    <n v="532"/>
    <n v="437"/>
    <n v="0.36760925449871468"/>
    <n v="2.0559440559440558"/>
    <n v="75721"/>
    <n v="65045"/>
    <n v="0.62"/>
    <n v="0.18"/>
    <n v="0.82"/>
    <n v="0.54"/>
    <m/>
    <n v="300"/>
    <d v="1899-12-30T01:50:00"/>
    <n v="9"/>
    <s v="Outlier"/>
    <s v="Outlier"/>
    <n v="2.7235622912365934E-2"/>
    <n v="0.14911975585572834"/>
  </r>
  <r>
    <d v="2024-07-10T00:00:00"/>
    <x v="14"/>
    <s v="W"/>
    <s v="FY25"/>
    <n v="990"/>
    <n v="671"/>
    <n v="0"/>
    <n v="0"/>
    <n v="76711"/>
    <n v="65716"/>
    <n v="0.27"/>
    <n v="0.32"/>
    <n v="0.68"/>
    <n v="0.62"/>
    <m/>
    <n v="300"/>
    <d v="1899-12-30T03:00:00"/>
    <n v="12"/>
    <s v="Normal"/>
    <s v="Normal"/>
    <n v="0"/>
    <n v="0"/>
  </r>
  <r>
    <d v="2024-07-11T00:00:00"/>
    <x v="14"/>
    <s v="R"/>
    <s v="FY25"/>
    <n v="964"/>
    <n v="770"/>
    <n v="1.4467005076142132"/>
    <n v="16.5"/>
    <n v="77675"/>
    <n v="66486"/>
    <n v="0.53"/>
    <n v="0.2"/>
    <n v="0.8"/>
    <n v="0.71"/>
    <m/>
    <n v="300"/>
    <d v="1899-12-30T01:00:00"/>
    <n v="12"/>
    <s v="Outlier"/>
    <s v="Outlier"/>
    <n v="2.7235622912365934E-2"/>
    <n v="0.14911975585572834"/>
  </r>
  <r>
    <d v="2024-07-12T00:00:00"/>
    <x v="14"/>
    <s v="F"/>
    <s v="FY25"/>
    <n v="946"/>
    <n v="803"/>
    <n v="0.14113389626055489"/>
    <n v="0.33388704318936879"/>
    <n v="78621"/>
    <n v="67289"/>
    <n v="0.62"/>
    <n v="0.15"/>
    <n v="0.85"/>
    <n v="0.64"/>
    <m/>
    <n v="300"/>
    <d v="1899-12-30T01:00:00"/>
    <n v="14"/>
    <s v="Normal"/>
    <s v="Outlier"/>
    <n v="0.14113389626055489"/>
    <n v="0.14911975585572834"/>
  </r>
  <r>
    <d v="2024-07-13T00:00:00"/>
    <x v="14"/>
    <s v="S"/>
    <s v="FY25"/>
    <n v="733"/>
    <n v="584"/>
    <n v="7.320644216691069E-2"/>
    <n v="0.3094170403587444"/>
    <n v="79354"/>
    <n v="67873"/>
    <n v="0.56999999999999995"/>
    <n v="0.2"/>
    <n v="0.8"/>
    <n v="0.66"/>
    <m/>
    <n v="276"/>
    <d v="1899-12-30T01:42:00"/>
    <n v="9"/>
    <s v="Normal"/>
    <s v="Outlier"/>
    <n v="7.320644216691069E-2"/>
    <n v="0.14911975585572834"/>
  </r>
  <r>
    <d v="2024-07-14T00:00:00"/>
    <x v="1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15T00:00:00"/>
    <x v="15"/>
    <s v="M"/>
    <s v="FY25"/>
    <n v="1274"/>
    <n v="951"/>
    <n v="0.36989247311827955"/>
    <n v="0.24967148488830487"/>
    <n v="80628"/>
    <n v="68824"/>
    <n v="0.39"/>
    <n v="0.2"/>
    <n v="0.8"/>
    <n v="0.7"/>
    <m/>
    <n v="298"/>
    <d v="1899-12-30T02:38:00"/>
    <n v="15"/>
    <s v="Outlier"/>
    <s v="Outlier"/>
    <n v="2.7235622912365934E-2"/>
    <n v="0.14911975585572834"/>
  </r>
  <r>
    <d v="2024-07-16T00:00:00"/>
    <x v="15"/>
    <s v="T"/>
    <s v="FY25"/>
    <n v="1000"/>
    <n v="779"/>
    <n v="0.87969924812030076"/>
    <n v="0.78260869565217395"/>
    <n v="81628"/>
    <n v="69603"/>
    <n v="0.43"/>
    <n v="0.22"/>
    <n v="0.78"/>
    <n v="0.72"/>
    <m/>
    <n v="300"/>
    <d v="1899-12-30T02:00:00"/>
    <n v="12"/>
    <s v="Outlier"/>
    <s v="Outlier"/>
    <n v="2.7235622912365934E-2"/>
    <n v="0.14911975585572834"/>
  </r>
  <r>
    <d v="2024-07-17T00:00:00"/>
    <x v="15"/>
    <s v="W"/>
    <s v="FY25"/>
    <n v="987"/>
    <n v="812"/>
    <n v="-3.0303030303030303E-3"/>
    <n v="0.21013412816691504"/>
    <n v="82615"/>
    <n v="70415"/>
    <n v="0.6"/>
    <n v="0.18"/>
    <n v="0.82"/>
    <n v="0.64"/>
    <m/>
    <n v="300"/>
    <d v="1899-12-30T01:00:00"/>
    <n v="14"/>
    <s v="Normal"/>
    <s v="Outlier"/>
    <n v="-3.0303030303030303E-3"/>
    <n v="0.14911975585572834"/>
  </r>
  <r>
    <d v="2024-07-18T00:00:00"/>
    <x v="15"/>
    <s v="R"/>
    <s v="FY25"/>
    <n v="976"/>
    <n v="761"/>
    <n v="1.2448132780082987E-2"/>
    <n v="-1.1688311688311689E-2"/>
    <n v="83591"/>
    <n v="71176"/>
    <n v="0.45"/>
    <n v="0.22"/>
    <n v="0.78"/>
    <n v="0.65"/>
    <m/>
    <n v="300"/>
    <d v="1899-12-30T02:00:00"/>
    <n v="13"/>
    <s v="Normal"/>
    <s v="Normal"/>
    <n v="1.2448132780082987E-2"/>
    <n v="-1.1688311688311689E-2"/>
  </r>
  <r>
    <d v="2024-07-19T00:00:00"/>
    <x v="15"/>
    <s v="F"/>
    <s v="FY25"/>
    <n v="899"/>
    <n v="760"/>
    <n v="-4.9682875264270614E-2"/>
    <n v="-5.3549190535491904E-2"/>
    <n v="84490"/>
    <n v="71936"/>
    <n v="0.59"/>
    <n v="0.15"/>
    <n v="0.85"/>
    <n v="0.57999999999999996"/>
    <m/>
    <n v="309"/>
    <d v="1899-12-30T01:24:00"/>
    <n v="15"/>
    <s v="Normal"/>
    <s v="Normal"/>
    <n v="-4.9682875264270614E-2"/>
    <n v="-5.3549190535491904E-2"/>
  </r>
  <r>
    <d v="2024-07-20T00:00:00"/>
    <x v="15"/>
    <s v="S"/>
    <s v="FY25"/>
    <n v="690"/>
    <n v="626"/>
    <n v="-5.8663028649386086E-2"/>
    <n v="7.1917808219178078E-2"/>
    <n v="85180"/>
    <n v="72562"/>
    <n v="0.79"/>
    <n v="0.09"/>
    <n v="0.91"/>
    <n v="0.56999999999999995"/>
    <m/>
    <n v="244"/>
    <d v="1899-12-30T00:34:00"/>
    <n v="10"/>
    <s v="Normal"/>
    <s v="Normal"/>
    <n v="-5.8663028649386086E-2"/>
    <n v="7.1917808219178078E-2"/>
  </r>
  <r>
    <d v="2024-07-21T00:00:00"/>
    <x v="1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2T00:00:00"/>
    <x v="16"/>
    <s v="M"/>
    <s v="FY25"/>
    <n v="719"/>
    <n v="622"/>
    <n v="-0.43563579277864994"/>
    <n v="-0.3459516298633018"/>
    <n v="85899"/>
    <n v="73184"/>
    <n v="0.71"/>
    <n v="0.13"/>
    <n v="0.87"/>
    <n v="0.56000000000000005"/>
    <m/>
    <n v="317"/>
    <d v="1899-12-30T01:19:00"/>
    <n v="13"/>
    <s v="Outlier"/>
    <s v="Outlier"/>
    <n v="2.7235622912365934E-2"/>
    <n v="0.14911975585572834"/>
  </r>
  <r>
    <d v="2024-07-23T00:00:00"/>
    <x v="16"/>
    <s v="T"/>
    <s v="FY25"/>
    <n v="771"/>
    <n v="642"/>
    <n v="-0.22900000000000001"/>
    <n v="-0.17586649550706032"/>
    <n v="86670"/>
    <n v="73826"/>
    <n v="0.62"/>
    <n v="0.17"/>
    <n v="0.83"/>
    <n v="0.56999999999999995"/>
    <m/>
    <n v="288"/>
    <d v="1899-12-30T01:13:00"/>
    <n v="12"/>
    <s v="Outlier"/>
    <s v="Normal"/>
    <n v="2.7235622912365934E-2"/>
    <n v="-0.17586649550706032"/>
  </r>
  <r>
    <d v="2024-07-24T00:00:00"/>
    <x v="16"/>
    <s v="W"/>
    <s v="FY25"/>
    <n v="795"/>
    <n v="619"/>
    <n v="-0.19452887537993921"/>
    <n v="-0.2376847290640394"/>
    <n v="87465"/>
    <n v="74445"/>
    <n v="0.52"/>
    <n v="0.22"/>
    <n v="0.78"/>
    <n v="0.57999999999999996"/>
    <m/>
    <n v="303"/>
    <d v="1899-12-30T01:58:00"/>
    <n v="12"/>
    <s v="Normal"/>
    <s v="Outlier"/>
    <n v="-0.19452887537993921"/>
    <n v="0.14911975585572834"/>
  </r>
  <r>
    <d v="2024-07-25T00:00:00"/>
    <x v="16"/>
    <s v="R"/>
    <s v="FY25"/>
    <n v="1054"/>
    <n v="857"/>
    <n v="7.9918032786885251E-2"/>
    <n v="0.12614980289093297"/>
    <n v="88519"/>
    <n v="75302"/>
    <n v="0.49"/>
    <n v="0.19"/>
    <n v="0.73"/>
    <n v="0.73"/>
    <m/>
    <n v="199"/>
    <d v="1899-12-30T01:33:00"/>
    <n v="13"/>
    <s v="Normal"/>
    <s v="Normal"/>
    <n v="7.9918032786885251E-2"/>
    <n v="0.12614980289093297"/>
  </r>
  <r>
    <d v="2024-07-26T00:00:00"/>
    <x v="16"/>
    <s v="F"/>
    <s v="FY25"/>
    <n v="1085"/>
    <n v="734"/>
    <n v="0.20689655172413793"/>
    <n v="-3.4210526315789476E-2"/>
    <n v="89604"/>
    <n v="76036"/>
    <n v="0.21"/>
    <n v="0.32"/>
    <n v="0.68"/>
    <n v="0.61"/>
    <m/>
    <n v="313"/>
    <d v="1899-12-30T02:40:00"/>
    <n v="14"/>
    <s v="Normal"/>
    <s v="Normal"/>
    <n v="0.20689655172413793"/>
    <n v="-3.4210526315789476E-2"/>
  </r>
  <r>
    <d v="2024-07-27T00:00:00"/>
    <x v="16"/>
    <s v="S"/>
    <s v="FY25"/>
    <n v="998"/>
    <n v="564"/>
    <n v="0.44637681159420289"/>
    <n v="-9.9041533546325874E-2"/>
    <n v="90602"/>
    <n v="76600"/>
    <n v="0.11"/>
    <n v="0.43"/>
    <n v="0.56999999999999995"/>
    <n v="0.87"/>
    <m/>
    <n v="293"/>
    <d v="1899-12-30T04:06:00"/>
    <n v="7"/>
    <s v="Outlier"/>
    <s v="Normal"/>
    <n v="2.7235622912365934E-2"/>
    <n v="-9.9041533546325874E-2"/>
  </r>
  <r>
    <d v="2024-07-28T00:00:00"/>
    <x v="1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9T00:00:00"/>
    <x v="17"/>
    <s v="M"/>
    <s v="FY25"/>
    <n v="1196"/>
    <n v="943"/>
    <n v="0.66342141863699577"/>
    <n v="0.51607717041800638"/>
    <n v="91798"/>
    <n v="77543"/>
    <n v="0.39"/>
    <n v="0.21"/>
    <n v="0.79"/>
    <n v="0.74"/>
    <m/>
    <n v="319"/>
    <d v="1899-12-30T01:46:00"/>
    <n v="15"/>
    <s v="Outlier"/>
    <s v="Outlier"/>
    <n v="2.7235622912365934E-2"/>
    <n v="0.14911975585572834"/>
  </r>
  <r>
    <d v="2024-07-30T00:00:00"/>
    <x v="17"/>
    <s v="T"/>
    <s v="FY25"/>
    <n v="1242"/>
    <n v="798"/>
    <n v="0.6108949416342413"/>
    <n v="0.24299065420560748"/>
    <n v="93040"/>
    <n v="78341"/>
    <n v="0.16"/>
    <n v="0.36"/>
    <n v="0.64"/>
    <n v="0.81"/>
    <m/>
    <n v="358"/>
    <d v="1899-12-30T03:19:00"/>
    <n v="13"/>
    <s v="Outlier"/>
    <s v="Outlier"/>
    <n v="2.7235622912365934E-2"/>
    <n v="0.14911975585572834"/>
  </r>
  <r>
    <d v="2024-07-31T00:00:00"/>
    <x v="17"/>
    <s v="W"/>
    <s v="FY25"/>
    <n v="1344"/>
    <n v="525"/>
    <n v="0.69056603773584901"/>
    <n v="-0.15185783521809371"/>
    <n v="94384"/>
    <n v="78866"/>
    <n v="0.01"/>
    <n v="0.61"/>
    <n v="0.39"/>
    <n v="0.68"/>
    <m/>
    <n v="314"/>
    <d v="1899-12-30T06:54:00"/>
    <n v="9"/>
    <s v="Outlier"/>
    <s v="Normal"/>
    <n v="2.7235622912365934E-2"/>
    <n v="-0.15185783521809371"/>
  </r>
  <r>
    <d v="2024-08-01T00:00:00"/>
    <x v="17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2T00:00:00"/>
    <x v="17"/>
    <s v="F"/>
    <s v="FY25"/>
    <n v="1185"/>
    <n v="603"/>
    <n v="9.2165898617511524E-2"/>
    <n v="-0.17847411444141689"/>
    <n v="1185"/>
    <n v="603"/>
    <n v="0.1"/>
    <n v="0.49"/>
    <n v="0.51"/>
    <n v="0.7"/>
    <m/>
    <n v="344"/>
    <d v="1899-12-30T05:56:00"/>
    <n v="11"/>
    <s v="Normal"/>
    <s v="Normal"/>
    <n v="9.2165898617511524E-2"/>
    <n v="-0.17847411444141689"/>
  </r>
  <r>
    <d v="2024-08-03T00:00:00"/>
    <x v="17"/>
    <s v="S"/>
    <s v="FY25"/>
    <n v="804"/>
    <n v="587"/>
    <n v="-0.19438877755511022"/>
    <n v="4.0780141843971635E-2"/>
    <n v="1989"/>
    <n v="1190"/>
    <n v="0.31"/>
    <n v="0.27"/>
    <n v="0.73"/>
    <n v="0.83"/>
    <m/>
    <n v="344"/>
    <d v="1899-12-30T01:58:00"/>
    <n v="9"/>
    <s v="Normal"/>
    <s v="Normal"/>
    <n v="-0.19438877755511022"/>
    <n v="4.0780141843971635E-2"/>
  </r>
  <r>
    <d v="2024-08-04T00:00:00"/>
    <x v="1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5T00:00:00"/>
    <x v="18"/>
    <s v="M"/>
    <s v="FY25"/>
    <n v="1107"/>
    <n v="836"/>
    <n v="-7.4414715719063551E-2"/>
    <n v="-0.11346765641569459"/>
    <n v="3096"/>
    <n v="2026"/>
    <n v="0.36"/>
    <n v="0.24"/>
    <n v="0.76"/>
    <n v="0.66"/>
    <m/>
    <n v="343"/>
    <d v="1899-12-30T02:18:00"/>
    <m/>
    <s v="Normal"/>
    <s v="Normal"/>
    <n v="-7.4414715719063551E-2"/>
    <n v="-0.11346765641569459"/>
  </r>
  <r>
    <d v="2024-08-06T00:00:00"/>
    <x v="18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7T00:00:00"/>
    <x v="18"/>
    <s v="W"/>
    <s v="FY25"/>
    <n v="1240"/>
    <n v="619"/>
    <n v="-7.7380952380952384E-2"/>
    <n v="0.17904761904761904"/>
    <n v="4336"/>
    <n v="2645"/>
    <n v="0.04"/>
    <n v="0.5"/>
    <n v="0.5"/>
    <n v="0.8"/>
    <m/>
    <n v="382"/>
    <d v="1899-12-30T05:37:00"/>
    <n v="11"/>
    <s v="Normal"/>
    <s v="Normal"/>
    <n v="-7.7380952380952384E-2"/>
    <n v="0.17904761904761904"/>
  </r>
  <r>
    <d v="2024-08-08T00:00:00"/>
    <x v="18"/>
    <s v="R"/>
    <s v="FY25"/>
    <n v="1018"/>
    <n v="678"/>
    <n v="0"/>
    <n v="0"/>
    <n v="5354"/>
    <n v="3323"/>
    <n v="0.21"/>
    <n v="0.33"/>
    <n v="0.67"/>
    <n v="0.68"/>
    <m/>
    <n v="327"/>
    <d v="1899-12-30T02:57:00"/>
    <n v="12"/>
    <s v="Normal"/>
    <s v="Normal"/>
    <n v="0"/>
    <n v="0"/>
  </r>
  <r>
    <d v="2024-08-09T00:00:00"/>
    <x v="18"/>
    <s v="F"/>
    <s v="FY25"/>
    <n v="1034"/>
    <n v="811"/>
    <n v="-0.12742616033755275"/>
    <n v="0.34494195688225537"/>
    <n v="6388"/>
    <n v="4134"/>
    <n v="0.36"/>
    <n v="0.22"/>
    <n v="0.78"/>
    <n v="0.72"/>
    <m/>
    <n v="313"/>
    <d v="1899-12-30T02:15:00"/>
    <n v="13"/>
    <s v="Normal"/>
    <s v="Outlier"/>
    <n v="-0.12742616033755275"/>
    <n v="0.14911975585572834"/>
  </r>
  <r>
    <d v="2024-08-10T00:00:00"/>
    <x v="18"/>
    <s v="S"/>
    <s v="FY25"/>
    <n v="767"/>
    <n v="399"/>
    <n v="-4.6019900497512436E-2"/>
    <n v="-0.32027257240204432"/>
    <n v="7155"/>
    <n v="4533"/>
    <n v="7.0000000000000007E-2"/>
    <n v="0.48"/>
    <n v="0.52"/>
    <n v="0.91"/>
    <m/>
    <n v="427"/>
    <d v="1899-12-30T05:47:00"/>
    <n v="7"/>
    <s v="Normal"/>
    <s v="Outlier"/>
    <n v="-4.6019900497512436E-2"/>
    <n v="0.14911975585572834"/>
  </r>
  <r>
    <d v="2024-08-11T00:00:00"/>
    <x v="1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m/>
    <s v="Normal"/>
    <s v="Normal"/>
    <n v="0"/>
    <n v="0"/>
  </r>
  <r>
    <d v="2024-08-13T00:00:00"/>
    <x v="20"/>
    <s v="T"/>
    <m/>
    <m/>
    <m/>
    <m/>
    <m/>
    <m/>
    <m/>
    <m/>
    <m/>
    <m/>
    <m/>
    <m/>
    <m/>
    <m/>
    <m/>
    <m/>
    <m/>
    <m/>
    <m/>
  </r>
  <r>
    <d v="2024-08-14T00:00:00"/>
    <x v="20"/>
    <s v="W"/>
    <m/>
    <m/>
    <m/>
    <m/>
    <m/>
    <m/>
    <m/>
    <m/>
    <m/>
    <m/>
    <m/>
    <m/>
    <m/>
    <m/>
    <m/>
    <m/>
    <m/>
    <m/>
    <m/>
  </r>
  <r>
    <d v="2024-08-15T00:00:00"/>
    <x v="20"/>
    <s v="R"/>
    <m/>
    <m/>
    <m/>
    <m/>
    <m/>
    <m/>
    <m/>
    <m/>
    <m/>
    <m/>
    <m/>
    <m/>
    <m/>
    <m/>
    <m/>
    <m/>
    <m/>
    <m/>
    <m/>
  </r>
  <r>
    <d v="2024-08-16T00:00:00"/>
    <x v="20"/>
    <s v="F"/>
    <m/>
    <m/>
    <m/>
    <m/>
    <m/>
    <m/>
    <m/>
    <m/>
    <m/>
    <m/>
    <m/>
    <m/>
    <m/>
    <m/>
    <m/>
    <m/>
    <m/>
    <m/>
    <m/>
  </r>
  <r>
    <d v="2024-08-17T00:00:00"/>
    <x v="20"/>
    <s v="S"/>
    <m/>
    <m/>
    <m/>
    <m/>
    <m/>
    <m/>
    <m/>
    <m/>
    <m/>
    <m/>
    <m/>
    <m/>
    <m/>
    <m/>
    <m/>
    <m/>
    <m/>
    <m/>
    <m/>
  </r>
  <r>
    <d v="2024-08-18T00:00:00"/>
    <x v="20"/>
    <s v="D"/>
    <m/>
    <m/>
    <m/>
    <m/>
    <m/>
    <m/>
    <m/>
    <m/>
    <m/>
    <m/>
    <m/>
    <m/>
    <m/>
    <m/>
    <m/>
    <m/>
    <m/>
    <m/>
    <m/>
  </r>
  <r>
    <d v="2024-08-19T00:00:00"/>
    <x v="20"/>
    <s v="M"/>
    <m/>
    <m/>
    <m/>
    <m/>
    <m/>
    <m/>
    <m/>
    <m/>
    <m/>
    <m/>
    <m/>
    <m/>
    <m/>
    <m/>
    <m/>
    <m/>
    <m/>
    <m/>
    <m/>
  </r>
  <r>
    <d v="2024-08-20T00:00:00"/>
    <x v="20"/>
    <s v="T"/>
    <m/>
    <m/>
    <m/>
    <m/>
    <m/>
    <m/>
    <m/>
    <m/>
    <m/>
    <m/>
    <m/>
    <m/>
    <m/>
    <m/>
    <m/>
    <m/>
    <m/>
    <m/>
    <m/>
  </r>
  <r>
    <d v="2024-08-21T00:00:00"/>
    <x v="20"/>
    <s v="W"/>
    <m/>
    <m/>
    <m/>
    <m/>
    <m/>
    <m/>
    <m/>
    <m/>
    <m/>
    <m/>
    <m/>
    <m/>
    <m/>
    <m/>
    <m/>
    <m/>
    <m/>
    <m/>
    <m/>
  </r>
  <r>
    <d v="2024-08-22T00:00:00"/>
    <x v="20"/>
    <s v="R"/>
    <m/>
    <m/>
    <m/>
    <m/>
    <m/>
    <m/>
    <m/>
    <m/>
    <m/>
    <m/>
    <m/>
    <m/>
    <m/>
    <m/>
    <m/>
    <m/>
    <m/>
    <m/>
    <m/>
  </r>
  <r>
    <d v="2024-08-23T00:00:00"/>
    <x v="20"/>
    <s v="F"/>
    <m/>
    <m/>
    <m/>
    <m/>
    <m/>
    <m/>
    <m/>
    <m/>
    <m/>
    <m/>
    <m/>
    <m/>
    <m/>
    <m/>
    <m/>
    <m/>
    <m/>
    <m/>
    <m/>
  </r>
  <r>
    <d v="2024-08-24T00:00:00"/>
    <x v="20"/>
    <s v="S"/>
    <m/>
    <m/>
    <m/>
    <m/>
    <m/>
    <m/>
    <m/>
    <m/>
    <m/>
    <m/>
    <m/>
    <m/>
    <m/>
    <m/>
    <m/>
    <m/>
    <m/>
    <m/>
    <m/>
  </r>
  <r>
    <d v="2024-08-25T00:00:00"/>
    <x v="20"/>
    <s v="D"/>
    <m/>
    <m/>
    <m/>
    <m/>
    <m/>
    <m/>
    <m/>
    <m/>
    <m/>
    <m/>
    <m/>
    <m/>
    <m/>
    <m/>
    <m/>
    <m/>
    <m/>
    <m/>
    <m/>
  </r>
  <r>
    <d v="2024-08-26T00:00:00"/>
    <x v="20"/>
    <s v="M"/>
    <m/>
    <m/>
    <m/>
    <m/>
    <m/>
    <m/>
    <m/>
    <m/>
    <m/>
    <m/>
    <m/>
    <m/>
    <m/>
    <m/>
    <m/>
    <m/>
    <m/>
    <m/>
    <m/>
  </r>
  <r>
    <d v="2024-08-27T00:00:00"/>
    <x v="20"/>
    <s v="T"/>
    <m/>
    <m/>
    <m/>
    <m/>
    <m/>
    <m/>
    <m/>
    <m/>
    <m/>
    <m/>
    <m/>
    <m/>
    <m/>
    <m/>
    <m/>
    <m/>
    <m/>
    <m/>
    <m/>
  </r>
  <r>
    <d v="2024-08-28T00:00:00"/>
    <x v="20"/>
    <s v="W"/>
    <m/>
    <m/>
    <m/>
    <m/>
    <m/>
    <m/>
    <m/>
    <m/>
    <m/>
    <m/>
    <m/>
    <m/>
    <m/>
    <m/>
    <m/>
    <m/>
    <m/>
    <m/>
    <m/>
  </r>
  <r>
    <d v="2024-08-29T00:00:00"/>
    <x v="20"/>
    <s v="R"/>
    <m/>
    <m/>
    <m/>
    <m/>
    <m/>
    <m/>
    <m/>
    <m/>
    <m/>
    <m/>
    <m/>
    <m/>
    <m/>
    <m/>
    <m/>
    <m/>
    <m/>
    <m/>
    <m/>
  </r>
  <r>
    <d v="2024-08-30T00:00:00"/>
    <x v="20"/>
    <s v="F"/>
    <m/>
    <m/>
    <m/>
    <m/>
    <m/>
    <m/>
    <m/>
    <m/>
    <m/>
    <m/>
    <m/>
    <m/>
    <m/>
    <m/>
    <m/>
    <m/>
    <m/>
    <m/>
    <m/>
  </r>
  <r>
    <d v="2024-08-31T00:00:00"/>
    <x v="20"/>
    <s v="S"/>
    <m/>
    <m/>
    <m/>
    <m/>
    <m/>
    <m/>
    <m/>
    <m/>
    <m/>
    <m/>
    <m/>
    <m/>
    <m/>
    <m/>
    <m/>
    <m/>
    <m/>
    <m/>
    <m/>
  </r>
  <r>
    <d v="2024-09-01T00:00:00"/>
    <x v="20"/>
    <s v="D"/>
    <m/>
    <m/>
    <m/>
    <m/>
    <m/>
    <m/>
    <m/>
    <m/>
    <m/>
    <m/>
    <m/>
    <m/>
    <m/>
    <m/>
    <m/>
    <m/>
    <m/>
    <m/>
    <m/>
  </r>
  <r>
    <d v="2024-09-02T00:00:00"/>
    <x v="20"/>
    <s v="M"/>
    <m/>
    <m/>
    <m/>
    <m/>
    <m/>
    <m/>
    <m/>
    <m/>
    <m/>
    <m/>
    <m/>
    <m/>
    <m/>
    <m/>
    <m/>
    <m/>
    <m/>
    <m/>
    <m/>
  </r>
  <r>
    <d v="2024-09-03T00:00:00"/>
    <x v="20"/>
    <s v="T"/>
    <m/>
    <m/>
    <m/>
    <m/>
    <m/>
    <m/>
    <m/>
    <m/>
    <m/>
    <m/>
    <m/>
    <m/>
    <m/>
    <m/>
    <m/>
    <m/>
    <m/>
    <m/>
    <m/>
  </r>
  <r>
    <d v="2024-09-04T00:00:00"/>
    <x v="20"/>
    <s v="W"/>
    <m/>
    <m/>
    <m/>
    <m/>
    <m/>
    <m/>
    <m/>
    <m/>
    <m/>
    <m/>
    <m/>
    <m/>
    <m/>
    <m/>
    <m/>
    <m/>
    <m/>
    <m/>
    <m/>
  </r>
  <r>
    <d v="2024-09-05T00:00:00"/>
    <x v="20"/>
    <s v="R"/>
    <m/>
    <m/>
    <m/>
    <m/>
    <m/>
    <m/>
    <m/>
    <m/>
    <m/>
    <m/>
    <m/>
    <m/>
    <m/>
    <m/>
    <m/>
    <m/>
    <m/>
    <m/>
    <m/>
  </r>
  <r>
    <d v="2024-09-06T00:00:00"/>
    <x v="20"/>
    <s v="F"/>
    <m/>
    <m/>
    <m/>
    <m/>
    <m/>
    <m/>
    <m/>
    <m/>
    <m/>
    <m/>
    <m/>
    <m/>
    <m/>
    <m/>
    <m/>
    <m/>
    <m/>
    <m/>
    <m/>
  </r>
  <r>
    <d v="2024-09-07T00:00:00"/>
    <x v="20"/>
    <s v="S"/>
    <m/>
    <m/>
    <m/>
    <m/>
    <m/>
    <m/>
    <m/>
    <m/>
    <m/>
    <m/>
    <m/>
    <m/>
    <m/>
    <m/>
    <m/>
    <m/>
    <m/>
    <m/>
    <m/>
  </r>
  <r>
    <d v="2024-09-08T00:00:00"/>
    <x v="20"/>
    <s v="D"/>
    <m/>
    <m/>
    <m/>
    <m/>
    <m/>
    <m/>
    <m/>
    <m/>
    <m/>
    <m/>
    <m/>
    <m/>
    <m/>
    <m/>
    <m/>
    <m/>
    <m/>
    <m/>
    <m/>
  </r>
  <r>
    <d v="2024-09-09T00:00:00"/>
    <x v="20"/>
    <m/>
    <m/>
    <m/>
    <m/>
    <m/>
    <m/>
    <m/>
    <m/>
    <m/>
    <m/>
    <m/>
    <m/>
    <m/>
    <m/>
    <m/>
    <m/>
    <m/>
    <m/>
    <m/>
    <m/>
  </r>
  <r>
    <d v="2024-09-10T00:00:00"/>
    <x v="20"/>
    <m/>
    <m/>
    <m/>
    <m/>
    <m/>
    <m/>
    <m/>
    <m/>
    <m/>
    <m/>
    <m/>
    <m/>
    <m/>
    <m/>
    <m/>
    <m/>
    <m/>
    <m/>
    <m/>
    <m/>
  </r>
  <r>
    <d v="2024-09-11T00:00:00"/>
    <x v="20"/>
    <m/>
    <m/>
    <m/>
    <m/>
    <m/>
    <m/>
    <m/>
    <m/>
    <m/>
    <m/>
    <m/>
    <m/>
    <m/>
    <m/>
    <m/>
    <m/>
    <m/>
    <m/>
    <m/>
    <m/>
  </r>
  <r>
    <d v="2024-09-12T00:00:00"/>
    <x v="20"/>
    <m/>
    <m/>
    <m/>
    <m/>
    <m/>
    <m/>
    <m/>
    <m/>
    <m/>
    <m/>
    <m/>
    <m/>
    <m/>
    <m/>
    <m/>
    <m/>
    <m/>
    <m/>
    <m/>
    <m/>
  </r>
  <r>
    <d v="2024-09-13T00:00:00"/>
    <x v="20"/>
    <m/>
    <m/>
    <m/>
    <m/>
    <m/>
    <m/>
    <m/>
    <m/>
    <m/>
    <m/>
    <m/>
    <m/>
    <m/>
    <m/>
    <m/>
    <m/>
    <m/>
    <m/>
    <m/>
    <m/>
  </r>
  <r>
    <d v="2024-09-14T00:00:00"/>
    <x v="20"/>
    <m/>
    <m/>
    <m/>
    <m/>
    <m/>
    <m/>
    <m/>
    <m/>
    <m/>
    <m/>
    <m/>
    <m/>
    <m/>
    <m/>
    <m/>
    <m/>
    <m/>
    <m/>
    <m/>
    <m/>
  </r>
  <r>
    <d v="2024-09-15T00:00:00"/>
    <x v="20"/>
    <m/>
    <m/>
    <m/>
    <m/>
    <m/>
    <m/>
    <m/>
    <m/>
    <m/>
    <m/>
    <m/>
    <m/>
    <m/>
    <m/>
    <m/>
    <m/>
    <m/>
    <m/>
    <m/>
    <m/>
  </r>
  <r>
    <d v="2024-09-16T00:00:00"/>
    <x v="20"/>
    <m/>
    <m/>
    <m/>
    <m/>
    <m/>
    <m/>
    <m/>
    <m/>
    <m/>
    <m/>
    <m/>
    <m/>
    <m/>
    <m/>
    <m/>
    <m/>
    <m/>
    <m/>
    <m/>
    <m/>
  </r>
  <r>
    <d v="2024-09-17T00:00:00"/>
    <x v="20"/>
    <m/>
    <m/>
    <m/>
    <m/>
    <m/>
    <m/>
    <m/>
    <m/>
    <m/>
    <m/>
    <m/>
    <m/>
    <m/>
    <m/>
    <m/>
    <m/>
    <m/>
    <m/>
    <m/>
    <m/>
  </r>
  <r>
    <d v="2024-09-18T00:00:00"/>
    <x v="20"/>
    <m/>
    <m/>
    <m/>
    <m/>
    <m/>
    <m/>
    <m/>
    <m/>
    <m/>
    <m/>
    <m/>
    <m/>
    <m/>
    <m/>
    <m/>
    <m/>
    <m/>
    <m/>
    <m/>
    <m/>
  </r>
  <r>
    <d v="2024-09-19T00:00:00"/>
    <x v="20"/>
    <m/>
    <m/>
    <m/>
    <m/>
    <m/>
    <m/>
    <m/>
    <m/>
    <m/>
    <m/>
    <m/>
    <m/>
    <m/>
    <m/>
    <m/>
    <m/>
    <m/>
    <m/>
    <m/>
    <m/>
  </r>
  <r>
    <d v="2024-09-20T00:00:00"/>
    <x v="20"/>
    <m/>
    <m/>
    <m/>
    <m/>
    <m/>
    <m/>
    <m/>
    <m/>
    <m/>
    <m/>
    <m/>
    <m/>
    <m/>
    <m/>
    <m/>
    <m/>
    <m/>
    <m/>
    <m/>
    <m/>
  </r>
  <r>
    <d v="2024-09-21T00:00:00"/>
    <x v="20"/>
    <m/>
    <m/>
    <m/>
    <m/>
    <m/>
    <m/>
    <m/>
    <m/>
    <m/>
    <m/>
    <m/>
    <m/>
    <m/>
    <m/>
    <m/>
    <m/>
    <m/>
    <m/>
    <m/>
    <m/>
  </r>
  <r>
    <d v="2024-09-22T00:00:00"/>
    <x v="20"/>
    <m/>
    <m/>
    <m/>
    <m/>
    <m/>
    <m/>
    <m/>
    <m/>
    <m/>
    <m/>
    <m/>
    <m/>
    <m/>
    <m/>
    <m/>
    <m/>
    <m/>
    <m/>
    <m/>
    <m/>
  </r>
  <r>
    <d v="2024-09-23T00:00:00"/>
    <x v="20"/>
    <m/>
    <m/>
    <m/>
    <m/>
    <m/>
    <m/>
    <m/>
    <m/>
    <m/>
    <m/>
    <m/>
    <m/>
    <m/>
    <m/>
    <m/>
    <m/>
    <m/>
    <m/>
    <m/>
    <m/>
  </r>
  <r>
    <d v="2024-09-24T00:00:00"/>
    <x v="20"/>
    <m/>
    <m/>
    <m/>
    <m/>
    <m/>
    <m/>
    <m/>
    <m/>
    <m/>
    <m/>
    <m/>
    <m/>
    <m/>
    <m/>
    <m/>
    <m/>
    <m/>
    <m/>
    <m/>
    <m/>
  </r>
  <r>
    <d v="2024-09-25T00:00:00"/>
    <x v="20"/>
    <m/>
    <m/>
    <m/>
    <m/>
    <m/>
    <m/>
    <m/>
    <m/>
    <m/>
    <m/>
    <m/>
    <m/>
    <m/>
    <m/>
    <m/>
    <m/>
    <m/>
    <m/>
    <m/>
    <m/>
  </r>
  <r>
    <d v="2024-09-26T00:00:00"/>
    <x v="20"/>
    <m/>
    <m/>
    <m/>
    <m/>
    <m/>
    <m/>
    <m/>
    <m/>
    <m/>
    <m/>
    <m/>
    <m/>
    <m/>
    <m/>
    <m/>
    <m/>
    <m/>
    <m/>
    <m/>
    <m/>
  </r>
  <r>
    <d v="2024-09-27T00:00:00"/>
    <x v="20"/>
    <m/>
    <m/>
    <m/>
    <m/>
    <m/>
    <m/>
    <m/>
    <m/>
    <m/>
    <m/>
    <m/>
    <m/>
    <m/>
    <m/>
    <m/>
    <m/>
    <m/>
    <m/>
    <m/>
    <m/>
  </r>
  <r>
    <d v="2024-09-28T00:00:00"/>
    <x v="20"/>
    <m/>
    <m/>
    <m/>
    <m/>
    <m/>
    <m/>
    <m/>
    <m/>
    <m/>
    <m/>
    <m/>
    <m/>
    <m/>
    <m/>
    <m/>
    <m/>
    <m/>
    <m/>
    <m/>
    <m/>
  </r>
  <r>
    <d v="2024-09-29T00:00:00"/>
    <x v="20"/>
    <m/>
    <m/>
    <m/>
    <m/>
    <m/>
    <m/>
    <m/>
    <m/>
    <m/>
    <m/>
    <m/>
    <m/>
    <m/>
    <m/>
    <m/>
    <m/>
    <m/>
    <m/>
    <m/>
    <m/>
  </r>
  <r>
    <d v="2024-09-30T00:00:00"/>
    <x v="20"/>
    <m/>
    <m/>
    <m/>
    <m/>
    <m/>
    <m/>
    <m/>
    <m/>
    <m/>
    <m/>
    <m/>
    <m/>
    <m/>
    <m/>
    <m/>
    <m/>
    <m/>
    <m/>
    <m/>
    <m/>
  </r>
  <r>
    <d v="2024-10-01T00:00:00"/>
    <x v="20"/>
    <m/>
    <m/>
    <m/>
    <m/>
    <m/>
    <m/>
    <m/>
    <m/>
    <m/>
    <m/>
    <m/>
    <m/>
    <m/>
    <m/>
    <m/>
    <m/>
    <m/>
    <m/>
    <m/>
    <m/>
  </r>
  <r>
    <d v="2024-10-02T00:00:00"/>
    <x v="20"/>
    <m/>
    <m/>
    <m/>
    <m/>
    <m/>
    <m/>
    <m/>
    <m/>
    <m/>
    <m/>
    <m/>
    <m/>
    <m/>
    <m/>
    <m/>
    <m/>
    <m/>
    <m/>
    <m/>
    <m/>
  </r>
  <r>
    <d v="2024-10-03T00:00:00"/>
    <x v="20"/>
    <m/>
    <m/>
    <m/>
    <m/>
    <m/>
    <m/>
    <m/>
    <m/>
    <m/>
    <m/>
    <m/>
    <m/>
    <m/>
    <m/>
    <m/>
    <m/>
    <m/>
    <m/>
    <m/>
    <m/>
  </r>
  <r>
    <d v="2024-10-04T00:00:00"/>
    <x v="20"/>
    <m/>
    <m/>
    <m/>
    <m/>
    <m/>
    <m/>
    <m/>
    <m/>
    <m/>
    <m/>
    <m/>
    <m/>
    <m/>
    <m/>
    <m/>
    <m/>
    <m/>
    <m/>
    <m/>
    <m/>
  </r>
  <r>
    <d v="2024-10-05T00:00:00"/>
    <x v="20"/>
    <m/>
    <m/>
    <m/>
    <m/>
    <m/>
    <m/>
    <m/>
    <m/>
    <m/>
    <m/>
    <m/>
    <m/>
    <m/>
    <m/>
    <m/>
    <m/>
    <m/>
    <m/>
    <m/>
    <m/>
  </r>
  <r>
    <d v="2024-10-06T00:00:00"/>
    <x v="20"/>
    <m/>
    <m/>
    <m/>
    <m/>
    <m/>
    <m/>
    <m/>
    <m/>
    <m/>
    <m/>
    <m/>
    <m/>
    <m/>
    <m/>
    <m/>
    <m/>
    <m/>
    <m/>
    <m/>
    <m/>
  </r>
  <r>
    <d v="2024-10-07T00:00:00"/>
    <x v="20"/>
    <m/>
    <m/>
    <m/>
    <m/>
    <m/>
    <m/>
    <m/>
    <m/>
    <m/>
    <m/>
    <m/>
    <m/>
    <m/>
    <m/>
    <m/>
    <m/>
    <m/>
    <m/>
    <m/>
    <m/>
  </r>
  <r>
    <d v="2024-10-08T00:00:00"/>
    <x v="20"/>
    <m/>
    <m/>
    <m/>
    <m/>
    <m/>
    <m/>
    <m/>
    <m/>
    <m/>
    <m/>
    <m/>
    <m/>
    <m/>
    <m/>
    <m/>
    <m/>
    <m/>
    <m/>
    <m/>
    <m/>
  </r>
  <r>
    <d v="2024-10-09T00:00:00"/>
    <x v="20"/>
    <m/>
    <m/>
    <m/>
    <m/>
    <m/>
    <m/>
    <m/>
    <m/>
    <m/>
    <m/>
    <m/>
    <m/>
    <m/>
    <m/>
    <m/>
    <m/>
    <m/>
    <m/>
    <m/>
    <m/>
  </r>
  <r>
    <d v="2024-10-10T00:00:00"/>
    <x v="20"/>
    <m/>
    <m/>
    <m/>
    <m/>
    <m/>
    <m/>
    <m/>
    <m/>
    <m/>
    <m/>
    <m/>
    <m/>
    <m/>
    <m/>
    <m/>
    <m/>
    <m/>
    <m/>
    <m/>
    <m/>
  </r>
  <r>
    <d v="2024-10-11T00:00:00"/>
    <x v="20"/>
    <m/>
    <m/>
    <m/>
    <m/>
    <m/>
    <m/>
    <m/>
    <m/>
    <m/>
    <m/>
    <m/>
    <m/>
    <m/>
    <m/>
    <m/>
    <m/>
    <m/>
    <m/>
    <m/>
    <m/>
  </r>
  <r>
    <d v="2024-10-12T00:00:00"/>
    <x v="20"/>
    <m/>
    <m/>
    <m/>
    <m/>
    <m/>
    <m/>
    <m/>
    <m/>
    <m/>
    <m/>
    <m/>
    <m/>
    <m/>
    <m/>
    <m/>
    <m/>
    <m/>
    <m/>
    <m/>
    <m/>
  </r>
  <r>
    <d v="2024-10-13T00:00:00"/>
    <x v="20"/>
    <m/>
    <m/>
    <m/>
    <m/>
    <m/>
    <m/>
    <m/>
    <m/>
    <m/>
    <m/>
    <m/>
    <m/>
    <m/>
    <m/>
    <m/>
    <m/>
    <m/>
    <m/>
    <m/>
    <m/>
  </r>
  <r>
    <d v="2024-10-14T00:00:00"/>
    <x v="20"/>
    <m/>
    <m/>
    <m/>
    <m/>
    <m/>
    <m/>
    <m/>
    <m/>
    <m/>
    <m/>
    <m/>
    <m/>
    <m/>
    <m/>
    <m/>
    <m/>
    <m/>
    <m/>
    <m/>
    <m/>
  </r>
  <r>
    <d v="2024-10-15T00:00:00"/>
    <x v="20"/>
    <m/>
    <m/>
    <m/>
    <m/>
    <m/>
    <m/>
    <m/>
    <m/>
    <m/>
    <m/>
    <m/>
    <m/>
    <m/>
    <m/>
    <m/>
    <m/>
    <m/>
    <m/>
    <m/>
    <m/>
  </r>
  <r>
    <d v="2024-10-16T00:00:00"/>
    <x v="20"/>
    <m/>
    <m/>
    <m/>
    <m/>
    <m/>
    <m/>
    <m/>
    <m/>
    <m/>
    <m/>
    <m/>
    <m/>
    <m/>
    <m/>
    <m/>
    <m/>
    <m/>
    <m/>
    <m/>
    <m/>
  </r>
  <r>
    <d v="2024-10-17T00:00:00"/>
    <x v="20"/>
    <m/>
    <m/>
    <m/>
    <m/>
    <m/>
    <m/>
    <m/>
    <m/>
    <m/>
    <m/>
    <m/>
    <m/>
    <m/>
    <m/>
    <m/>
    <m/>
    <m/>
    <m/>
    <m/>
    <m/>
  </r>
  <r>
    <d v="2024-10-18T00:00:00"/>
    <x v="20"/>
    <m/>
    <m/>
    <m/>
    <m/>
    <m/>
    <m/>
    <m/>
    <m/>
    <m/>
    <m/>
    <m/>
    <m/>
    <m/>
    <m/>
    <m/>
    <m/>
    <m/>
    <m/>
    <m/>
    <m/>
  </r>
  <r>
    <d v="2024-10-19T00:00:00"/>
    <x v="20"/>
    <m/>
    <m/>
    <m/>
    <m/>
    <m/>
    <m/>
    <m/>
    <m/>
    <m/>
    <m/>
    <m/>
    <m/>
    <m/>
    <m/>
    <m/>
    <m/>
    <m/>
    <m/>
    <m/>
    <m/>
  </r>
  <r>
    <d v="2024-10-20T00:00:00"/>
    <x v="20"/>
    <m/>
    <m/>
    <m/>
    <m/>
    <m/>
    <m/>
    <m/>
    <m/>
    <m/>
    <m/>
    <m/>
    <m/>
    <m/>
    <m/>
    <m/>
    <m/>
    <m/>
    <m/>
    <m/>
    <m/>
  </r>
  <r>
    <d v="2024-10-21T00:00:00"/>
    <x v="20"/>
    <m/>
    <m/>
    <m/>
    <m/>
    <m/>
    <m/>
    <m/>
    <m/>
    <m/>
    <m/>
    <m/>
    <m/>
    <m/>
    <m/>
    <m/>
    <m/>
    <m/>
    <m/>
    <m/>
    <m/>
  </r>
  <r>
    <d v="2024-10-22T00:00:00"/>
    <x v="20"/>
    <m/>
    <m/>
    <m/>
    <m/>
    <m/>
    <m/>
    <m/>
    <m/>
    <m/>
    <m/>
    <m/>
    <m/>
    <m/>
    <m/>
    <m/>
    <m/>
    <m/>
    <m/>
    <m/>
    <m/>
  </r>
  <r>
    <d v="2024-10-23T00:00:00"/>
    <x v="20"/>
    <m/>
    <m/>
    <m/>
    <m/>
    <m/>
    <m/>
    <m/>
    <m/>
    <m/>
    <m/>
    <m/>
    <m/>
    <m/>
    <m/>
    <m/>
    <m/>
    <m/>
    <m/>
    <m/>
    <m/>
  </r>
  <r>
    <d v="2024-10-24T00:00:00"/>
    <x v="20"/>
    <m/>
    <m/>
    <m/>
    <m/>
    <m/>
    <m/>
    <m/>
    <m/>
    <m/>
    <m/>
    <m/>
    <m/>
    <m/>
    <m/>
    <m/>
    <m/>
    <m/>
    <m/>
    <m/>
    <m/>
  </r>
  <r>
    <d v="2024-10-25T00:00:00"/>
    <x v="20"/>
    <m/>
    <m/>
    <m/>
    <m/>
    <m/>
    <m/>
    <m/>
    <m/>
    <m/>
    <m/>
    <m/>
    <m/>
    <m/>
    <m/>
    <m/>
    <m/>
    <m/>
    <m/>
    <m/>
    <m/>
  </r>
  <r>
    <d v="2024-10-26T00:00:00"/>
    <x v="20"/>
    <m/>
    <m/>
    <m/>
    <m/>
    <m/>
    <m/>
    <m/>
    <m/>
    <m/>
    <m/>
    <m/>
    <m/>
    <m/>
    <m/>
    <m/>
    <m/>
    <m/>
    <m/>
    <m/>
    <m/>
  </r>
  <r>
    <d v="2024-10-27T00:00:00"/>
    <x v="20"/>
    <m/>
    <m/>
    <m/>
    <m/>
    <m/>
    <m/>
    <m/>
    <m/>
    <m/>
    <m/>
    <m/>
    <m/>
    <m/>
    <m/>
    <m/>
    <m/>
    <m/>
    <m/>
    <m/>
    <m/>
  </r>
  <r>
    <d v="2024-10-28T00:00:00"/>
    <x v="20"/>
    <m/>
    <m/>
    <m/>
    <m/>
    <m/>
    <m/>
    <m/>
    <m/>
    <m/>
    <m/>
    <m/>
    <m/>
    <m/>
    <m/>
    <m/>
    <m/>
    <m/>
    <m/>
    <m/>
    <m/>
  </r>
  <r>
    <d v="2024-10-29T00:00:00"/>
    <x v="20"/>
    <m/>
    <m/>
    <m/>
    <m/>
    <m/>
    <m/>
    <m/>
    <m/>
    <m/>
    <m/>
    <m/>
    <m/>
    <m/>
    <m/>
    <m/>
    <m/>
    <m/>
    <m/>
    <m/>
    <m/>
  </r>
  <r>
    <d v="2024-10-30T00:00:00"/>
    <x v="20"/>
    <m/>
    <m/>
    <m/>
    <m/>
    <m/>
    <m/>
    <m/>
    <m/>
    <m/>
    <m/>
    <m/>
    <m/>
    <m/>
    <m/>
    <m/>
    <m/>
    <m/>
    <m/>
    <m/>
    <m/>
  </r>
  <r>
    <d v="2024-10-31T00:00:00"/>
    <x v="20"/>
    <m/>
    <m/>
    <m/>
    <m/>
    <m/>
    <m/>
    <m/>
    <m/>
    <m/>
    <m/>
    <m/>
    <m/>
    <m/>
    <m/>
    <m/>
    <m/>
    <m/>
    <m/>
    <m/>
    <m/>
  </r>
  <r>
    <d v="2024-11-01T00:00:00"/>
    <x v="20"/>
    <m/>
    <m/>
    <m/>
    <m/>
    <m/>
    <m/>
    <m/>
    <m/>
    <m/>
    <m/>
    <m/>
    <m/>
    <m/>
    <m/>
    <m/>
    <m/>
    <m/>
    <m/>
    <m/>
    <m/>
  </r>
  <r>
    <d v="2024-11-02T00:00:00"/>
    <x v="20"/>
    <m/>
    <m/>
    <m/>
    <m/>
    <m/>
    <m/>
    <m/>
    <m/>
    <m/>
    <m/>
    <m/>
    <m/>
    <m/>
    <m/>
    <m/>
    <m/>
    <m/>
    <m/>
    <m/>
    <m/>
  </r>
  <r>
    <d v="2024-11-03T00:00:00"/>
    <x v="20"/>
    <m/>
    <m/>
    <m/>
    <m/>
    <m/>
    <m/>
    <m/>
    <m/>
    <m/>
    <m/>
    <m/>
    <m/>
    <m/>
    <m/>
    <m/>
    <m/>
    <m/>
    <m/>
    <m/>
    <m/>
  </r>
  <r>
    <d v="2024-11-04T00:00:00"/>
    <x v="20"/>
    <m/>
    <m/>
    <m/>
    <m/>
    <m/>
    <m/>
    <m/>
    <m/>
    <m/>
    <m/>
    <m/>
    <m/>
    <m/>
    <m/>
    <m/>
    <m/>
    <m/>
    <m/>
    <m/>
    <m/>
  </r>
  <r>
    <d v="2024-11-05T00:00:00"/>
    <x v="20"/>
    <m/>
    <m/>
    <m/>
    <m/>
    <m/>
    <m/>
    <m/>
    <m/>
    <m/>
    <m/>
    <m/>
    <m/>
    <m/>
    <m/>
    <m/>
    <m/>
    <m/>
    <m/>
    <m/>
    <m/>
  </r>
  <r>
    <d v="2024-11-06T00:00:00"/>
    <x v="20"/>
    <m/>
    <m/>
    <m/>
    <m/>
    <m/>
    <m/>
    <m/>
    <m/>
    <m/>
    <m/>
    <m/>
    <m/>
    <m/>
    <m/>
    <m/>
    <m/>
    <m/>
    <m/>
    <m/>
    <m/>
  </r>
  <r>
    <d v="2024-11-07T00:00:00"/>
    <x v="20"/>
    <m/>
    <m/>
    <m/>
    <m/>
    <m/>
    <m/>
    <m/>
    <m/>
    <m/>
    <m/>
    <m/>
    <m/>
    <m/>
    <m/>
    <m/>
    <m/>
    <m/>
    <m/>
    <m/>
    <m/>
  </r>
  <r>
    <d v="2024-11-08T00:00:00"/>
    <x v="20"/>
    <m/>
    <m/>
    <m/>
    <m/>
    <m/>
    <m/>
    <m/>
    <m/>
    <m/>
    <m/>
    <m/>
    <m/>
    <m/>
    <m/>
    <m/>
    <m/>
    <m/>
    <m/>
    <m/>
    <m/>
  </r>
  <r>
    <d v="2024-11-09T00:00:00"/>
    <x v="20"/>
    <m/>
    <m/>
    <m/>
    <m/>
    <m/>
    <m/>
    <m/>
    <m/>
    <m/>
    <m/>
    <m/>
    <m/>
    <m/>
    <m/>
    <m/>
    <m/>
    <m/>
    <m/>
    <m/>
    <m/>
  </r>
  <r>
    <d v="2024-11-10T00:00:00"/>
    <x v="20"/>
    <m/>
    <m/>
    <m/>
    <m/>
    <m/>
    <m/>
    <m/>
    <m/>
    <m/>
    <m/>
    <m/>
    <m/>
    <m/>
    <m/>
    <m/>
    <m/>
    <m/>
    <m/>
    <m/>
    <m/>
  </r>
  <r>
    <d v="2024-11-11T00:00:00"/>
    <x v="20"/>
    <m/>
    <m/>
    <m/>
    <m/>
    <m/>
    <m/>
    <m/>
    <m/>
    <m/>
    <m/>
    <m/>
    <m/>
    <m/>
    <m/>
    <m/>
    <m/>
    <m/>
    <m/>
    <m/>
    <m/>
  </r>
  <r>
    <d v="2024-11-12T00:00:00"/>
    <x v="20"/>
    <m/>
    <m/>
    <m/>
    <m/>
    <m/>
    <m/>
    <m/>
    <m/>
    <m/>
    <m/>
    <m/>
    <m/>
    <m/>
    <m/>
    <m/>
    <m/>
    <m/>
    <m/>
    <m/>
    <m/>
  </r>
  <r>
    <d v="2024-11-13T00:00:00"/>
    <x v="20"/>
    <m/>
    <m/>
    <m/>
    <m/>
    <m/>
    <m/>
    <m/>
    <m/>
    <m/>
    <m/>
    <m/>
    <m/>
    <m/>
    <m/>
    <m/>
    <m/>
    <m/>
    <m/>
    <m/>
    <m/>
  </r>
  <r>
    <d v="2024-11-14T00:00:00"/>
    <x v="20"/>
    <m/>
    <m/>
    <m/>
    <m/>
    <m/>
    <m/>
    <m/>
    <m/>
    <m/>
    <m/>
    <m/>
    <m/>
    <m/>
    <m/>
    <m/>
    <m/>
    <m/>
    <m/>
    <m/>
    <m/>
  </r>
  <r>
    <d v="2024-11-15T00:00:00"/>
    <x v="20"/>
    <m/>
    <m/>
    <m/>
    <m/>
    <m/>
    <m/>
    <m/>
    <m/>
    <m/>
    <m/>
    <m/>
    <m/>
    <m/>
    <m/>
    <m/>
    <m/>
    <m/>
    <m/>
    <m/>
    <m/>
  </r>
  <r>
    <d v="2024-11-16T00:00:00"/>
    <x v="20"/>
    <m/>
    <m/>
    <m/>
    <m/>
    <m/>
    <m/>
    <m/>
    <m/>
    <m/>
    <m/>
    <m/>
    <m/>
    <m/>
    <m/>
    <m/>
    <m/>
    <m/>
    <m/>
    <m/>
    <m/>
  </r>
  <r>
    <d v="2024-11-17T00:00:00"/>
    <x v="20"/>
    <m/>
    <m/>
    <m/>
    <m/>
    <m/>
    <m/>
    <m/>
    <m/>
    <m/>
    <m/>
    <m/>
    <m/>
    <m/>
    <m/>
    <m/>
    <m/>
    <m/>
    <m/>
    <m/>
    <m/>
  </r>
  <r>
    <d v="2024-11-18T00:00:00"/>
    <x v="20"/>
    <m/>
    <m/>
    <m/>
    <m/>
    <m/>
    <m/>
    <m/>
    <m/>
    <m/>
    <m/>
    <m/>
    <m/>
    <m/>
    <m/>
    <m/>
    <m/>
    <m/>
    <m/>
    <m/>
    <m/>
  </r>
  <r>
    <d v="2024-11-19T00:00:00"/>
    <x v="20"/>
    <m/>
    <m/>
    <m/>
    <m/>
    <m/>
    <m/>
    <m/>
    <m/>
    <m/>
    <m/>
    <m/>
    <m/>
    <m/>
    <m/>
    <m/>
    <m/>
    <m/>
    <m/>
    <m/>
    <m/>
  </r>
  <r>
    <d v="2024-11-20T00:00:00"/>
    <x v="20"/>
    <m/>
    <m/>
    <m/>
    <m/>
    <m/>
    <m/>
    <m/>
    <m/>
    <m/>
    <m/>
    <m/>
    <m/>
    <m/>
    <m/>
    <m/>
    <m/>
    <m/>
    <m/>
    <m/>
    <m/>
  </r>
  <r>
    <d v="2024-11-21T00:00:00"/>
    <x v="20"/>
    <m/>
    <m/>
    <m/>
    <m/>
    <m/>
    <m/>
    <m/>
    <m/>
    <m/>
    <m/>
    <m/>
    <m/>
    <m/>
    <m/>
    <m/>
    <m/>
    <m/>
    <m/>
    <m/>
    <m/>
  </r>
  <r>
    <d v="2024-11-22T00:00:00"/>
    <x v="20"/>
    <m/>
    <m/>
    <m/>
    <m/>
    <m/>
    <m/>
    <m/>
    <m/>
    <m/>
    <m/>
    <m/>
    <m/>
    <m/>
    <m/>
    <m/>
    <m/>
    <m/>
    <m/>
    <m/>
    <m/>
  </r>
  <r>
    <d v="2024-11-23T00:00:00"/>
    <x v="20"/>
    <m/>
    <m/>
    <m/>
    <m/>
    <m/>
    <m/>
    <m/>
    <m/>
    <m/>
    <m/>
    <m/>
    <m/>
    <m/>
    <m/>
    <m/>
    <m/>
    <m/>
    <m/>
    <m/>
    <m/>
  </r>
  <r>
    <d v="2024-11-24T00:00:00"/>
    <x v="20"/>
    <m/>
    <m/>
    <m/>
    <m/>
    <m/>
    <m/>
    <m/>
    <m/>
    <m/>
    <m/>
    <m/>
    <m/>
    <m/>
    <m/>
    <m/>
    <m/>
    <m/>
    <m/>
    <m/>
    <m/>
  </r>
  <r>
    <d v="2024-11-25T00:00:00"/>
    <x v="20"/>
    <m/>
    <m/>
    <m/>
    <m/>
    <m/>
    <m/>
    <m/>
    <m/>
    <m/>
    <m/>
    <m/>
    <m/>
    <m/>
    <m/>
    <m/>
    <m/>
    <m/>
    <m/>
    <m/>
    <m/>
  </r>
  <r>
    <d v="2024-11-26T00:00:00"/>
    <x v="20"/>
    <m/>
    <m/>
    <m/>
    <m/>
    <m/>
    <m/>
    <m/>
    <m/>
    <m/>
    <m/>
    <m/>
    <m/>
    <m/>
    <m/>
    <m/>
    <m/>
    <m/>
    <m/>
    <m/>
    <m/>
  </r>
  <r>
    <d v="2024-11-27T00:00:00"/>
    <x v="20"/>
    <m/>
    <m/>
    <m/>
    <m/>
    <m/>
    <m/>
    <m/>
    <m/>
    <m/>
    <m/>
    <m/>
    <m/>
    <m/>
    <m/>
    <m/>
    <m/>
    <m/>
    <m/>
    <m/>
    <m/>
  </r>
  <r>
    <d v="2024-11-28T00:00:00"/>
    <x v="20"/>
    <m/>
    <m/>
    <m/>
    <m/>
    <m/>
    <m/>
    <m/>
    <m/>
    <m/>
    <m/>
    <m/>
    <m/>
    <m/>
    <m/>
    <m/>
    <m/>
    <m/>
    <m/>
    <m/>
    <m/>
  </r>
  <r>
    <d v="2024-11-29T00:00:00"/>
    <x v="20"/>
    <m/>
    <m/>
    <m/>
    <m/>
    <m/>
    <m/>
    <m/>
    <m/>
    <m/>
    <m/>
    <m/>
    <m/>
    <m/>
    <m/>
    <m/>
    <m/>
    <m/>
    <m/>
    <m/>
    <m/>
  </r>
  <r>
    <d v="2024-11-30T00:00:00"/>
    <x v="20"/>
    <m/>
    <m/>
    <m/>
    <m/>
    <m/>
    <m/>
    <m/>
    <m/>
    <m/>
    <m/>
    <m/>
    <m/>
    <m/>
    <m/>
    <m/>
    <m/>
    <m/>
    <m/>
    <m/>
    <m/>
  </r>
  <r>
    <d v="2024-12-01T00:00:00"/>
    <x v="20"/>
    <m/>
    <m/>
    <m/>
    <m/>
    <m/>
    <m/>
    <m/>
    <m/>
    <m/>
    <m/>
    <m/>
    <m/>
    <m/>
    <m/>
    <m/>
    <m/>
    <m/>
    <m/>
    <m/>
    <m/>
  </r>
  <r>
    <d v="2024-12-02T00:00:00"/>
    <x v="20"/>
    <m/>
    <m/>
    <m/>
    <m/>
    <m/>
    <m/>
    <m/>
    <m/>
    <m/>
    <m/>
    <m/>
    <m/>
    <m/>
    <m/>
    <m/>
    <m/>
    <m/>
    <m/>
    <m/>
    <m/>
  </r>
  <r>
    <d v="2024-12-03T00:00:00"/>
    <x v="20"/>
    <m/>
    <m/>
    <m/>
    <m/>
    <m/>
    <m/>
    <m/>
    <m/>
    <m/>
    <m/>
    <m/>
    <m/>
    <m/>
    <m/>
    <m/>
    <m/>
    <m/>
    <m/>
    <m/>
    <m/>
  </r>
  <r>
    <d v="2024-12-04T00:00:00"/>
    <x v="20"/>
    <m/>
    <m/>
    <m/>
    <m/>
    <m/>
    <m/>
    <m/>
    <m/>
    <m/>
    <m/>
    <m/>
    <m/>
    <m/>
    <m/>
    <m/>
    <m/>
    <m/>
    <m/>
    <m/>
    <m/>
  </r>
  <r>
    <d v="2024-12-05T00:00:00"/>
    <x v="20"/>
    <m/>
    <m/>
    <m/>
    <m/>
    <m/>
    <m/>
    <m/>
    <m/>
    <m/>
    <m/>
    <m/>
    <m/>
    <m/>
    <m/>
    <m/>
    <m/>
    <m/>
    <m/>
    <m/>
    <m/>
  </r>
  <r>
    <d v="2024-12-06T00:00:00"/>
    <x v="20"/>
    <m/>
    <m/>
    <m/>
    <m/>
    <m/>
    <m/>
    <m/>
    <m/>
    <m/>
    <m/>
    <m/>
    <m/>
    <m/>
    <m/>
    <m/>
    <m/>
    <m/>
    <m/>
    <m/>
    <m/>
  </r>
  <r>
    <d v="2024-12-07T00:00:00"/>
    <x v="20"/>
    <m/>
    <m/>
    <m/>
    <m/>
    <m/>
    <m/>
    <m/>
    <m/>
    <m/>
    <m/>
    <m/>
    <m/>
    <m/>
    <m/>
    <m/>
    <m/>
    <m/>
    <m/>
    <m/>
    <m/>
  </r>
  <r>
    <d v="2024-12-08T00:00:00"/>
    <x v="20"/>
    <m/>
    <m/>
    <m/>
    <m/>
    <m/>
    <m/>
    <m/>
    <m/>
    <m/>
    <m/>
    <m/>
    <m/>
    <m/>
    <m/>
    <m/>
    <m/>
    <m/>
    <m/>
    <m/>
    <m/>
  </r>
  <r>
    <d v="2024-12-09T00:00:00"/>
    <x v="20"/>
    <m/>
    <m/>
    <m/>
    <m/>
    <m/>
    <m/>
    <m/>
    <m/>
    <m/>
    <m/>
    <m/>
    <m/>
    <m/>
    <m/>
    <m/>
    <m/>
    <m/>
    <m/>
    <m/>
    <m/>
  </r>
  <r>
    <d v="2024-12-10T00:00:00"/>
    <x v="20"/>
    <m/>
    <m/>
    <m/>
    <m/>
    <m/>
    <m/>
    <m/>
    <m/>
    <m/>
    <m/>
    <m/>
    <m/>
    <m/>
    <m/>
    <m/>
    <m/>
    <m/>
    <m/>
    <m/>
    <m/>
  </r>
  <r>
    <d v="2024-12-11T00:00:00"/>
    <x v="20"/>
    <m/>
    <m/>
    <m/>
    <m/>
    <m/>
    <m/>
    <m/>
    <m/>
    <m/>
    <m/>
    <m/>
    <m/>
    <m/>
    <m/>
    <m/>
    <m/>
    <m/>
    <m/>
    <m/>
    <m/>
  </r>
  <r>
    <d v="2024-12-12T00:00:00"/>
    <x v="20"/>
    <m/>
    <m/>
    <m/>
    <m/>
    <m/>
    <m/>
    <m/>
    <m/>
    <m/>
    <m/>
    <m/>
    <m/>
    <m/>
    <m/>
    <m/>
    <m/>
    <m/>
    <m/>
    <m/>
    <m/>
  </r>
  <r>
    <d v="2024-12-13T00:00:00"/>
    <x v="20"/>
    <m/>
    <m/>
    <m/>
    <m/>
    <m/>
    <m/>
    <m/>
    <m/>
    <m/>
    <m/>
    <m/>
    <m/>
    <m/>
    <m/>
    <m/>
    <m/>
    <m/>
    <m/>
    <m/>
    <m/>
  </r>
  <r>
    <d v="2024-12-14T00:00:00"/>
    <x v="20"/>
    <m/>
    <m/>
    <m/>
    <m/>
    <m/>
    <m/>
    <m/>
    <m/>
    <m/>
    <m/>
    <m/>
    <m/>
    <m/>
    <m/>
    <m/>
    <m/>
    <m/>
    <m/>
    <m/>
    <m/>
  </r>
  <r>
    <d v="2024-12-15T00:00:00"/>
    <x v="20"/>
    <m/>
    <m/>
    <m/>
    <m/>
    <m/>
    <m/>
    <m/>
    <m/>
    <m/>
    <m/>
    <m/>
    <m/>
    <m/>
    <m/>
    <m/>
    <m/>
    <m/>
    <m/>
    <m/>
    <m/>
  </r>
  <r>
    <d v="2024-12-16T00:00:00"/>
    <x v="20"/>
    <m/>
    <m/>
    <m/>
    <m/>
    <m/>
    <m/>
    <m/>
    <m/>
    <m/>
    <m/>
    <m/>
    <m/>
    <m/>
    <m/>
    <m/>
    <m/>
    <m/>
    <m/>
    <m/>
    <m/>
  </r>
  <r>
    <d v="2024-12-17T00:00:00"/>
    <x v="20"/>
    <m/>
    <m/>
    <m/>
    <m/>
    <m/>
    <m/>
    <m/>
    <m/>
    <m/>
    <m/>
    <m/>
    <m/>
    <m/>
    <m/>
    <m/>
    <m/>
    <m/>
    <m/>
    <m/>
    <m/>
  </r>
  <r>
    <d v="2024-12-18T00:00:00"/>
    <x v="20"/>
    <m/>
    <m/>
    <m/>
    <m/>
    <m/>
    <m/>
    <m/>
    <m/>
    <m/>
    <m/>
    <m/>
    <m/>
    <m/>
    <m/>
    <m/>
    <m/>
    <m/>
    <m/>
    <m/>
    <m/>
  </r>
  <r>
    <d v="2024-12-19T00:00:00"/>
    <x v="20"/>
    <m/>
    <m/>
    <m/>
    <m/>
    <m/>
    <m/>
    <m/>
    <m/>
    <m/>
    <m/>
    <m/>
    <m/>
    <m/>
    <m/>
    <m/>
    <m/>
    <m/>
    <m/>
    <m/>
    <m/>
  </r>
  <r>
    <d v="2024-12-20T00:00:00"/>
    <x v="20"/>
    <m/>
    <m/>
    <m/>
    <m/>
    <m/>
    <m/>
    <m/>
    <m/>
    <m/>
    <m/>
    <m/>
    <m/>
    <m/>
    <m/>
    <m/>
    <m/>
    <m/>
    <m/>
    <m/>
    <m/>
  </r>
  <r>
    <d v="2024-12-21T00:00:00"/>
    <x v="20"/>
    <m/>
    <m/>
    <m/>
    <m/>
    <m/>
    <m/>
    <m/>
    <m/>
    <m/>
    <m/>
    <m/>
    <m/>
    <m/>
    <m/>
    <m/>
    <m/>
    <m/>
    <m/>
    <m/>
    <m/>
  </r>
  <r>
    <d v="2024-12-22T00:00:00"/>
    <x v="20"/>
    <m/>
    <m/>
    <m/>
    <m/>
    <m/>
    <m/>
    <m/>
    <m/>
    <m/>
    <m/>
    <m/>
    <m/>
    <m/>
    <m/>
    <m/>
    <m/>
    <m/>
    <m/>
    <m/>
    <m/>
  </r>
  <r>
    <d v="2024-12-23T00:00:00"/>
    <x v="20"/>
    <m/>
    <m/>
    <m/>
    <m/>
    <m/>
    <m/>
    <m/>
    <m/>
    <m/>
    <m/>
    <m/>
    <m/>
    <m/>
    <m/>
    <m/>
    <m/>
    <m/>
    <m/>
    <m/>
    <m/>
  </r>
  <r>
    <d v="2024-12-24T00:00:00"/>
    <x v="20"/>
    <m/>
    <m/>
    <m/>
    <m/>
    <m/>
    <m/>
    <m/>
    <m/>
    <m/>
    <m/>
    <m/>
    <m/>
    <m/>
    <m/>
    <m/>
    <m/>
    <m/>
    <m/>
    <m/>
    <m/>
  </r>
  <r>
    <d v="2024-12-25T00:00:00"/>
    <x v="20"/>
    <m/>
    <m/>
    <m/>
    <m/>
    <m/>
    <m/>
    <m/>
    <m/>
    <m/>
    <m/>
    <m/>
    <m/>
    <m/>
    <m/>
    <m/>
    <m/>
    <m/>
    <m/>
    <m/>
    <m/>
  </r>
  <r>
    <d v="2024-12-26T00:00:00"/>
    <x v="20"/>
    <m/>
    <m/>
    <m/>
    <m/>
    <m/>
    <m/>
    <m/>
    <m/>
    <m/>
    <m/>
    <m/>
    <m/>
    <m/>
    <m/>
    <m/>
    <m/>
    <m/>
    <m/>
    <m/>
    <m/>
  </r>
  <r>
    <d v="2024-12-27T00:00:00"/>
    <x v="20"/>
    <m/>
    <m/>
    <m/>
    <m/>
    <m/>
    <m/>
    <m/>
    <m/>
    <m/>
    <m/>
    <m/>
    <m/>
    <m/>
    <m/>
    <m/>
    <m/>
    <m/>
    <m/>
    <m/>
    <m/>
  </r>
  <r>
    <d v="2024-12-28T00:00:00"/>
    <x v="20"/>
    <m/>
    <m/>
    <m/>
    <m/>
    <m/>
    <m/>
    <m/>
    <m/>
    <m/>
    <m/>
    <m/>
    <m/>
    <m/>
    <m/>
    <m/>
    <m/>
    <m/>
    <m/>
    <m/>
    <m/>
  </r>
  <r>
    <d v="2024-12-29T00:00:00"/>
    <x v="20"/>
    <m/>
    <m/>
    <m/>
    <m/>
    <m/>
    <m/>
    <m/>
    <m/>
    <m/>
    <m/>
    <m/>
    <m/>
    <m/>
    <m/>
    <m/>
    <m/>
    <m/>
    <m/>
    <m/>
    <m/>
  </r>
  <r>
    <d v="2024-12-30T00:00:00"/>
    <x v="20"/>
    <m/>
    <m/>
    <m/>
    <m/>
    <m/>
    <m/>
    <m/>
    <m/>
    <m/>
    <m/>
    <m/>
    <m/>
    <m/>
    <m/>
    <m/>
    <m/>
    <m/>
    <m/>
    <m/>
    <m/>
  </r>
  <r>
    <d v="2024-12-31T00:00:00"/>
    <x v="20"/>
    <m/>
    <m/>
    <m/>
    <m/>
    <m/>
    <m/>
    <m/>
    <m/>
    <m/>
    <m/>
    <m/>
    <m/>
    <m/>
    <m/>
    <m/>
    <m/>
    <m/>
    <m/>
    <m/>
    <m/>
  </r>
  <r>
    <d v="2025-01-01T00:00:00"/>
    <x v="20"/>
    <m/>
    <m/>
    <m/>
    <m/>
    <m/>
    <m/>
    <m/>
    <m/>
    <m/>
    <m/>
    <m/>
    <m/>
    <m/>
    <m/>
    <m/>
    <m/>
    <m/>
    <m/>
    <m/>
    <m/>
  </r>
  <r>
    <d v="2025-01-02T00:00:00"/>
    <x v="20"/>
    <m/>
    <m/>
    <m/>
    <m/>
    <m/>
    <m/>
    <m/>
    <m/>
    <m/>
    <m/>
    <m/>
    <m/>
    <m/>
    <m/>
    <m/>
    <m/>
    <m/>
    <m/>
    <m/>
    <m/>
  </r>
  <r>
    <d v="2025-01-03T00:00:00"/>
    <x v="20"/>
    <m/>
    <m/>
    <m/>
    <m/>
    <m/>
    <m/>
    <m/>
    <m/>
    <m/>
    <m/>
    <m/>
    <m/>
    <m/>
    <m/>
    <m/>
    <m/>
    <m/>
    <m/>
    <m/>
    <m/>
  </r>
  <r>
    <d v="2025-01-04T00:00:00"/>
    <x v="20"/>
    <m/>
    <m/>
    <m/>
    <m/>
    <m/>
    <m/>
    <m/>
    <m/>
    <m/>
    <m/>
    <m/>
    <m/>
    <m/>
    <m/>
    <m/>
    <m/>
    <m/>
    <m/>
    <m/>
    <m/>
  </r>
  <r>
    <d v="2025-01-05T00:00:00"/>
    <x v="20"/>
    <m/>
    <m/>
    <m/>
    <m/>
    <m/>
    <m/>
    <m/>
    <m/>
    <m/>
    <m/>
    <m/>
    <m/>
    <m/>
    <m/>
    <m/>
    <m/>
    <m/>
    <m/>
    <m/>
    <m/>
  </r>
  <r>
    <d v="2025-01-06T00:00:00"/>
    <x v="20"/>
    <m/>
    <m/>
    <m/>
    <m/>
    <m/>
    <m/>
    <m/>
    <m/>
    <m/>
    <m/>
    <m/>
    <m/>
    <m/>
    <m/>
    <m/>
    <m/>
    <m/>
    <m/>
    <m/>
    <m/>
  </r>
  <r>
    <d v="2025-01-07T00:00:00"/>
    <x v="20"/>
    <m/>
    <m/>
    <m/>
    <m/>
    <m/>
    <m/>
    <m/>
    <m/>
    <m/>
    <m/>
    <m/>
    <m/>
    <m/>
    <m/>
    <m/>
    <m/>
    <m/>
    <m/>
    <m/>
    <m/>
  </r>
  <r>
    <d v="2025-01-08T00:00:00"/>
    <x v="20"/>
    <m/>
    <m/>
    <m/>
    <m/>
    <m/>
    <m/>
    <m/>
    <m/>
    <m/>
    <m/>
    <m/>
    <m/>
    <m/>
    <m/>
    <m/>
    <m/>
    <m/>
    <m/>
    <m/>
    <m/>
  </r>
  <r>
    <d v="2025-01-09T00:00:00"/>
    <x v="20"/>
    <m/>
    <m/>
    <m/>
    <m/>
    <m/>
    <m/>
    <m/>
    <m/>
    <m/>
    <m/>
    <m/>
    <m/>
    <m/>
    <m/>
    <m/>
    <m/>
    <m/>
    <m/>
    <m/>
    <m/>
  </r>
  <r>
    <d v="2025-01-10T00:00:00"/>
    <x v="20"/>
    <m/>
    <m/>
    <m/>
    <m/>
    <m/>
    <m/>
    <m/>
    <m/>
    <m/>
    <m/>
    <m/>
    <m/>
    <m/>
    <m/>
    <m/>
    <m/>
    <m/>
    <m/>
    <m/>
    <m/>
  </r>
  <r>
    <d v="2025-01-11T00:00:00"/>
    <x v="20"/>
    <m/>
    <m/>
    <m/>
    <m/>
    <m/>
    <m/>
    <m/>
    <m/>
    <m/>
    <m/>
    <m/>
    <m/>
    <m/>
    <m/>
    <m/>
    <m/>
    <m/>
    <m/>
    <m/>
    <m/>
  </r>
  <r>
    <d v="2025-01-12T00:00:00"/>
    <x v="20"/>
    <m/>
    <m/>
    <m/>
    <m/>
    <m/>
    <m/>
    <m/>
    <m/>
    <m/>
    <m/>
    <m/>
    <m/>
    <m/>
    <m/>
    <m/>
    <m/>
    <m/>
    <m/>
    <m/>
    <m/>
  </r>
  <r>
    <d v="2025-01-13T00:00:00"/>
    <x v="20"/>
    <m/>
    <m/>
    <m/>
    <m/>
    <m/>
    <m/>
    <m/>
    <m/>
    <m/>
    <m/>
    <m/>
    <m/>
    <m/>
    <m/>
    <m/>
    <m/>
    <m/>
    <m/>
    <m/>
    <m/>
  </r>
  <r>
    <d v="2025-01-14T00:00:00"/>
    <x v="20"/>
    <m/>
    <m/>
    <m/>
    <m/>
    <m/>
    <m/>
    <m/>
    <m/>
    <m/>
    <m/>
    <m/>
    <m/>
    <m/>
    <m/>
    <m/>
    <m/>
    <m/>
    <m/>
    <m/>
    <m/>
  </r>
  <r>
    <d v="2025-01-15T00:00:00"/>
    <x v="20"/>
    <m/>
    <m/>
    <m/>
    <m/>
    <m/>
    <m/>
    <m/>
    <m/>
    <m/>
    <m/>
    <m/>
    <m/>
    <m/>
    <m/>
    <m/>
    <m/>
    <m/>
    <m/>
    <m/>
    <m/>
  </r>
  <r>
    <d v="2025-01-16T00:00:00"/>
    <x v="20"/>
    <m/>
    <m/>
    <m/>
    <m/>
    <m/>
    <m/>
    <m/>
    <m/>
    <m/>
    <m/>
    <m/>
    <m/>
    <m/>
    <m/>
    <m/>
    <m/>
    <m/>
    <m/>
    <m/>
    <m/>
  </r>
  <r>
    <d v="2025-01-17T00:00:00"/>
    <x v="20"/>
    <m/>
    <m/>
    <m/>
    <m/>
    <m/>
    <m/>
    <m/>
    <m/>
    <m/>
    <m/>
    <m/>
    <m/>
    <m/>
    <m/>
    <m/>
    <m/>
    <m/>
    <m/>
    <m/>
    <m/>
  </r>
  <r>
    <d v="2025-01-18T00:00:00"/>
    <x v="20"/>
    <m/>
    <m/>
    <m/>
    <m/>
    <m/>
    <m/>
    <m/>
    <m/>
    <m/>
    <m/>
    <m/>
    <m/>
    <m/>
    <m/>
    <m/>
    <m/>
    <m/>
    <m/>
    <m/>
    <m/>
  </r>
  <r>
    <d v="2025-01-19T00:00:00"/>
    <x v="20"/>
    <m/>
    <m/>
    <m/>
    <m/>
    <m/>
    <m/>
    <m/>
    <m/>
    <m/>
    <m/>
    <m/>
    <m/>
    <m/>
    <m/>
    <m/>
    <m/>
    <m/>
    <m/>
    <m/>
    <m/>
  </r>
  <r>
    <d v="2025-01-20T00:00:00"/>
    <x v="20"/>
    <m/>
    <m/>
    <m/>
    <m/>
    <m/>
    <m/>
    <m/>
    <m/>
    <m/>
    <m/>
    <m/>
    <m/>
    <m/>
    <m/>
    <m/>
    <m/>
    <m/>
    <m/>
    <m/>
    <m/>
  </r>
  <r>
    <d v="2025-01-21T00:00:00"/>
    <x v="20"/>
    <m/>
    <m/>
    <m/>
    <m/>
    <m/>
    <m/>
    <m/>
    <m/>
    <m/>
    <m/>
    <m/>
    <m/>
    <m/>
    <m/>
    <m/>
    <m/>
    <m/>
    <m/>
    <m/>
    <m/>
  </r>
  <r>
    <d v="2025-01-22T00:00:00"/>
    <x v="20"/>
    <m/>
    <m/>
    <m/>
    <m/>
    <m/>
    <m/>
    <m/>
    <m/>
    <m/>
    <m/>
    <m/>
    <m/>
    <m/>
    <m/>
    <m/>
    <m/>
    <m/>
    <m/>
    <m/>
    <m/>
  </r>
  <r>
    <d v="2025-01-23T00:00:00"/>
    <x v="20"/>
    <m/>
    <m/>
    <m/>
    <m/>
    <m/>
    <m/>
    <m/>
    <m/>
    <m/>
    <m/>
    <m/>
    <m/>
    <m/>
    <m/>
    <m/>
    <m/>
    <m/>
    <m/>
    <m/>
    <m/>
  </r>
  <r>
    <d v="2025-01-24T00:00:00"/>
    <x v="20"/>
    <m/>
    <m/>
    <m/>
    <m/>
    <m/>
    <m/>
    <m/>
    <m/>
    <m/>
    <m/>
    <m/>
    <m/>
    <m/>
    <m/>
    <m/>
    <m/>
    <m/>
    <m/>
    <m/>
    <m/>
  </r>
  <r>
    <d v="2025-01-25T00:00:00"/>
    <x v="20"/>
    <m/>
    <m/>
    <m/>
    <m/>
    <m/>
    <m/>
    <m/>
    <m/>
    <m/>
    <m/>
    <m/>
    <m/>
    <m/>
    <m/>
    <m/>
    <m/>
    <m/>
    <m/>
    <m/>
    <m/>
  </r>
  <r>
    <d v="2025-01-26T00:00:00"/>
    <x v="20"/>
    <m/>
    <m/>
    <m/>
    <m/>
    <m/>
    <m/>
    <m/>
    <m/>
    <m/>
    <m/>
    <m/>
    <m/>
    <m/>
    <m/>
    <m/>
    <m/>
    <m/>
    <m/>
    <m/>
    <m/>
  </r>
  <r>
    <d v="2025-01-27T00:00:00"/>
    <x v="20"/>
    <m/>
    <m/>
    <m/>
    <m/>
    <m/>
    <m/>
    <m/>
    <m/>
    <m/>
    <m/>
    <m/>
    <m/>
    <m/>
    <m/>
    <m/>
    <m/>
    <m/>
    <m/>
    <m/>
    <m/>
  </r>
  <r>
    <d v="2025-01-28T00:00:00"/>
    <x v="20"/>
    <m/>
    <m/>
    <m/>
    <m/>
    <m/>
    <m/>
    <m/>
    <m/>
    <m/>
    <m/>
    <m/>
    <m/>
    <m/>
    <m/>
    <m/>
    <m/>
    <m/>
    <m/>
    <m/>
    <m/>
  </r>
  <r>
    <d v="2025-01-29T00:00:00"/>
    <x v="20"/>
    <m/>
    <m/>
    <m/>
    <m/>
    <m/>
    <m/>
    <m/>
    <m/>
    <m/>
    <m/>
    <m/>
    <m/>
    <m/>
    <m/>
    <m/>
    <m/>
    <m/>
    <m/>
    <m/>
    <m/>
  </r>
  <r>
    <d v="2025-01-30T00:00:00"/>
    <x v="20"/>
    <m/>
    <m/>
    <m/>
    <m/>
    <m/>
    <m/>
    <m/>
    <m/>
    <m/>
    <m/>
    <m/>
    <m/>
    <m/>
    <m/>
    <m/>
    <m/>
    <m/>
    <m/>
    <m/>
    <m/>
  </r>
  <r>
    <d v="2025-01-31T00:00:00"/>
    <x v="20"/>
    <m/>
    <m/>
    <m/>
    <m/>
    <m/>
    <m/>
    <m/>
    <m/>
    <m/>
    <m/>
    <m/>
    <m/>
    <m/>
    <m/>
    <m/>
    <m/>
    <m/>
    <m/>
    <m/>
    <m/>
  </r>
  <r>
    <d v="2025-02-01T00:00:00"/>
    <x v="20"/>
    <m/>
    <m/>
    <m/>
    <m/>
    <m/>
    <m/>
    <m/>
    <m/>
    <m/>
    <m/>
    <m/>
    <m/>
    <m/>
    <m/>
    <m/>
    <m/>
    <m/>
    <m/>
    <m/>
    <m/>
  </r>
  <r>
    <d v="2025-02-02T00:00:00"/>
    <x v="20"/>
    <m/>
    <m/>
    <m/>
    <m/>
    <m/>
    <m/>
    <m/>
    <m/>
    <m/>
    <m/>
    <m/>
    <m/>
    <m/>
    <m/>
    <m/>
    <m/>
    <m/>
    <m/>
    <m/>
    <m/>
  </r>
  <r>
    <d v="2025-02-03T00:00:00"/>
    <x v="20"/>
    <m/>
    <m/>
    <m/>
    <m/>
    <m/>
    <m/>
    <m/>
    <m/>
    <m/>
    <m/>
    <m/>
    <m/>
    <m/>
    <m/>
    <m/>
    <m/>
    <m/>
    <m/>
    <m/>
    <m/>
  </r>
  <r>
    <d v="2025-02-04T00:00:00"/>
    <x v="20"/>
    <m/>
    <m/>
    <m/>
    <m/>
    <m/>
    <m/>
    <m/>
    <m/>
    <m/>
    <m/>
    <m/>
    <m/>
    <m/>
    <m/>
    <m/>
    <m/>
    <m/>
    <m/>
    <m/>
    <m/>
  </r>
  <r>
    <d v="2025-02-05T00:00:00"/>
    <x v="20"/>
    <m/>
    <m/>
    <m/>
    <m/>
    <m/>
    <m/>
    <m/>
    <m/>
    <m/>
    <m/>
    <m/>
    <m/>
    <m/>
    <m/>
    <m/>
    <m/>
    <m/>
    <m/>
    <m/>
    <m/>
  </r>
  <r>
    <d v="2025-02-06T00:00:00"/>
    <x v="20"/>
    <m/>
    <m/>
    <m/>
    <m/>
    <m/>
    <m/>
    <m/>
    <m/>
    <m/>
    <m/>
    <m/>
    <m/>
    <m/>
    <m/>
    <m/>
    <m/>
    <m/>
    <m/>
    <m/>
    <m/>
  </r>
  <r>
    <d v="2025-02-07T00:00:00"/>
    <x v="20"/>
    <m/>
    <m/>
    <m/>
    <m/>
    <m/>
    <m/>
    <m/>
    <m/>
    <m/>
    <m/>
    <m/>
    <m/>
    <m/>
    <m/>
    <m/>
    <m/>
    <m/>
    <m/>
    <m/>
    <m/>
  </r>
  <r>
    <d v="2025-02-08T00:00:00"/>
    <x v="20"/>
    <m/>
    <m/>
    <m/>
    <m/>
    <m/>
    <m/>
    <m/>
    <m/>
    <m/>
    <m/>
    <m/>
    <m/>
    <m/>
    <m/>
    <m/>
    <m/>
    <m/>
    <m/>
    <m/>
    <m/>
  </r>
  <r>
    <d v="2025-02-09T00:00:00"/>
    <x v="20"/>
    <m/>
    <m/>
    <m/>
    <m/>
    <m/>
    <m/>
    <m/>
    <m/>
    <m/>
    <m/>
    <m/>
    <m/>
    <m/>
    <m/>
    <m/>
    <m/>
    <m/>
    <m/>
    <m/>
    <m/>
  </r>
  <r>
    <d v="2025-02-10T00:00:00"/>
    <x v="20"/>
    <m/>
    <m/>
    <m/>
    <m/>
    <m/>
    <m/>
    <m/>
    <m/>
    <m/>
    <m/>
    <m/>
    <m/>
    <m/>
    <m/>
    <m/>
    <m/>
    <m/>
    <m/>
    <m/>
    <m/>
  </r>
  <r>
    <d v="2025-02-11T00:00:00"/>
    <x v="20"/>
    <m/>
    <m/>
    <m/>
    <m/>
    <m/>
    <m/>
    <m/>
    <m/>
    <m/>
    <m/>
    <m/>
    <m/>
    <m/>
    <m/>
    <m/>
    <m/>
    <m/>
    <m/>
    <m/>
    <m/>
  </r>
  <r>
    <d v="2025-02-12T00:00:00"/>
    <x v="20"/>
    <m/>
    <m/>
    <m/>
    <m/>
    <m/>
    <m/>
    <m/>
    <m/>
    <m/>
    <m/>
    <m/>
    <m/>
    <m/>
    <m/>
    <m/>
    <m/>
    <m/>
    <m/>
    <m/>
    <m/>
  </r>
  <r>
    <d v="2025-02-13T00:00:00"/>
    <x v="20"/>
    <m/>
    <m/>
    <m/>
    <m/>
    <m/>
    <m/>
    <m/>
    <m/>
    <m/>
    <m/>
    <m/>
    <m/>
    <m/>
    <m/>
    <m/>
    <m/>
    <m/>
    <m/>
    <m/>
    <m/>
  </r>
  <r>
    <d v="2025-02-14T00:00:00"/>
    <x v="20"/>
    <m/>
    <m/>
    <m/>
    <m/>
    <m/>
    <m/>
    <m/>
    <m/>
    <m/>
    <m/>
    <m/>
    <m/>
    <m/>
    <m/>
    <m/>
    <m/>
    <m/>
    <m/>
    <m/>
    <m/>
  </r>
  <r>
    <d v="2025-02-15T00:00:00"/>
    <x v="20"/>
    <m/>
    <m/>
    <m/>
    <m/>
    <m/>
    <m/>
    <m/>
    <m/>
    <m/>
    <m/>
    <m/>
    <m/>
    <m/>
    <m/>
    <m/>
    <m/>
    <m/>
    <m/>
    <m/>
    <m/>
  </r>
  <r>
    <d v="2025-02-16T00:00:00"/>
    <x v="20"/>
    <m/>
    <m/>
    <m/>
    <m/>
    <m/>
    <m/>
    <m/>
    <m/>
    <m/>
    <m/>
    <m/>
    <m/>
    <m/>
    <m/>
    <m/>
    <m/>
    <m/>
    <m/>
    <m/>
    <m/>
  </r>
  <r>
    <d v="2025-02-17T00:00:00"/>
    <x v="20"/>
    <m/>
    <m/>
    <m/>
    <m/>
    <m/>
    <m/>
    <m/>
    <m/>
    <m/>
    <m/>
    <m/>
    <m/>
    <m/>
    <m/>
    <m/>
    <m/>
    <m/>
    <m/>
    <m/>
    <m/>
  </r>
  <r>
    <d v="2025-02-18T00:00:00"/>
    <x v="20"/>
    <m/>
    <m/>
    <m/>
    <m/>
    <m/>
    <m/>
    <m/>
    <m/>
    <m/>
    <m/>
    <m/>
    <m/>
    <m/>
    <m/>
    <m/>
    <m/>
    <m/>
    <m/>
    <m/>
    <m/>
  </r>
  <r>
    <d v="2025-02-19T00:00:00"/>
    <x v="20"/>
    <m/>
    <m/>
    <m/>
    <m/>
    <m/>
    <m/>
    <m/>
    <m/>
    <m/>
    <m/>
    <m/>
    <m/>
    <m/>
    <m/>
    <m/>
    <m/>
    <m/>
    <m/>
    <m/>
    <m/>
  </r>
  <r>
    <d v="2025-02-20T00:00:00"/>
    <x v="20"/>
    <m/>
    <m/>
    <m/>
    <m/>
    <m/>
    <m/>
    <m/>
    <m/>
    <m/>
    <m/>
    <m/>
    <m/>
    <m/>
    <m/>
    <m/>
    <m/>
    <m/>
    <m/>
    <m/>
    <m/>
  </r>
  <r>
    <d v="2025-02-21T00:00:00"/>
    <x v="20"/>
    <m/>
    <m/>
    <m/>
    <m/>
    <m/>
    <m/>
    <m/>
    <m/>
    <m/>
    <m/>
    <m/>
    <m/>
    <m/>
    <m/>
    <m/>
    <m/>
    <m/>
    <m/>
    <m/>
    <m/>
  </r>
  <r>
    <d v="2025-02-22T00:00:00"/>
    <x v="20"/>
    <m/>
    <m/>
    <m/>
    <m/>
    <m/>
    <m/>
    <m/>
    <m/>
    <m/>
    <m/>
    <m/>
    <m/>
    <m/>
    <m/>
    <m/>
    <m/>
    <m/>
    <m/>
    <m/>
    <m/>
  </r>
  <r>
    <d v="2025-02-23T00:00:00"/>
    <x v="20"/>
    <m/>
    <m/>
    <m/>
    <m/>
    <m/>
    <m/>
    <m/>
    <m/>
    <m/>
    <m/>
    <m/>
    <m/>
    <m/>
    <m/>
    <m/>
    <m/>
    <m/>
    <m/>
    <m/>
    <m/>
  </r>
  <r>
    <d v="2025-02-24T00:00:00"/>
    <x v="20"/>
    <m/>
    <m/>
    <m/>
    <m/>
    <m/>
    <m/>
    <m/>
    <m/>
    <m/>
    <m/>
    <m/>
    <m/>
    <m/>
    <m/>
    <m/>
    <m/>
    <m/>
    <m/>
    <m/>
    <m/>
  </r>
  <r>
    <d v="2025-02-25T00:00:00"/>
    <x v="20"/>
    <m/>
    <m/>
    <m/>
    <m/>
    <m/>
    <m/>
    <m/>
    <m/>
    <m/>
    <m/>
    <m/>
    <m/>
    <m/>
    <m/>
    <m/>
    <m/>
    <m/>
    <m/>
    <m/>
    <m/>
  </r>
  <r>
    <d v="2025-02-26T00:00:00"/>
    <x v="20"/>
    <m/>
    <m/>
    <m/>
    <m/>
    <m/>
    <m/>
    <m/>
    <m/>
    <m/>
    <m/>
    <m/>
    <m/>
    <m/>
    <m/>
    <m/>
    <m/>
    <m/>
    <m/>
    <m/>
    <m/>
  </r>
  <r>
    <d v="2025-02-27T00:00:00"/>
    <x v="20"/>
    <m/>
    <m/>
    <m/>
    <m/>
    <m/>
    <m/>
    <m/>
    <m/>
    <m/>
    <m/>
    <m/>
    <m/>
    <m/>
    <m/>
    <m/>
    <m/>
    <m/>
    <m/>
    <m/>
    <m/>
  </r>
  <r>
    <d v="2025-02-28T00:00:00"/>
    <x v="20"/>
    <m/>
    <m/>
    <m/>
    <m/>
    <m/>
    <m/>
    <m/>
    <m/>
    <m/>
    <m/>
    <m/>
    <m/>
    <m/>
    <m/>
    <m/>
    <m/>
    <m/>
    <m/>
    <m/>
    <m/>
  </r>
  <r>
    <d v="2025-03-01T00:00:00"/>
    <x v="20"/>
    <m/>
    <m/>
    <m/>
    <m/>
    <m/>
    <m/>
    <m/>
    <m/>
    <m/>
    <m/>
    <m/>
    <m/>
    <m/>
    <m/>
    <m/>
    <m/>
    <m/>
    <m/>
    <m/>
    <m/>
  </r>
  <r>
    <d v="2025-03-02T00:00:00"/>
    <x v="20"/>
    <m/>
    <m/>
    <m/>
    <m/>
    <m/>
    <m/>
    <m/>
    <m/>
    <m/>
    <m/>
    <m/>
    <m/>
    <m/>
    <m/>
    <m/>
    <m/>
    <m/>
    <m/>
    <m/>
    <m/>
  </r>
  <r>
    <d v="2025-03-03T00:00:00"/>
    <x v="20"/>
    <m/>
    <m/>
    <m/>
    <m/>
    <m/>
    <m/>
    <m/>
    <m/>
    <m/>
    <m/>
    <m/>
    <m/>
    <m/>
    <m/>
    <m/>
    <m/>
    <m/>
    <m/>
    <m/>
    <m/>
  </r>
  <r>
    <d v="2025-03-04T00:00:00"/>
    <x v="20"/>
    <m/>
    <m/>
    <m/>
    <m/>
    <m/>
    <m/>
    <m/>
    <m/>
    <m/>
    <m/>
    <m/>
    <m/>
    <m/>
    <m/>
    <m/>
    <m/>
    <m/>
    <m/>
    <m/>
    <m/>
  </r>
  <r>
    <d v="2025-03-05T00:00:00"/>
    <x v="20"/>
    <m/>
    <m/>
    <m/>
    <m/>
    <m/>
    <m/>
    <m/>
    <m/>
    <m/>
    <m/>
    <m/>
    <m/>
    <m/>
    <m/>
    <m/>
    <m/>
    <m/>
    <m/>
    <m/>
    <m/>
  </r>
  <r>
    <d v="2025-03-06T00:00:00"/>
    <x v="20"/>
    <m/>
    <m/>
    <m/>
    <m/>
    <m/>
    <m/>
    <m/>
    <m/>
    <m/>
    <m/>
    <m/>
    <m/>
    <m/>
    <m/>
    <m/>
    <m/>
    <m/>
    <m/>
    <m/>
    <m/>
  </r>
  <r>
    <d v="2025-03-07T00:00:00"/>
    <x v="20"/>
    <m/>
    <m/>
    <m/>
    <m/>
    <m/>
    <m/>
    <m/>
    <m/>
    <m/>
    <m/>
    <m/>
    <m/>
    <m/>
    <m/>
    <m/>
    <m/>
    <m/>
    <m/>
    <m/>
    <m/>
  </r>
  <r>
    <d v="2025-03-08T00:00:00"/>
    <x v="20"/>
    <m/>
    <m/>
    <m/>
    <m/>
    <m/>
    <m/>
    <m/>
    <m/>
    <m/>
    <m/>
    <m/>
    <m/>
    <m/>
    <m/>
    <m/>
    <m/>
    <m/>
    <m/>
    <m/>
    <m/>
  </r>
  <r>
    <d v="2025-03-09T00:00:00"/>
    <x v="20"/>
    <m/>
    <m/>
    <m/>
    <m/>
    <m/>
    <m/>
    <m/>
    <m/>
    <m/>
    <m/>
    <m/>
    <m/>
    <m/>
    <m/>
    <m/>
    <m/>
    <m/>
    <m/>
    <m/>
    <m/>
  </r>
  <r>
    <d v="2025-03-10T00:00:00"/>
    <x v="20"/>
    <m/>
    <m/>
    <m/>
    <m/>
    <m/>
    <m/>
    <m/>
    <m/>
    <m/>
    <m/>
    <m/>
    <m/>
    <m/>
    <m/>
    <m/>
    <m/>
    <m/>
    <m/>
    <m/>
    <m/>
  </r>
  <r>
    <d v="2025-03-11T00:00:00"/>
    <x v="20"/>
    <m/>
    <m/>
    <m/>
    <m/>
    <m/>
    <m/>
    <m/>
    <m/>
    <m/>
    <m/>
    <m/>
    <m/>
    <m/>
    <m/>
    <m/>
    <m/>
    <m/>
    <m/>
    <m/>
    <m/>
  </r>
  <r>
    <d v="2025-03-12T00:00:00"/>
    <x v="20"/>
    <m/>
    <m/>
    <m/>
    <m/>
    <m/>
    <m/>
    <m/>
    <m/>
    <m/>
    <m/>
    <m/>
    <m/>
    <m/>
    <m/>
    <m/>
    <m/>
    <m/>
    <m/>
    <m/>
    <m/>
  </r>
  <r>
    <d v="2025-03-13T00:00:00"/>
    <x v="20"/>
    <m/>
    <m/>
    <m/>
    <m/>
    <m/>
    <m/>
    <m/>
    <m/>
    <m/>
    <m/>
    <m/>
    <m/>
    <m/>
    <m/>
    <m/>
    <m/>
    <m/>
    <m/>
    <m/>
    <m/>
  </r>
  <r>
    <d v="2025-03-14T00:00:00"/>
    <x v="20"/>
    <m/>
    <m/>
    <m/>
    <m/>
    <m/>
    <m/>
    <m/>
    <m/>
    <m/>
    <m/>
    <m/>
    <m/>
    <m/>
    <m/>
    <m/>
    <m/>
    <m/>
    <m/>
    <m/>
    <m/>
  </r>
  <r>
    <d v="2025-03-15T00:00:00"/>
    <x v="20"/>
    <m/>
    <m/>
    <m/>
    <m/>
    <m/>
    <m/>
    <m/>
    <m/>
    <m/>
    <m/>
    <m/>
    <m/>
    <m/>
    <m/>
    <m/>
    <m/>
    <m/>
    <m/>
    <m/>
    <m/>
  </r>
  <r>
    <d v="2025-03-16T00:00:00"/>
    <x v="20"/>
    <m/>
    <m/>
    <m/>
    <m/>
    <m/>
    <m/>
    <m/>
    <m/>
    <m/>
    <m/>
    <m/>
    <m/>
    <m/>
    <m/>
    <m/>
    <m/>
    <m/>
    <m/>
    <m/>
    <m/>
  </r>
  <r>
    <d v="2025-03-17T00:00:00"/>
    <x v="20"/>
    <m/>
    <m/>
    <m/>
    <m/>
    <m/>
    <m/>
    <m/>
    <m/>
    <m/>
    <m/>
    <m/>
    <m/>
    <m/>
    <m/>
    <m/>
    <m/>
    <m/>
    <m/>
    <m/>
    <m/>
  </r>
  <r>
    <d v="2025-03-18T00:00:00"/>
    <x v="20"/>
    <m/>
    <m/>
    <m/>
    <m/>
    <m/>
    <m/>
    <m/>
    <m/>
    <m/>
    <m/>
    <m/>
    <m/>
    <m/>
    <m/>
    <m/>
    <m/>
    <m/>
    <m/>
    <m/>
    <m/>
  </r>
  <r>
    <d v="2025-03-19T00:00:00"/>
    <x v="20"/>
    <m/>
    <m/>
    <m/>
    <m/>
    <m/>
    <m/>
    <m/>
    <m/>
    <m/>
    <m/>
    <m/>
    <m/>
    <m/>
    <m/>
    <m/>
    <m/>
    <m/>
    <m/>
    <m/>
    <m/>
  </r>
  <r>
    <d v="2025-03-20T00:00:00"/>
    <x v="20"/>
    <m/>
    <m/>
    <m/>
    <m/>
    <m/>
    <m/>
    <m/>
    <m/>
    <m/>
    <m/>
    <m/>
    <m/>
    <m/>
    <m/>
    <m/>
    <m/>
    <m/>
    <m/>
    <m/>
    <m/>
  </r>
  <r>
    <d v="2025-03-21T00:00:00"/>
    <x v="20"/>
    <m/>
    <m/>
    <m/>
    <m/>
    <m/>
    <m/>
    <m/>
    <m/>
    <m/>
    <m/>
    <m/>
    <m/>
    <m/>
    <m/>
    <m/>
    <m/>
    <m/>
    <m/>
    <m/>
    <m/>
  </r>
  <r>
    <d v="2025-03-22T00:00:00"/>
    <x v="20"/>
    <m/>
    <m/>
    <m/>
    <m/>
    <m/>
    <m/>
    <m/>
    <m/>
    <m/>
    <m/>
    <m/>
    <m/>
    <m/>
    <m/>
    <m/>
    <m/>
    <m/>
    <m/>
    <m/>
    <m/>
  </r>
  <r>
    <d v="2025-03-23T00:00:00"/>
    <x v="20"/>
    <m/>
    <m/>
    <m/>
    <m/>
    <m/>
    <m/>
    <m/>
    <m/>
    <m/>
    <m/>
    <m/>
    <m/>
    <m/>
    <m/>
    <m/>
    <m/>
    <m/>
    <m/>
    <m/>
    <m/>
  </r>
  <r>
    <d v="2025-03-24T00:00:00"/>
    <x v="20"/>
    <m/>
    <m/>
    <m/>
    <m/>
    <m/>
    <m/>
    <m/>
    <m/>
    <m/>
    <m/>
    <m/>
    <m/>
    <m/>
    <m/>
    <m/>
    <m/>
    <m/>
    <m/>
    <m/>
    <m/>
  </r>
  <r>
    <d v="2025-03-25T00:00:00"/>
    <x v="20"/>
    <m/>
    <m/>
    <m/>
    <m/>
    <m/>
    <m/>
    <m/>
    <m/>
    <m/>
    <m/>
    <m/>
    <m/>
    <m/>
    <m/>
    <m/>
    <m/>
    <m/>
    <m/>
    <m/>
    <m/>
  </r>
  <r>
    <d v="2025-03-26T00:00:00"/>
    <x v="20"/>
    <m/>
    <m/>
    <m/>
    <m/>
    <m/>
    <m/>
    <m/>
    <m/>
    <m/>
    <m/>
    <m/>
    <m/>
    <m/>
    <m/>
    <m/>
    <m/>
    <m/>
    <m/>
    <m/>
    <m/>
  </r>
  <r>
    <d v="2025-03-27T00:00:00"/>
    <x v="20"/>
    <m/>
    <m/>
    <m/>
    <m/>
    <m/>
    <m/>
    <m/>
    <m/>
    <m/>
    <m/>
    <m/>
    <m/>
    <m/>
    <m/>
    <m/>
    <m/>
    <m/>
    <m/>
    <m/>
    <m/>
  </r>
  <r>
    <d v="2025-03-28T00:00:00"/>
    <x v="20"/>
    <m/>
    <m/>
    <m/>
    <m/>
    <m/>
    <m/>
    <m/>
    <m/>
    <m/>
    <m/>
    <m/>
    <m/>
    <m/>
    <m/>
    <m/>
    <m/>
    <m/>
    <m/>
    <m/>
    <m/>
  </r>
  <r>
    <d v="2025-03-29T00:00:00"/>
    <x v="20"/>
    <m/>
    <m/>
    <m/>
    <m/>
    <m/>
    <m/>
    <m/>
    <m/>
    <m/>
    <m/>
    <m/>
    <m/>
    <m/>
    <m/>
    <m/>
    <m/>
    <m/>
    <m/>
    <m/>
    <m/>
  </r>
  <r>
    <d v="2025-03-30T00:00:00"/>
    <x v="20"/>
    <m/>
    <m/>
    <m/>
    <m/>
    <m/>
    <m/>
    <m/>
    <m/>
    <m/>
    <m/>
    <m/>
    <m/>
    <m/>
    <m/>
    <m/>
    <m/>
    <m/>
    <m/>
    <m/>
    <m/>
  </r>
  <r>
    <d v="2025-03-31T00:00:00"/>
    <x v="20"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2T00:00:00"/>
    <x v="0"/>
    <s v="T"/>
    <s v="FY25"/>
    <n v="483"/>
    <n v="453"/>
    <n v="0.18673218673218672"/>
    <n v="0.25138121546961328"/>
    <n v="483"/>
    <n v="453"/>
    <n v="0.77"/>
    <n v="0.06"/>
    <n v="0.94"/>
    <n v="0.52"/>
    <n v="1"/>
    <n v="193"/>
    <d v="1899-12-30T01:00:00"/>
    <n v="6"/>
    <s v="Normal"/>
    <s v="Outlier"/>
    <n v="0.18673218673218672"/>
    <n v="0.25138121546961328"/>
  </r>
  <r>
    <d v="2024-04-03T00:00:00"/>
    <x v="0"/>
    <s v="W"/>
    <s v="FY25"/>
    <n v="389"/>
    <n v="380"/>
    <n v="-5.1219512195121948E-2"/>
    <n v="-2.6246719160104987E-3"/>
    <n v="872"/>
    <n v="833"/>
    <n v="0.92"/>
    <n v="0.02"/>
    <n v="0.98"/>
    <n v="0.44"/>
    <n v="1"/>
    <n v="181"/>
    <d v="1899-12-30T00:38:00"/>
    <n v="6"/>
    <s v="Normal"/>
    <s v="Normal"/>
    <n v="-5.1219512195121948E-2"/>
    <n v="-2.6246719160104987E-3"/>
  </r>
  <r>
    <d v="2024-04-04T00:00:00"/>
    <x v="0"/>
    <s v="R"/>
    <s v="FY25"/>
    <n v="417"/>
    <n v="376"/>
    <n v="8.0310880829015538E-2"/>
    <n v="9.3023255813953487E-2"/>
    <n v="1289"/>
    <n v="1209"/>
    <n v="0.7"/>
    <n v="0.1"/>
    <n v="0.9"/>
    <n v="0.52"/>
    <n v="1"/>
    <n v="195"/>
    <d v="1899-12-30T01:07:00"/>
    <n v="5"/>
    <s v="Normal"/>
    <s v="Normal"/>
    <n v="8.0310880829015538E-2"/>
    <n v="9.3023255813953487E-2"/>
  </r>
  <r>
    <d v="2024-04-05T00:00:00"/>
    <x v="0"/>
    <s v="F"/>
    <s v="FY25"/>
    <n v="431"/>
    <n v="378"/>
    <n v="0"/>
    <n v="0"/>
    <n v="1720"/>
    <n v="1587"/>
    <n v="0.64"/>
    <n v="0.12"/>
    <n v="0.88"/>
    <n v="0.52"/>
    <n v="1"/>
    <n v="204"/>
    <d v="1899-12-30T01:40:00"/>
    <n v="5"/>
    <s v="Normal"/>
    <s v="Normal"/>
    <n v="0"/>
    <n v="0"/>
  </r>
  <r>
    <d v="2024-04-06T00:00:00"/>
    <x v="0"/>
    <s v="S"/>
    <s v="FY25"/>
    <n v="244"/>
    <n v="201"/>
    <n v="-0.19471947194719472"/>
    <n v="-0.21789883268482491"/>
    <n v="1964"/>
    <n v="1788"/>
    <n v="0.48"/>
    <n v="0.18"/>
    <n v="0.82"/>
    <n v="0.61"/>
    <n v="1"/>
    <n v="187"/>
    <d v="1899-12-30T03:29:00"/>
    <n v="3"/>
    <s v="Normal"/>
    <s v="Normal"/>
    <n v="-0.19471947194719472"/>
    <n v="-0.21789883268482491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8T00:00:00"/>
    <x v="1"/>
    <s v="M"/>
    <s v="FY25"/>
    <n v="470"/>
    <n v="428"/>
    <n v="0"/>
    <n v="0"/>
    <n v="2434"/>
    <n v="2216"/>
    <n v="0.69"/>
    <n v="0.09"/>
    <n v="0.91"/>
    <n v="0.49"/>
    <n v="1"/>
    <n v="185"/>
    <d v="1899-12-30T01:40:00"/>
    <n v="6"/>
    <s v="Normal"/>
    <s v="Normal"/>
    <n v="0"/>
    <n v="0"/>
  </r>
  <r>
    <d v="2024-04-09T00:00:00"/>
    <x v="1"/>
    <s v="T"/>
    <s v="FY25"/>
    <n v="375"/>
    <n v="344"/>
    <n v="-0.2236024844720497"/>
    <n v="-0.24061810154525387"/>
    <n v="2809"/>
    <n v="2560"/>
    <n v="0.77"/>
    <n v="0.08"/>
    <n v="0.92"/>
    <n v="0.5"/>
    <n v="1"/>
    <n v="200"/>
    <d v="1899-12-30T01:07:00"/>
    <n v="5"/>
    <s v="Normal"/>
    <s v="Outlier"/>
    <n v="-0.2236024844720497"/>
    <n v="-0.24061810154525387"/>
  </r>
  <r>
    <d v="2024-04-10T00:00:00"/>
    <x v="1"/>
    <s v="W"/>
    <s v="FY25"/>
    <n v="388"/>
    <n v="377"/>
    <n v="-2.5706940874035988E-3"/>
    <n v="-7.8947368421052634E-3"/>
    <n v="3197"/>
    <n v="2937"/>
    <n v="0.88"/>
    <n v="0.03"/>
    <n v="0.97"/>
    <n v="0.43"/>
    <n v="1"/>
    <n v="182"/>
    <d v="1899-12-30T00:34:00"/>
    <n v="6"/>
    <s v="Normal"/>
    <s v="Normal"/>
    <n v="-2.5706940874035988E-3"/>
    <n v="-7.8947368421052634E-3"/>
  </r>
  <r>
    <d v="2024-04-11T00:00:00"/>
    <x v="1"/>
    <s v="R"/>
    <s v="FY25"/>
    <n v="331"/>
    <n v="316"/>
    <n v="-0.20623501199040767"/>
    <n v="-0.15957446808510639"/>
    <n v="3528"/>
    <n v="3253"/>
    <n v="0.88"/>
    <n v="0.05"/>
    <n v="0.95"/>
    <n v="0.44"/>
    <n v="1"/>
    <n v="185"/>
    <d v="1899-12-30T00:32:00"/>
    <n v="5"/>
    <s v="Normal"/>
    <s v="Normal"/>
    <n v="-0.20623501199040767"/>
    <n v="-0.15957446808510639"/>
  </r>
  <r>
    <d v="2024-04-12T00:00:00"/>
    <x v="1"/>
    <s v="F"/>
    <s v="FY25"/>
    <n v="354"/>
    <n v="345"/>
    <n v="-0.17865429234338748"/>
    <n v="-8.7301587301587297E-2"/>
    <n v="3882"/>
    <n v="3598"/>
    <n v="0.95"/>
    <n v="0.03"/>
    <n v="0.97"/>
    <n v="0.4"/>
    <n v="1"/>
    <n v="179"/>
    <d v="1899-12-30T00:19:00"/>
    <n v="6"/>
    <s v="Normal"/>
    <s v="Normal"/>
    <n v="-0.17865429234338748"/>
    <n v="-8.7301587301587297E-2"/>
  </r>
  <r>
    <d v="2024-04-13T00:00:00"/>
    <x v="1"/>
    <s v="S"/>
    <s v="FY25"/>
    <n v="227"/>
    <n v="205"/>
    <n v="-6.9672131147540978E-2"/>
    <n v="1.9900497512437811E-2"/>
    <n v="4109"/>
    <n v="3803"/>
    <n v="0.71"/>
    <n v="0.1"/>
    <n v="0.9"/>
    <n v="0.62"/>
    <n v="1"/>
    <n v="188"/>
    <d v="1899-12-30T01:07:00"/>
    <n v="3"/>
    <s v="Normal"/>
    <s v="Normal"/>
    <n v="-6.9672131147540978E-2"/>
    <n v="1.9900497512437811E-2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15T00:00:00"/>
    <x v="2"/>
    <s v="M"/>
    <s v="FY25"/>
    <n v="519"/>
    <n v="417"/>
    <n v="0.10425531914893617"/>
    <n v="-2.5700934579439252E-2"/>
    <n v="4628"/>
    <n v="4220"/>
    <n v="0.45"/>
    <n v="0.2"/>
    <n v="0.8"/>
    <n v="0.57999999999999996"/>
    <n v="1"/>
    <n v="208"/>
    <d v="1899-12-30T04:31:00"/>
    <n v="5"/>
    <s v="Normal"/>
    <s v="Normal"/>
    <n v="0.10425531914893617"/>
    <n v="-2.5700934579439252E-2"/>
  </r>
  <r>
    <d v="2024-04-16T00:00:00"/>
    <x v="2"/>
    <s v="T"/>
    <s v="FY25"/>
    <n v="432"/>
    <n v="354"/>
    <n v="0.152"/>
    <n v="2.9069767441860465E-2"/>
    <n v="5060"/>
    <n v="4574"/>
    <n v="0.56000000000000005"/>
    <n v="0.18"/>
    <n v="0.82"/>
    <n v="0.61"/>
    <n v="1"/>
    <n v="207"/>
    <d v="1899-12-30T03:19:00"/>
    <n v="4"/>
    <s v="Normal"/>
    <s v="Normal"/>
    <n v="0.152"/>
    <n v="2.9069767441860465E-2"/>
  </r>
  <r>
    <d v="2024-04-17T00:00:00"/>
    <x v="2"/>
    <s v="W"/>
    <s v="FY25"/>
    <n v="311"/>
    <n v="276"/>
    <n v="-0.19845360824742267"/>
    <n v="-0.26790450928381965"/>
    <n v="5371"/>
    <n v="4850"/>
    <n v="0.64"/>
    <n v="0.11"/>
    <n v="0.89"/>
    <n v="0.63"/>
    <n v="1"/>
    <n v="198"/>
    <d v="1899-12-30T01:45:00"/>
    <n v="3"/>
    <s v="Normal"/>
    <s v="Outlier"/>
    <n v="-0.19845360824742267"/>
    <n v="-0.26790450928381965"/>
  </r>
  <r>
    <d v="2024-04-18T00:00:00"/>
    <x v="2"/>
    <s v="R"/>
    <s v="FY25"/>
    <n v="354"/>
    <n v="307"/>
    <n v="6.9486404833836862E-2"/>
    <n v="-2.8481012658227847E-2"/>
    <n v="5725"/>
    <n v="5157"/>
    <n v="0.56000000000000005"/>
    <n v="0.13"/>
    <n v="0.87"/>
    <n v="0.71"/>
    <n v="1"/>
    <n v="190"/>
    <d v="1899-12-30T02:39:00"/>
    <n v="3"/>
    <s v="Normal"/>
    <s v="Normal"/>
    <n v="6.9486404833836862E-2"/>
    <n v="-2.8481012658227847E-2"/>
  </r>
  <r>
    <d v="2024-04-19T00:00:00"/>
    <x v="2"/>
    <s v="F"/>
    <s v="FY25"/>
    <n v="417"/>
    <n v="317"/>
    <n v="0.17796610169491525"/>
    <n v="-8.1159420289855067E-2"/>
    <n v="6142"/>
    <n v="5474"/>
    <n v="0.38"/>
    <n v="0.24"/>
    <n v="0.76"/>
    <n v="0.73"/>
    <n v="1"/>
    <n v="220"/>
    <d v="1899-12-30T04:19:00"/>
    <n v="3"/>
    <s v="Normal"/>
    <s v="Normal"/>
    <n v="0.17796610169491525"/>
    <n v="-8.1159420289855067E-2"/>
  </r>
  <r>
    <d v="2024-04-20T00:00:00"/>
    <x v="2"/>
    <s v="S"/>
    <s v="FY25"/>
    <n v="257"/>
    <n v="200"/>
    <n v="0.13215859030837004"/>
    <n v="-2.4390243902439025E-2"/>
    <n v="6399"/>
    <n v="5674"/>
    <n v="0.5"/>
    <n v="0.22"/>
    <n v="0.78"/>
    <n v="0.51"/>
    <n v="1"/>
    <n v="192"/>
    <d v="1899-12-30T03:32:00"/>
    <n v="3"/>
    <s v="Normal"/>
    <s v="Normal"/>
    <n v="0.13215859030837004"/>
    <n v="-2.4390243902439025E-2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2T00:00:00"/>
    <x v="3"/>
    <s v="M"/>
    <s v="FY25"/>
    <n v="468"/>
    <n v="359"/>
    <n v="-9.8265895953757232E-2"/>
    <n v="-0.13908872901678657"/>
    <n v="6867"/>
    <n v="6033"/>
    <n v="0.52"/>
    <n v="0.23"/>
    <n v="0.77"/>
    <n v="0.64"/>
    <n v="1"/>
    <n v="219"/>
    <d v="1899-12-30T03:35:00"/>
    <n v="4"/>
    <s v="Normal"/>
    <s v="Normal"/>
    <n v="-9.8265895953757232E-2"/>
    <n v="-0.13908872901678657"/>
  </r>
  <r>
    <d v="2024-04-23T00:00:00"/>
    <x v="3"/>
    <s v="T"/>
    <s v="FY25"/>
    <n v="357"/>
    <n v="330"/>
    <n v="-0.1736111111111111"/>
    <n v="-6.7796610169491525E-2"/>
    <n v="7224"/>
    <n v="6363"/>
    <n v="0.81"/>
    <n v="0.08"/>
    <n v="0.82"/>
    <n v="0.46"/>
    <n v="1"/>
    <n v="190"/>
    <d v="1899-12-30T01:09:00"/>
    <n v="5"/>
    <s v="Normal"/>
    <s v="Normal"/>
    <n v="-0.1736111111111111"/>
    <n v="-6.7796610169491525E-2"/>
  </r>
  <r>
    <d v="2024-04-24T00:00:00"/>
    <x v="3"/>
    <s v="W"/>
    <s v="FY25"/>
    <n v="363"/>
    <n v="312"/>
    <n v="0.16720257234726688"/>
    <n v="0.13043478260869565"/>
    <n v="7587"/>
    <n v="6675"/>
    <n v="0.63"/>
    <n v="0.14000000000000001"/>
    <n v="0.86"/>
    <n v="0.61"/>
    <n v="1"/>
    <n v="208"/>
    <d v="1899-12-30T03:43:00"/>
    <n v="4"/>
    <s v="Normal"/>
    <s v="Normal"/>
    <n v="0.16720257234726688"/>
    <n v="0.13043478260869565"/>
  </r>
  <r>
    <d v="2024-04-25T00:00:00"/>
    <x v="3"/>
    <s v="R"/>
    <s v="FY25"/>
    <n v="422"/>
    <n v="351"/>
    <n v="0.19209039548022599"/>
    <n v="0.14332247557003258"/>
    <n v="8009"/>
    <n v="7026"/>
    <n v="0.59"/>
    <n v="0.17"/>
    <n v="0.83"/>
    <n v="0.56000000000000005"/>
    <n v="1"/>
    <n v="193"/>
    <d v="1899-12-30T03:40:00"/>
    <n v="4"/>
    <s v="Normal"/>
    <s v="Normal"/>
    <n v="0.19209039548022599"/>
    <n v="0.14332247557003258"/>
  </r>
  <r>
    <d v="2024-04-26T00:00:00"/>
    <x v="3"/>
    <s v="F"/>
    <s v="FY25"/>
    <n v="381"/>
    <n v="327"/>
    <n v="-8.6330935251798566E-2"/>
    <n v="3.1545741324921134E-2"/>
    <n v="8390"/>
    <n v="7353"/>
    <n v="0.66"/>
    <n v="0.14000000000000001"/>
    <n v="0.86"/>
    <n v="0.56000000000000005"/>
    <n v="1"/>
    <n v="201"/>
    <d v="1899-12-30T02:08:00"/>
    <n v="4"/>
    <s v="Normal"/>
    <s v="Normal"/>
    <n v="-8.6330935251798566E-2"/>
    <n v="3.1545741324921134E-2"/>
  </r>
  <r>
    <d v="2024-04-27T00:00:00"/>
    <x v="3"/>
    <s v="S"/>
    <s v="FY25"/>
    <n v="253"/>
    <n v="218"/>
    <n v="-1.556420233463035E-2"/>
    <n v="0.09"/>
    <n v="8643"/>
    <n v="7571"/>
    <n v="0.69"/>
    <n v="0.14000000000000001"/>
    <n v="0.86"/>
    <n v="0.5"/>
    <n v="1"/>
    <n v="178"/>
    <d v="1899-12-30T02:19:00"/>
    <n v="3"/>
    <s v="Normal"/>
    <s v="Normal"/>
    <n v="-1.556420233463035E-2"/>
    <n v="0.09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9T00:00:00"/>
    <x v="4"/>
    <s v="M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30T00:00:00"/>
    <x v="4"/>
    <s v="T"/>
    <s v="FY25"/>
    <n v="656"/>
    <n v="340"/>
    <n v="0.83753501400560226"/>
    <n v="3.0303030303030304E-2"/>
    <n v="9299"/>
    <n v="7911"/>
    <n v="0.14000000000000001"/>
    <n v="0.48"/>
    <n v="0.52"/>
    <n v="0.78"/>
    <n v="1"/>
    <n v="241"/>
    <d v="1899-12-30T09:44:00"/>
    <n v="3"/>
    <s v="Outlier"/>
    <s v="Normal"/>
    <n v="0.83753501400560226"/>
    <n v="3.0303030303030304E-2"/>
  </r>
  <r>
    <d v="2024-05-01T00:00:00"/>
    <x v="4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2T00:00:00"/>
    <x v="4"/>
    <s v="R"/>
    <s v="FY25"/>
    <n v="507"/>
    <n v="370"/>
    <n v="0.2014218009478673"/>
    <n v="5.4131054131054131E-2"/>
    <n v="507"/>
    <n v="370"/>
    <n v="0.38"/>
    <n v="0.27"/>
    <n v="0.73"/>
    <n v="0.85"/>
    <n v="1"/>
    <n v="214"/>
    <d v="1899-12-30T04:03:00"/>
    <n v="4"/>
    <s v="Normal"/>
    <s v="Normal"/>
    <n v="0.2014218009478673"/>
    <n v="5.4131054131054131E-2"/>
  </r>
  <r>
    <d v="2024-05-03T00:00:00"/>
    <x v="4"/>
    <s v="F"/>
    <s v="FY25"/>
    <n v="376"/>
    <n v="319"/>
    <n v="-1.3123359580052493E-2"/>
    <n v="-2.4464831804281346E-2"/>
    <n v="883"/>
    <n v="689"/>
    <n v="0.56000000000000005"/>
    <n v="0.15"/>
    <n v="0.85"/>
    <n v="0.55000000000000004"/>
    <n v="1"/>
    <n v="216"/>
    <d v="1899-12-30T02:37:00"/>
    <n v="4"/>
    <s v="Normal"/>
    <s v="Normal"/>
    <n v="-1.3123359580052493E-2"/>
    <n v="-2.4464831804281346E-2"/>
  </r>
  <r>
    <d v="2024-05-04T00:00:00"/>
    <x v="4"/>
    <s v="S"/>
    <s v="FY25"/>
    <n v="221"/>
    <n v="199"/>
    <n v="-0.12648221343873517"/>
    <n v="-8.7155963302752298E-2"/>
    <n v="1104"/>
    <n v="888"/>
    <n v="0.73"/>
    <n v="0.1"/>
    <n v="0.9"/>
    <n v="0.34"/>
    <n v="1"/>
    <n v="187"/>
    <d v="1899-12-30T01:03:00"/>
    <n v="4"/>
    <s v="Normal"/>
    <s v="Normal"/>
    <n v="-0.12648221343873517"/>
    <n v="-8.7155963302752298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6T00:00:00"/>
    <x v="5"/>
    <s v="M"/>
    <s v="FY25"/>
    <n v="453"/>
    <n v="356"/>
    <n v="0"/>
    <n v="0"/>
    <n v="1557"/>
    <n v="1244"/>
    <n v="0.44"/>
    <n v="0.21"/>
    <n v="0.79"/>
    <n v="0.82"/>
    <n v="1"/>
    <n v="206"/>
    <d v="1899-12-30T03:55:00"/>
    <n v="3"/>
    <s v="Normal"/>
    <s v="Normal"/>
    <n v="0"/>
    <n v="0"/>
  </r>
  <r>
    <d v="2024-05-07T00:00:00"/>
    <x v="5"/>
    <s v="T"/>
    <s v="FY25"/>
    <n v="362"/>
    <n v="313"/>
    <n v="-0.44817073170731708"/>
    <n v="-7.9411764705882348E-2"/>
    <n v="1919"/>
    <n v="1557"/>
    <n v="0.67"/>
    <n v="0.14000000000000001"/>
    <n v="0.86"/>
    <n v="0.54"/>
    <n v="1"/>
    <n v="229"/>
    <d v="1899-12-30T01:31:00"/>
    <n v="4"/>
    <s v="Outlier"/>
    <s v="Normal"/>
    <n v="-0.44817073170731708"/>
    <n v="-7.9411764705882348E-2"/>
  </r>
  <r>
    <d v="2024-05-08T00:00:00"/>
    <x v="5"/>
    <s v="W"/>
    <s v="FY25"/>
    <n v="336"/>
    <n v="324"/>
    <n v="0"/>
    <n v="0"/>
    <n v="2255"/>
    <n v="1881"/>
    <n v="0.86"/>
    <n v="0.04"/>
    <n v="0.96"/>
    <n v="0.56000000000000005"/>
    <n v="1"/>
    <n v="194"/>
    <d v="1899-12-30T00:43:00"/>
    <n v="4"/>
    <s v="Normal"/>
    <s v="Normal"/>
    <n v="0"/>
    <n v="0"/>
  </r>
  <r>
    <d v="2024-05-09T00:00:00"/>
    <x v="5"/>
    <s v="R"/>
    <s v="FY25"/>
    <n v="334"/>
    <n v="281"/>
    <n v="-0.34122287968441817"/>
    <n v="-0.24054054054054055"/>
    <n v="2589"/>
    <n v="2162"/>
    <n v="0.61"/>
    <n v="0.16"/>
    <n v="0.84"/>
    <n v="0.65"/>
    <n v="1"/>
    <n v="220"/>
    <d v="1899-12-30T02:27:00"/>
    <n v="3"/>
    <s v="Normal"/>
    <s v="Outlier"/>
    <n v="-0.34122287968441817"/>
    <n v="-0.24054054054054055"/>
  </r>
  <r>
    <d v="2024-05-10T00:00:00"/>
    <x v="5"/>
    <s v="F"/>
    <s v="FY25"/>
    <n v="369"/>
    <n v="312"/>
    <n v="-1.8617021276595744E-2"/>
    <n v="-2.1943573667711599E-2"/>
    <n v="2958"/>
    <n v="2474"/>
    <n v="0.51"/>
    <n v="0.15"/>
    <n v="0.85"/>
    <n v="0.72"/>
    <n v="1"/>
    <n v="219"/>
    <d v="1899-12-30T03:33:00"/>
    <n v="3"/>
    <s v="Normal"/>
    <s v="Normal"/>
    <n v="-1.8617021276595744E-2"/>
    <n v="-2.1943573667711599E-2"/>
  </r>
  <r>
    <d v="2024-05-11T00:00:00"/>
    <x v="5"/>
    <s v="S"/>
    <s v="FY25"/>
    <n v="176"/>
    <n v="167"/>
    <n v="-0.20361990950226244"/>
    <n v="-0.16080402010050251"/>
    <n v="3134"/>
    <n v="2641"/>
    <n v="0.82"/>
    <n v="0.05"/>
    <n v="0.95"/>
    <n v="0.38"/>
    <n v="1"/>
    <n v="210"/>
    <d v="1899-12-30T00:55:00"/>
    <n v="3"/>
    <s v="Normal"/>
    <s v="Normal"/>
    <n v="-0.20361990950226244"/>
    <n v="-0.16080402010050251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13T00:00:00"/>
    <x v="6"/>
    <s v="M"/>
    <s v="FY25"/>
    <n v="575"/>
    <n v="331"/>
    <n v="0.26931567328918321"/>
    <n v="-7.02247191011236E-2"/>
    <n v="3709"/>
    <n v="2972"/>
    <n v="0.19"/>
    <n v="0.42"/>
    <n v="0.57999999999999996"/>
    <n v="0.76"/>
    <n v="1"/>
    <n v="218"/>
    <d v="1899-12-30T09:16:00"/>
    <n v="3"/>
    <s v="Normal"/>
    <s v="Normal"/>
    <n v="0.26931567328918321"/>
    <n v="-7.02247191011236E-2"/>
  </r>
  <r>
    <d v="2024-05-14T00:00:00"/>
    <x v="6"/>
    <s v="T"/>
    <s v="FY25"/>
    <n v="309"/>
    <n v="276"/>
    <n v="-0.14640883977900551"/>
    <n v="-0.1182108626198083"/>
    <n v="4018"/>
    <n v="3248"/>
    <n v="0.72"/>
    <n v="0.11"/>
    <n v="0.89"/>
    <n v="0.48"/>
    <n v="1"/>
    <n v="195"/>
    <d v="1899-12-30T01:15:00"/>
    <n v="4"/>
    <s v="Normal"/>
    <s v="Normal"/>
    <n v="-0.14640883977900551"/>
    <n v="-0.1182108626198083"/>
  </r>
  <r>
    <d v="2024-05-15T00:00:00"/>
    <x v="6"/>
    <s v="W"/>
    <s v="FY25"/>
    <n v="341"/>
    <n v="310"/>
    <n v="1.488095238095238E-2"/>
    <n v="-4.3209876543209874E-2"/>
    <n v="4359"/>
    <n v="3558"/>
    <n v="0.82"/>
    <n v="0.09"/>
    <n v="0.91"/>
    <n v="0.45"/>
    <n v="1"/>
    <n v="204"/>
    <d v="1899-12-30T01:07:00"/>
    <n v="5"/>
    <s v="Normal"/>
    <s v="Normal"/>
    <n v="1.488095238095238E-2"/>
    <n v="-4.3209876543209874E-2"/>
  </r>
  <r>
    <d v="2024-05-16T00:00:00"/>
    <x v="6"/>
    <s v="R"/>
    <s v="FY25"/>
    <n v="324"/>
    <n v="295"/>
    <n v="-2.9940119760479042E-2"/>
    <n v="4.9822064056939501E-2"/>
    <n v="4683"/>
    <n v="3853"/>
    <n v="0.73"/>
    <n v="0.09"/>
    <n v="0.91"/>
    <n v="0.51"/>
    <n v="1"/>
    <n v="198"/>
    <d v="1899-12-30T01:42:00"/>
    <n v="4"/>
    <s v="Normal"/>
    <s v="Normal"/>
    <n v="-2.9940119760479042E-2"/>
    <n v="4.9822064056939501E-2"/>
  </r>
  <r>
    <d v="2024-05-17T00:00:00"/>
    <x v="6"/>
    <s v="F"/>
    <s v="FY25"/>
    <n v="347"/>
    <n v="310"/>
    <n v="-5.9620596205962058E-2"/>
    <n v="-6.41025641025641E-3"/>
    <n v="5030"/>
    <n v="4163"/>
    <n v="0.72"/>
    <n v="0.11"/>
    <n v="0.89"/>
    <n v="0.36"/>
    <n v="1"/>
    <n v="230"/>
    <d v="1899-12-30T01:43:00"/>
    <n v="4"/>
    <s v="Normal"/>
    <s v="Normal"/>
    <n v="-5.9620596205962058E-2"/>
    <n v="-6.41025641025641E-3"/>
  </r>
  <r>
    <d v="2024-05-18T00:00:00"/>
    <x v="6"/>
    <s v="S"/>
    <s v="FY25"/>
    <n v="206"/>
    <n v="189"/>
    <n v="0.17045454545454544"/>
    <n v="0.1317365269461078"/>
    <n v="5236"/>
    <n v="4352"/>
    <n v="0.76"/>
    <n v="0.08"/>
    <n v="0.92"/>
    <n v="0.32"/>
    <n v="1"/>
    <n v="188"/>
    <d v="1899-12-30T01:07:00"/>
    <n v="4"/>
    <s v="Normal"/>
    <s v="Normal"/>
    <n v="0.17045454545454544"/>
    <n v="0.1317365269461078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0T00:00:00"/>
    <x v="7"/>
    <s v="M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1T00:00:00"/>
    <x v="7"/>
    <s v="T"/>
    <s v="FY25"/>
    <n v="523"/>
    <n v="437"/>
    <n v="0.69255663430420711"/>
    <n v="0.58333333333333337"/>
    <n v="523"/>
    <n v="437"/>
    <n v="0.51"/>
    <n v="0.16"/>
    <n v="0.84"/>
    <n v="0.6"/>
    <n v="1"/>
    <n v="216"/>
    <d v="1899-12-30T02:44:00"/>
    <n v="5"/>
    <s v="Outlier"/>
    <s v="Outlier"/>
    <n v="0.69255663430420711"/>
    <n v="0.58333333333333337"/>
  </r>
  <r>
    <d v="2024-05-22T00:00:00"/>
    <x v="7"/>
    <s v="W"/>
    <s v="FY25"/>
    <n v="360"/>
    <n v="345"/>
    <n v="5.5718475073313782E-2"/>
    <n v="0.11290322580645161"/>
    <n v="883"/>
    <n v="782"/>
    <n v="0.89"/>
    <n v="0.04"/>
    <n v="0.96"/>
    <n v="0.48"/>
    <n v="1"/>
    <n v="196"/>
    <d v="1899-12-30T00:46:00"/>
    <n v="5"/>
    <s v="Normal"/>
    <s v="Normal"/>
    <n v="5.5718475073313782E-2"/>
    <n v="0.11290322580645161"/>
  </r>
  <r>
    <d v="2024-05-23T00:00:00"/>
    <x v="7"/>
    <s v="R"/>
    <s v="FY25"/>
    <n v="321"/>
    <n v="297"/>
    <n v="-9.2592592592592587E-3"/>
    <n v="6.7796610169491523E-3"/>
    <n v="1204"/>
    <n v="1079"/>
    <n v="0.82"/>
    <n v="7.0000000000000007E-2"/>
    <n v="0.93"/>
    <n v="0.51"/>
    <n v="1"/>
    <n v="199"/>
    <d v="1899-12-30T01:47:00"/>
    <n v="4"/>
    <s v="Normal"/>
    <s v="Normal"/>
    <n v="-9.2592592592592587E-3"/>
    <n v="6.7796610169491523E-3"/>
  </r>
  <r>
    <d v="2024-05-24T00:00:00"/>
    <x v="7"/>
    <s v="F"/>
    <s v="FY25"/>
    <n v="360"/>
    <n v="344"/>
    <n v="3.7463976945244955E-2"/>
    <n v="0.10967741935483871"/>
    <n v="1564"/>
    <n v="1423"/>
    <n v="0.86"/>
    <n v="0.04"/>
    <n v="0.96"/>
    <n v="0.59"/>
    <n v="1"/>
    <n v="184"/>
    <d v="1899-12-30T00:52:00"/>
    <n v="4"/>
    <s v="Normal"/>
    <s v="Normal"/>
    <n v="3.7463976945244955E-2"/>
    <n v="0.10967741935483871"/>
  </r>
  <r>
    <d v="2024-05-25T00:00:00"/>
    <x v="7"/>
    <s v="S"/>
    <s v="FY25"/>
    <n v="236"/>
    <n v="218"/>
    <n v="0.14563106796116504"/>
    <n v="0.15343915343915343"/>
    <n v="1800"/>
    <n v="1641"/>
    <n v="0.85"/>
    <n v="0.06"/>
    <n v="0.94"/>
    <n v="0.38"/>
    <n v="1"/>
    <n v="194"/>
    <d v="1899-12-30T00:39:00"/>
    <n v="4"/>
    <s v="Normal"/>
    <s v="Normal"/>
    <n v="0.14563106796116504"/>
    <n v="0.15343915343915343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7T00:00:00"/>
    <x v="8"/>
    <s v="M"/>
    <s v="FY25"/>
    <n v="521"/>
    <n v="306"/>
    <n v="0"/>
    <n v="0"/>
    <n v="2321"/>
    <n v="1947"/>
    <n v="0.59"/>
    <n v="0.15"/>
    <n v="0.85"/>
    <n v="0.53"/>
    <n v="1"/>
    <n v="227"/>
    <d v="1899-12-30T06:18:00"/>
    <n v="4"/>
    <s v="Normal"/>
    <s v="Normal"/>
    <n v="0"/>
    <n v="0"/>
  </r>
  <r>
    <d v="2024-05-28T00:00:00"/>
    <x v="8"/>
    <s v="T"/>
    <s v="FY25"/>
    <n v="426"/>
    <n v="382"/>
    <n v="-0.18546845124282982"/>
    <n v="-0.12585812356979406"/>
    <n v="2747"/>
    <n v="2329"/>
    <n v="0.75"/>
    <n v="0.09"/>
    <n v="0.91"/>
    <n v="0.53"/>
    <n v="1"/>
    <n v="192"/>
    <d v="1899-12-30T01:12:00"/>
    <n v="5"/>
    <s v="Normal"/>
    <s v="Normal"/>
    <n v="-0.18546845124282982"/>
    <n v="-0.12585812356979406"/>
  </r>
  <r>
    <d v="2024-05-29T00:00:00"/>
    <x v="8"/>
    <s v="W"/>
    <s v="FY25"/>
    <n v="340"/>
    <n v="325"/>
    <n v="-5.5555555555555552E-2"/>
    <n v="-5.7971014492753624E-2"/>
    <n v="3087"/>
    <n v="2654"/>
    <n v="0.88"/>
    <n v="0.04"/>
    <n v="0.96"/>
    <n v="0.45"/>
    <n v="1"/>
    <n v="193"/>
    <d v="1899-12-30T00:31:00"/>
    <n v="5"/>
    <s v="Normal"/>
    <s v="Normal"/>
    <n v="-5.5555555555555552E-2"/>
    <n v="-5.7971014492753624E-2"/>
  </r>
  <r>
    <d v="2024-05-30T00:00:00"/>
    <x v="8"/>
    <s v="R"/>
    <s v="FY25"/>
    <n v="380"/>
    <n v="354"/>
    <n v="0.18380062305295949"/>
    <n v="0.19191919191919191"/>
    <n v="3467"/>
    <n v="3008"/>
    <n v="0.79"/>
    <n v="0.06"/>
    <n v="0.94"/>
    <n v="0.46"/>
    <n v="1"/>
    <n v="195"/>
    <d v="1899-12-30T01:38:00"/>
    <n v="5"/>
    <s v="Normal"/>
    <s v="Normal"/>
    <n v="0.18380062305295949"/>
    <n v="0.19191919191919191"/>
  </r>
  <r>
    <d v="2024-05-31T00:00:00"/>
    <x v="8"/>
    <s v="F"/>
    <s v="FY25"/>
    <n v="349"/>
    <n v="332"/>
    <n v="-3.0555555555555555E-2"/>
    <n v="-3.4883720930232558E-2"/>
    <n v="3816"/>
    <n v="3340"/>
    <n v="0.86"/>
    <n v="0.04"/>
    <n v="0.96"/>
    <n v="0.46"/>
    <n v="1"/>
    <n v="194"/>
    <d v="1899-12-30T00:33:00"/>
    <n v="5"/>
    <s v="Normal"/>
    <s v="Normal"/>
    <n v="-3.0555555555555555E-2"/>
    <n v="-3.4883720930232558E-2"/>
  </r>
  <r>
    <d v="2024-06-01T00:00:00"/>
    <x v="8"/>
    <s v="S"/>
    <s v="FY25"/>
    <n v="170"/>
    <n v="160"/>
    <n v="-0.27966101694915252"/>
    <n v="-0.26605504587155965"/>
    <n v="170"/>
    <n v="160"/>
    <n v="0.82"/>
    <n v="0.06"/>
    <n v="0.94"/>
    <n v="0.37"/>
    <n v="1"/>
    <n v="220"/>
    <d v="1899-12-30T01:08:00"/>
    <n v="3"/>
    <s v="Normal"/>
    <s v="Outlier"/>
    <n v="-0.27966101694915252"/>
    <n v="-0.26605504587155965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03T00:00:00"/>
    <x v="9"/>
    <s v="M"/>
    <s v="FY25"/>
    <n v="481"/>
    <n v="355"/>
    <n v="-7.6775431861804216E-2"/>
    <n v="0.16013071895424835"/>
    <n v="651"/>
    <n v="515"/>
    <n v="0.5"/>
    <n v="0.25"/>
    <n v="0.75"/>
    <n v="0.61"/>
    <n v="1"/>
    <n v="206"/>
    <d v="1899-12-30T04:55:00"/>
    <n v="4"/>
    <s v="Normal"/>
    <s v="Normal"/>
    <n v="-7.6775431861804216E-2"/>
    <n v="0.16013071895424835"/>
  </r>
  <r>
    <d v="2024-06-04T00:00:00"/>
    <x v="9"/>
    <s v="T"/>
    <s v="FY25"/>
    <n v="332"/>
    <n v="297"/>
    <n v="-0.22065727699530516"/>
    <n v="-0.22251308900523561"/>
    <n v="983"/>
    <n v="812"/>
    <n v="0.69"/>
    <n v="0.1"/>
    <n v="0.9"/>
    <n v="0.51"/>
    <n v="1"/>
    <n v="211"/>
    <d v="1899-12-30T01:20:00"/>
    <n v="4"/>
    <s v="Normal"/>
    <s v="Normal"/>
    <n v="-0.22065727699530516"/>
    <n v="-0.22251308900523561"/>
  </r>
  <r>
    <d v="2024-06-05T00:00:00"/>
    <x v="9"/>
    <s v="W"/>
    <s v="FY25"/>
    <n v="357"/>
    <n v="304"/>
    <n v="0.05"/>
    <n v="-6.4615384615384616E-2"/>
    <n v="1340"/>
    <n v="1116"/>
    <n v="0.64"/>
    <n v="0.14000000000000001"/>
    <n v="0.86"/>
    <n v="0.52"/>
    <n v="1"/>
    <n v="218"/>
    <d v="1899-12-30T02:45:00"/>
    <n v="4"/>
    <s v="Normal"/>
    <s v="Normal"/>
    <n v="0.05"/>
    <n v="-6.4615384615384616E-2"/>
  </r>
  <r>
    <d v="2024-06-06T00:00:00"/>
    <x v="9"/>
    <s v="R"/>
    <s v="FY25"/>
    <n v="317"/>
    <n v="260"/>
    <n v="-0.16578947368421051"/>
    <n v="-0.2655367231638418"/>
    <n v="1657"/>
    <n v="1376"/>
    <n v="0.6"/>
    <n v="0.18"/>
    <n v="0.82"/>
    <n v="0.6"/>
    <n v="1"/>
    <n v="199"/>
    <d v="1899-12-30T02:46:00"/>
    <n v="3"/>
    <s v="Normal"/>
    <s v="Outlier"/>
    <n v="-0.16578947368421051"/>
    <n v="-0.2655367231638418"/>
  </r>
  <r>
    <d v="2024-06-07T00:00:00"/>
    <x v="9"/>
    <s v="F"/>
    <s v="FY25"/>
    <n v="276"/>
    <n v="247"/>
    <n v="-0.20916905444126074"/>
    <n v="-0.25602409638554219"/>
    <n v="1933"/>
    <n v="1623"/>
    <n v="0.66"/>
    <n v="0.09"/>
    <n v="0.81"/>
    <n v="0.43"/>
    <n v="1"/>
    <n v="198"/>
    <d v="1899-12-30T03:50:00"/>
    <n v="4"/>
    <s v="Normal"/>
    <s v="Outlier"/>
    <n v="-0.20916905444126074"/>
    <n v="-0.25602409638554219"/>
  </r>
  <r>
    <d v="2024-06-08T00:00:00"/>
    <x v="9"/>
    <s v="S"/>
    <s v="FY25"/>
    <n v="93"/>
    <n v="84"/>
    <n v="-0.45294117647058824"/>
    <n v="-0.47499999999999998"/>
    <n v="2026"/>
    <n v="1707"/>
    <n v="0.7"/>
    <n v="0.09"/>
    <n v="0.91"/>
    <n v="0.19"/>
    <n v="1"/>
    <n v="167"/>
    <d v="1899-12-30T01:56:00"/>
    <n v="3"/>
    <s v="Outlier"/>
    <s v="Outlier"/>
    <n v="-0.45294117647058824"/>
    <n v="-0.47499999999999998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0T00:00:00"/>
    <x v="10"/>
    <s v="M"/>
    <s v="FY25"/>
    <n v="521"/>
    <n v="367"/>
    <n v="8.3160083160083165E-2"/>
    <n v="3.3802816901408447E-2"/>
    <n v="2547"/>
    <n v="2074"/>
    <n v="0.38"/>
    <n v="0.28999999999999998"/>
    <n v="0.71"/>
    <n v="0.63"/>
    <n v="1"/>
    <n v="210"/>
    <d v="1899-12-30T05:29:00"/>
    <n v="4"/>
    <s v="Normal"/>
    <s v="Normal"/>
    <n v="8.3160083160083165E-2"/>
    <n v="3.3802816901408447E-2"/>
  </r>
  <r>
    <d v="2024-06-11T00:00:00"/>
    <x v="10"/>
    <s v="T"/>
    <s v="FY25"/>
    <n v="374"/>
    <n v="339"/>
    <n v="0.12650602409638553"/>
    <n v="0.14141414141414141"/>
    <n v="2921"/>
    <n v="2413"/>
    <n v="0.78"/>
    <n v="0.09"/>
    <n v="0.91"/>
    <n v="0.47"/>
    <n v="1"/>
    <n v="300"/>
    <d v="1899-12-30T00:59:00"/>
    <n v="5"/>
    <s v="Normal"/>
    <s v="Normal"/>
    <n v="0.12650602409638553"/>
    <n v="0.14141414141414141"/>
  </r>
  <r>
    <d v="2024-06-12T00:00:00"/>
    <x v="10"/>
    <s v="W"/>
    <s v="FY25"/>
    <n v="387"/>
    <n v="322"/>
    <n v="8.4033613445378158E-2"/>
    <n v="5.921052631578947E-2"/>
    <n v="3308"/>
    <n v="2735"/>
    <n v="0.54"/>
    <n v="0.16"/>
    <n v="0.84"/>
    <n v="0.56000000000000005"/>
    <n v="1"/>
    <n v="212"/>
    <d v="1899-12-30T03:07:00"/>
    <n v="4"/>
    <s v="Normal"/>
    <s v="Normal"/>
    <n v="8.4033613445378158E-2"/>
    <n v="5.921052631578947E-2"/>
  </r>
  <r>
    <d v="2024-06-13T00:00:00"/>
    <x v="10"/>
    <s v="R"/>
    <s v="FY25"/>
    <n v="334"/>
    <n v="287"/>
    <n v="5.362776025236593E-2"/>
    <n v="0.10384615384615385"/>
    <n v="3642"/>
    <n v="3022"/>
    <n v="0.68"/>
    <n v="0.13"/>
    <n v="0.87"/>
    <n v="0.49"/>
    <n v="1"/>
    <n v="199"/>
    <d v="1899-12-30T01:44:00"/>
    <n v="4"/>
    <s v="Normal"/>
    <s v="Normal"/>
    <n v="5.362776025236593E-2"/>
    <n v="0.10384615384615385"/>
  </r>
  <r>
    <d v="2024-06-14T00:00:00"/>
    <x v="10"/>
    <s v="F"/>
    <s v="FY25"/>
    <n v="422"/>
    <n v="334"/>
    <n v="0.52898550724637683"/>
    <n v="0.35222672064777327"/>
    <n v="4064"/>
    <n v="3356"/>
    <n v="0.52"/>
    <n v="0.2"/>
    <n v="0.8"/>
    <n v="0.57999999999999996"/>
    <n v="1"/>
    <n v="219"/>
    <d v="1899-12-30T04:19:00"/>
    <n v="4"/>
    <s v="Outlier"/>
    <s v="Outlier"/>
    <n v="0.52898550724637683"/>
    <n v="0.35222672064777327"/>
  </r>
  <r>
    <d v="2024-06-15T00:00:00"/>
    <x v="10"/>
    <s v="S"/>
    <s v="FY25"/>
    <n v="152"/>
    <n v="133"/>
    <n v="0.63440860215053763"/>
    <n v="0.58333333333333337"/>
    <n v="4216"/>
    <n v="3489"/>
    <n v="0.73"/>
    <n v="0.12"/>
    <n v="0.88"/>
    <n v="0.31"/>
    <n v="1"/>
    <n v="211"/>
    <d v="1899-12-30T01:15:00"/>
    <n v="3"/>
    <s v="Outlier"/>
    <s v="Outlier"/>
    <n v="0.63440860215053763"/>
    <n v="0.58333333333333337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7T00:00:00"/>
    <x v="11"/>
    <s v="M"/>
    <s v="FY25"/>
    <n v="492"/>
    <n v="359"/>
    <n v="-5.5662188099808059E-2"/>
    <n v="-2.1798365122615803E-2"/>
    <n v="4708"/>
    <n v="3848"/>
    <n v="0.52"/>
    <n v="0.26"/>
    <n v="0.74"/>
    <n v="0.62"/>
    <n v="1"/>
    <n v="231"/>
    <d v="1899-12-30T06:16:00"/>
    <n v="4"/>
    <s v="Normal"/>
    <s v="Normal"/>
    <n v="-5.5662188099808059E-2"/>
    <n v="-2.1798365122615803E-2"/>
  </r>
  <r>
    <d v="2024-06-18T00:00:00"/>
    <x v="11"/>
    <s v="T"/>
    <s v="FY25"/>
    <n v="439"/>
    <n v="340"/>
    <n v="0.17379679144385027"/>
    <n v="2.9498525073746312E-3"/>
    <n v="5147"/>
    <n v="4188"/>
    <n v="0.46"/>
    <n v="0.22"/>
    <n v="0.78"/>
    <n v="0.59"/>
    <n v="1"/>
    <n v="211"/>
    <d v="1899-12-30T04:47:00"/>
    <n v="4"/>
    <s v="Normal"/>
    <s v="Normal"/>
    <n v="0.17379679144385027"/>
    <n v="2.9498525073746312E-3"/>
  </r>
  <r>
    <d v="2024-06-19T00:00:00"/>
    <x v="11"/>
    <s v="W"/>
    <s v="FY25"/>
    <n v="328"/>
    <n v="272"/>
    <n v="-0.15245478036175711"/>
    <n v="-0.15527950310559005"/>
    <n v="5475"/>
    <n v="4460"/>
    <n v="0.6"/>
    <n v="0.16"/>
    <n v="0.84"/>
    <n v="0.47"/>
    <n v="1"/>
    <n v="233"/>
    <d v="1899-12-30T02:36:00"/>
    <n v="4"/>
    <s v="Normal"/>
    <s v="Normal"/>
    <n v="-0.15245478036175711"/>
    <n v="-0.15527950310559005"/>
  </r>
  <r>
    <d v="2024-06-20T00:00:00"/>
    <x v="11"/>
    <s v="R"/>
    <s v="FY25"/>
    <n v="274"/>
    <n v="255"/>
    <n v="-0.17964071856287425"/>
    <n v="-0.11149825783972125"/>
    <n v="5749"/>
    <n v="4715"/>
    <n v="0.77"/>
    <n v="0.06"/>
    <n v="0.94"/>
    <n v="0.44"/>
    <n v="1"/>
    <n v="204"/>
    <d v="1899-12-30T01:29:00"/>
    <n v="4"/>
    <s v="Normal"/>
    <s v="Normal"/>
    <n v="-0.17964071856287425"/>
    <n v="-0.11149825783972125"/>
  </r>
  <r>
    <d v="2024-06-21T00:00:00"/>
    <x v="11"/>
    <s v="F"/>
    <s v="FY25"/>
    <n v="252"/>
    <n v="234"/>
    <n v="-0.40284360189573459"/>
    <n v="-0.29940119760479039"/>
    <n v="6001"/>
    <n v="4949"/>
    <n v="0.81"/>
    <n v="0.06"/>
    <n v="0.94"/>
    <n v="0.4"/>
    <n v="1"/>
    <n v="185"/>
    <d v="1899-12-30T00:43:00"/>
    <n v="4"/>
    <s v="Normal"/>
    <s v="Outlier"/>
    <n v="-0.40284360189573459"/>
    <n v="-0.29940119760479039"/>
  </r>
  <r>
    <d v="2024-06-22T00:00:00"/>
    <x v="11"/>
    <s v="S"/>
    <s v="FY25"/>
    <n v="191"/>
    <n v="169"/>
    <n v="0.25657894736842107"/>
    <n v="0.27067669172932329"/>
    <n v="6192"/>
    <n v="5118"/>
    <n v="0.78"/>
    <n v="0.09"/>
    <n v="0.91"/>
    <n v="0.39"/>
    <n v="1"/>
    <n v="193"/>
    <d v="1899-12-30T00:51:00"/>
    <n v="3"/>
    <s v="Normal"/>
    <s v="Outlier"/>
    <n v="0.25657894736842107"/>
    <n v="0.27067669172932329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24T00:00:00"/>
    <x v="12"/>
    <s v="M"/>
    <s v="FY25"/>
    <n v="358"/>
    <n v="336"/>
    <n v="-0.27235772357723576"/>
    <n v="-6.4066852367688026E-2"/>
    <n v="6550"/>
    <n v="5454"/>
    <n v="0.86"/>
    <n v="0.05"/>
    <n v="0.95"/>
    <n v="0.46"/>
    <n v="1"/>
    <n v="193"/>
    <d v="1899-12-30T00:40:00"/>
    <n v="5"/>
    <s v="Normal"/>
    <s v="Normal"/>
    <n v="-0.27235772357723576"/>
    <n v="-6.4066852367688026E-2"/>
  </r>
  <r>
    <d v="2024-06-25T00:00:00"/>
    <x v="12"/>
    <s v="T"/>
    <s v="FY25"/>
    <n v="449"/>
    <n v="346"/>
    <n v="2.2779043280182234E-2"/>
    <n v="1.7647058823529412E-2"/>
    <n v="6999"/>
    <n v="5800"/>
    <n v="0.56999999999999995"/>
    <n v="0.22"/>
    <n v="0.78"/>
    <n v="0.6"/>
    <n v="1"/>
    <n v="223"/>
    <d v="1899-12-30T02:58:00"/>
    <n v="4"/>
    <s v="Normal"/>
    <s v="Normal"/>
    <n v="2.2779043280182234E-2"/>
    <n v="1.7647058823529412E-2"/>
  </r>
  <r>
    <d v="2024-06-26T00:00:00"/>
    <x v="12"/>
    <s v="W"/>
    <s v="FY25"/>
    <n v="398"/>
    <n v="363"/>
    <n v="0.21341463414634146"/>
    <n v="0.33455882352941174"/>
    <n v="7397"/>
    <n v="6163"/>
    <n v="0.75"/>
    <n v="0.08"/>
    <n v="0.92"/>
    <n v="0.5"/>
    <n v="1"/>
    <n v="80"/>
    <d v="1899-12-30T03:15:00"/>
    <n v="5"/>
    <s v="Normal"/>
    <s v="Outlier"/>
    <n v="0.21341463414634146"/>
    <n v="0.33455882352941174"/>
  </r>
  <r>
    <d v="2024-06-27T00:00:00"/>
    <x v="12"/>
    <s v="R"/>
    <s v="FY25"/>
    <n v="456"/>
    <n v="402"/>
    <n v="0.66423357664233573"/>
    <n v="0.57647058823529407"/>
    <n v="7853"/>
    <n v="6565"/>
    <n v="0.67"/>
    <n v="0.11"/>
    <n v="0.89"/>
    <n v="0.55000000000000004"/>
    <n v="1"/>
    <n v="91"/>
    <d v="1899-12-30T03:26:00"/>
    <n v="5"/>
    <s v="Outlier"/>
    <s v="Outlier"/>
    <n v="0.66423357664233573"/>
    <n v="0.57647058823529407"/>
  </r>
  <r>
    <d v="2024-06-28T00:00:00"/>
    <x v="12"/>
    <s v="F"/>
    <s v="FY25"/>
    <n v="365"/>
    <n v="318"/>
    <n v="0.44841269841269843"/>
    <n v="0.35897435897435898"/>
    <n v="8218"/>
    <n v="6883"/>
    <n v="0.6"/>
    <n v="0.12"/>
    <n v="0.88"/>
    <n v="0.55000000000000004"/>
    <n v="1"/>
    <n v="94"/>
    <d v="1899-12-30T03:17:00"/>
    <n v="4"/>
    <s v="Outlier"/>
    <s v="Outlier"/>
    <n v="0.44841269841269843"/>
    <n v="0.35897435897435898"/>
  </r>
  <r>
    <d v="2024-06-29T00:00:00"/>
    <x v="12"/>
    <s v="S"/>
    <s v="FY25"/>
    <n v="224"/>
    <n v="182"/>
    <n v="0.17277486910994763"/>
    <n v="7.6923076923076927E-2"/>
    <n v="8442"/>
    <n v="7065"/>
    <n v="0.56000000000000005"/>
    <n v="0.18"/>
    <n v="0.65"/>
    <n v="0.42"/>
    <n v="1"/>
    <n v="154"/>
    <d v="1899-12-30T03:15:00"/>
    <n v="3"/>
    <s v="Normal"/>
    <s v="Normal"/>
    <n v="0.17277486910994763"/>
    <n v="7.6923076923076927E-2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1T00:00:00"/>
    <x v="13"/>
    <s v="M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2T00:00:00"/>
    <x v="13"/>
    <s v="T"/>
    <s v="FY25"/>
    <n v="256"/>
    <n v="159"/>
    <n v="-0.42984409799554568"/>
    <n v="-0.54046242774566478"/>
    <n v="256"/>
    <n v="159"/>
    <n v="0.36"/>
    <n v="0.36"/>
    <n v="0.64"/>
    <n v="0.55000000000000004"/>
    <n v="1"/>
    <n v="224"/>
    <d v="1899-12-30T06:40:00"/>
    <n v="2"/>
    <s v="Outlier"/>
    <s v="Outlier"/>
    <n v="-0.42984409799554568"/>
    <n v="-0.54046242774566478"/>
  </r>
  <r>
    <d v="2024-07-03T00:00:00"/>
    <x v="13"/>
    <s v="W"/>
    <s v="FY25"/>
    <n v="196"/>
    <n v="165"/>
    <n v="-0.50753768844221103"/>
    <n v="-0.54545454545454541"/>
    <n v="452"/>
    <n v="324"/>
    <n v="0.67"/>
    <n v="0.16"/>
    <n v="0.84"/>
    <n v="0.56999999999999995"/>
    <n v="1"/>
    <n v="195"/>
    <d v="1899-12-30T02:14:00"/>
    <n v="3"/>
    <s v="Outlier"/>
    <s v="Outlier"/>
    <n v="-0.50753768844221103"/>
    <n v="-0.54545454545454541"/>
  </r>
  <r>
    <d v="2024-07-04T00:00:00"/>
    <x v="13"/>
    <s v="R"/>
    <s v="FY25"/>
    <n v="405"/>
    <n v="367"/>
    <n v="-0.1118421052631579"/>
    <n v="-8.7064676616915429E-2"/>
    <n v="857"/>
    <n v="691"/>
    <n v="0.8"/>
    <n v="0.09"/>
    <n v="0.91"/>
    <n v="0.51"/>
    <n v="1"/>
    <n v="187"/>
    <d v="1899-12-30T00:52:00"/>
    <n v="5"/>
    <s v="Normal"/>
    <s v="Normal"/>
    <n v="-0.1118421052631579"/>
    <n v="-8.7064676616915429E-2"/>
  </r>
  <r>
    <d v="2024-07-05T00:00:00"/>
    <x v="13"/>
    <s v="F"/>
    <s v="FY25"/>
    <n v="352"/>
    <n v="326"/>
    <n v="-3.5616438356164383E-2"/>
    <n v="2.5157232704402517E-2"/>
    <n v="1209"/>
    <n v="1017"/>
    <n v="0.78"/>
    <n v="7.0000000000000007E-2"/>
    <n v="0.93"/>
    <n v="0.45"/>
    <n v="1"/>
    <n v="211"/>
    <d v="1899-12-30T01:39:00"/>
    <n v="5"/>
    <s v="Normal"/>
    <s v="Normal"/>
    <n v="-3.5616438356164383E-2"/>
    <n v="2.5157232704402517E-2"/>
  </r>
  <r>
    <d v="2024-07-06T00:00:00"/>
    <x v="13"/>
    <s v="S"/>
    <s v="FY25"/>
    <n v="195"/>
    <n v="184"/>
    <n v="-0.12946428571428573"/>
    <n v="1.098901098901099E-2"/>
    <n v="1404"/>
    <n v="1201"/>
    <n v="0.87"/>
    <n v="0.06"/>
    <n v="0.94"/>
    <n v="0.32"/>
    <n v="1"/>
    <n v="188"/>
    <d v="1899-12-30T00:40:00"/>
    <n v="4"/>
    <s v="Normal"/>
    <s v="Normal"/>
    <n v="-0.12946428571428573"/>
    <n v="1.098901098901099E-2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8T00:00:00"/>
    <x v="14"/>
    <s v="M"/>
    <s v="FY25"/>
    <n v="434"/>
    <n v="348"/>
    <n v="0"/>
    <n v="0"/>
    <n v="1838"/>
    <n v="1549"/>
    <n v="0.59"/>
    <n v="0.2"/>
    <n v="0.8"/>
    <n v="0.8"/>
    <n v="1"/>
    <n v="196"/>
    <d v="1899-12-30T03:01:00"/>
    <n v="3"/>
    <s v="Normal"/>
    <s v="Normal"/>
    <n v="0"/>
    <n v="0"/>
  </r>
  <r>
    <d v="2024-07-09T00:00:00"/>
    <x v="14"/>
    <s v="T"/>
    <s v="FY25"/>
    <n v="418"/>
    <n v="313"/>
    <n v="0.6328125"/>
    <n v="0.96855345911949686"/>
    <n v="2256"/>
    <n v="1862"/>
    <n v="0.45"/>
    <n v="0.25"/>
    <n v="0.75"/>
    <n v="0.72"/>
    <n v="1"/>
    <n v="205"/>
    <d v="1899-12-30T05:01:00"/>
    <n v="3"/>
    <s v="Outlier"/>
    <s v="Outlier"/>
    <n v="0.6328125"/>
    <n v="0.96855345911949686"/>
  </r>
  <r>
    <d v="2024-07-10T00:00:00"/>
    <x v="14"/>
    <s v="W"/>
    <s v="FY25"/>
    <n v="353"/>
    <n v="260"/>
    <n v="0.80102040816326525"/>
    <n v="0.5757575757575758"/>
    <n v="2609"/>
    <n v="2122"/>
    <n v="0.44"/>
    <n v="0.26"/>
    <n v="0.74"/>
    <n v="0.9"/>
    <n v="1"/>
    <n v="196"/>
    <d v="1899-12-30T05:05:00"/>
    <n v="2"/>
    <s v="Outlier"/>
    <s v="Outlier"/>
    <n v="0.80102040816326525"/>
    <n v="0.5757575757575758"/>
  </r>
  <r>
    <d v="2024-07-11T00:00:00"/>
    <x v="14"/>
    <s v="R"/>
    <s v="FY25"/>
    <n v="332"/>
    <n v="260"/>
    <n v="-0.18024691358024691"/>
    <n v="-0.29155313351498635"/>
    <n v="2941"/>
    <n v="2382"/>
    <n v="0.55000000000000004"/>
    <n v="0.22"/>
    <n v="0.78"/>
    <n v="0.6"/>
    <n v="1"/>
    <n v="210"/>
    <d v="1899-12-30T04:04:00"/>
    <n v="3"/>
    <s v="Normal"/>
    <s v="Outlier"/>
    <n v="-0.18024691358024691"/>
    <n v="-0.29155313351498635"/>
  </r>
  <r>
    <d v="2024-07-12T00:00:00"/>
    <x v="14"/>
    <s v="F"/>
    <s v="FY25"/>
    <n v="431"/>
    <n v="337"/>
    <n v="0.22443181818181818"/>
    <n v="3.3742331288343558E-2"/>
    <n v="3372"/>
    <n v="2719"/>
    <n v="0.5"/>
    <n v="0.22"/>
    <n v="0.78"/>
    <n v="0.6"/>
    <n v="1"/>
    <n v="196"/>
    <d v="1899-12-30T05:25:00"/>
    <n v="3"/>
    <s v="Normal"/>
    <s v="Normal"/>
    <n v="0.22443181818181818"/>
    <n v="3.3742331288343558E-2"/>
  </r>
  <r>
    <d v="2024-07-13T00:00:00"/>
    <x v="14"/>
    <s v="S"/>
    <s v="FY25"/>
    <n v="230"/>
    <n v="190"/>
    <n v="0.17948717948717949"/>
    <n v="3.2608695652173912E-2"/>
    <n v="3602"/>
    <n v="2909"/>
    <n v="0.63"/>
    <n v="0.17"/>
    <n v="0.83"/>
    <n v="0.44"/>
    <n v="1"/>
    <n v="184"/>
    <d v="1899-12-30T02:19:00"/>
    <n v="3"/>
    <s v="Normal"/>
    <s v="Normal"/>
    <n v="0.17948717948717949"/>
    <n v="3.2608695652173912E-2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15T00:00:00"/>
    <x v="15"/>
    <s v="M"/>
    <s v="FY25"/>
    <n v="509"/>
    <n v="432"/>
    <n v="0"/>
    <n v="0"/>
    <n v="4111"/>
    <n v="3341"/>
    <n v="0.65"/>
    <n v="0.15"/>
    <n v="0.85"/>
    <n v="0.74"/>
    <n v="1"/>
    <n v="216"/>
    <d v="1899-12-30T01:57:00"/>
    <n v="4"/>
    <s v="Normal"/>
    <s v="Normal"/>
    <n v="0"/>
    <n v="0"/>
  </r>
  <r>
    <d v="2024-07-16T00:00:00"/>
    <x v="15"/>
    <s v="T"/>
    <s v="FY25"/>
    <n v="315"/>
    <n v="177"/>
    <n v="-0.24641148325358853"/>
    <n v="-0.43450479233226835"/>
    <n v="4426"/>
    <n v="3518"/>
    <n v="0.3"/>
    <n v="0.42"/>
    <n v="0.57999999999999996"/>
    <n v="0.41"/>
    <n v="1"/>
    <n v="469"/>
    <d v="1899-12-30T03:35:00"/>
    <n v="3"/>
    <s v="Normal"/>
    <s v="Outlier"/>
    <n v="-0.24641148325358853"/>
    <n v="-0.43450479233226835"/>
  </r>
  <r>
    <d v="2024-07-17T00:00:00"/>
    <x v="15"/>
    <s v="W"/>
    <s v="FY25"/>
    <n v="366"/>
    <n v="332"/>
    <n v="3.6827195467422094E-2"/>
    <n v="0.27692307692307694"/>
    <n v="4792"/>
    <n v="3850"/>
    <n v="0.75"/>
    <n v="0.09"/>
    <n v="0.91"/>
    <n v="0.56999999999999995"/>
    <n v="1"/>
    <n v="176"/>
    <d v="1899-12-30T01:04:00"/>
    <n v="4"/>
    <s v="Normal"/>
    <s v="Outlier"/>
    <n v="3.6827195467422094E-2"/>
    <n v="0.27692307692307694"/>
  </r>
  <r>
    <d v="2024-07-18T00:00:00"/>
    <x v="15"/>
    <s v="R"/>
    <s v="FY25"/>
    <n v="376"/>
    <n v="281"/>
    <n v="0.13253012048192772"/>
    <n v="8.0769230769230774E-2"/>
    <n v="5168"/>
    <n v="4131"/>
    <n v="0.51"/>
    <n v="0.26"/>
    <n v="0.74"/>
    <n v="0.65"/>
    <n v="1"/>
    <n v="200"/>
    <d v="1899-12-30T03:10:00"/>
    <n v="3"/>
    <s v="Normal"/>
    <s v="Normal"/>
    <n v="0.13253012048192772"/>
    <n v="8.0769230769230774E-2"/>
  </r>
  <r>
    <d v="2024-07-19T00:00:00"/>
    <x v="15"/>
    <s v="F"/>
    <s v="FY25"/>
    <n v="329"/>
    <n v="295"/>
    <n v="-0.23665893271461716"/>
    <n v="-0.12462908011869436"/>
    <n v="5497"/>
    <n v="4426"/>
    <n v="0.78"/>
    <n v="0.1"/>
    <n v="0.9"/>
    <n v="0.51"/>
    <n v="1"/>
    <n v="190"/>
    <d v="1899-12-30T01:09:00"/>
    <n v="4"/>
    <s v="Normal"/>
    <s v="Normal"/>
    <n v="-0.23665893271461716"/>
    <n v="-0.12462908011869436"/>
  </r>
  <r>
    <d v="2024-07-20T00:00:00"/>
    <x v="15"/>
    <s v="S"/>
    <s v="FY25"/>
    <n v="196"/>
    <n v="182"/>
    <n v="-0.14782608695652175"/>
    <n v="-4.2105263157894736E-2"/>
    <n v="5693"/>
    <n v="4608"/>
    <n v="0.83"/>
    <n v="7.0000000000000007E-2"/>
    <n v="0.93"/>
    <n v="0.42"/>
    <n v="1"/>
    <n v="172"/>
    <d v="1899-12-30T00:58:00"/>
    <n v="3"/>
    <s v="Normal"/>
    <s v="Normal"/>
    <n v="-0.14782608695652175"/>
    <n v="-4.2105263157894736E-2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22T00:00:00"/>
    <x v="16"/>
    <s v="M"/>
    <s v="FY25"/>
    <n v="434"/>
    <n v="352"/>
    <n v="-0.14734774066797643"/>
    <n v="-0.18518518518518517"/>
    <n v="6127"/>
    <n v="4960"/>
    <n v="0.48"/>
    <n v="0.19"/>
    <n v="0.81"/>
    <n v="0.61"/>
    <n v="1"/>
    <n v="198"/>
    <d v="1899-12-30T03:28:00"/>
    <n v="4"/>
    <s v="Normal"/>
    <s v="Normal"/>
    <n v="-0.14734774066797643"/>
    <n v="-0.18518518518518517"/>
  </r>
  <r>
    <d v="2024-07-23T00:00:00"/>
    <x v="16"/>
    <s v="T"/>
    <s v="FY25"/>
    <n v="352"/>
    <n v="315"/>
    <n v="0.11746031746031746"/>
    <n v="0.77966101694915257"/>
    <n v="6479"/>
    <n v="5275"/>
    <n v="0.65"/>
    <n v="0.11"/>
    <n v="0.89"/>
    <n v="0.54"/>
    <n v="1"/>
    <n v="209"/>
    <d v="1899-12-30T01:20:00"/>
    <n v="4"/>
    <s v="Normal"/>
    <s v="Outlier"/>
    <n v="0.11746031746031746"/>
    <n v="0.77966101694915257"/>
  </r>
  <r>
    <d v="2024-07-24T00:00:00"/>
    <x v="16"/>
    <s v="W"/>
    <s v="FY25"/>
    <n v="395"/>
    <n v="334"/>
    <n v="7.9234972677595633E-2"/>
    <n v="6.024096385542169E-3"/>
    <n v="6874"/>
    <n v="5609"/>
    <n v="0.61"/>
    <n v="0.15"/>
    <n v="0.85"/>
    <n v="0.57999999999999996"/>
    <n v="1"/>
    <n v="212"/>
    <d v="1899-12-30T02:05:00"/>
    <n v="4"/>
    <s v="Normal"/>
    <s v="Normal"/>
    <n v="7.9234972677595633E-2"/>
    <n v="6.024096385542169E-3"/>
  </r>
  <r>
    <d v="2024-07-25T00:00:00"/>
    <x v="16"/>
    <s v="R"/>
    <s v="FY25"/>
    <n v="394"/>
    <n v="334"/>
    <n v="4.7872340425531915E-2"/>
    <n v="0.18861209964412812"/>
    <n v="7268"/>
    <n v="5943"/>
    <n v="0.64"/>
    <n v="0.15"/>
    <n v="0.85"/>
    <n v="0.57999999999999996"/>
    <n v="1"/>
    <n v="212"/>
    <d v="1899-12-30T02:36:00"/>
    <n v="4"/>
    <s v="Normal"/>
    <s v="Normal"/>
    <n v="4.7872340425531915E-2"/>
    <n v="0.18861209964412812"/>
  </r>
  <r>
    <d v="2024-07-26T00:00:00"/>
    <x v="16"/>
    <s v="F"/>
    <s v="FY25"/>
    <n v="359"/>
    <n v="279"/>
    <n v="9.1185410334346503E-2"/>
    <n v="-5.4237288135593219E-2"/>
    <n v="7627"/>
    <n v="6222"/>
    <n v="0.45"/>
    <n v="0.22"/>
    <n v="0.78"/>
    <n v="0.64"/>
    <n v="1"/>
    <n v="194"/>
    <d v="1899-12-30T02:50:00"/>
    <n v="3"/>
    <s v="Normal"/>
    <s v="Normal"/>
    <n v="9.1185410334346503E-2"/>
    <n v="-5.4237288135593219E-2"/>
  </r>
  <r>
    <d v="2024-07-27T00:00:00"/>
    <x v="16"/>
    <s v="S"/>
    <s v="FY25"/>
    <n v="283"/>
    <n v="191"/>
    <n v="0.44387755102040816"/>
    <n v="4.9450549450549448E-2"/>
    <n v="7910"/>
    <n v="6413"/>
    <n v="0.33"/>
    <n v="0.33"/>
    <n v="0.67"/>
    <n v="0.66"/>
    <n v="1"/>
    <n v="163"/>
    <d v="1899-12-30T06:01:00"/>
    <n v="2"/>
    <s v="Outlier"/>
    <s v="Normal"/>
    <n v="0.44387755102040816"/>
    <n v="4.9450549450549448E-2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9T00:00:00"/>
    <x v="17"/>
    <s v="M"/>
    <s v="FY25"/>
    <n v="503"/>
    <n v="373"/>
    <n v="0.15898617511520738"/>
    <n v="5.9659090909090912E-2"/>
    <n v="8413"/>
    <n v="6786"/>
    <n v="0.46"/>
    <n v="0.26"/>
    <n v="0.74"/>
    <n v="0.64"/>
    <n v="1"/>
    <n v="202"/>
    <d v="1899-12-30T03:40:00"/>
    <n v="4"/>
    <s v="Normal"/>
    <s v="Normal"/>
    <n v="0.15898617511520738"/>
    <n v="5.9659090909090912E-2"/>
  </r>
  <r>
    <d v="2024-07-30T00:00:00"/>
    <x v="17"/>
    <s v="T"/>
    <s v="FY25"/>
    <n v="452"/>
    <n v="370"/>
    <n v="0.28409090909090912"/>
    <n v="0.17460317460317459"/>
    <n v="8865"/>
    <n v="7156"/>
    <n v="0.57999999999999996"/>
    <n v="0.18"/>
    <n v="0.82"/>
    <n v="0.51"/>
    <n v="1"/>
    <n v="208"/>
    <d v="1899-12-30T02:51:00"/>
    <n v="5"/>
    <s v="Normal"/>
    <s v="Normal"/>
    <n v="0.28409090909090912"/>
    <n v="0.17460317460317459"/>
  </r>
  <r>
    <d v="2024-07-31T00:00:00"/>
    <x v="17"/>
    <s v="W"/>
    <s v="FY25"/>
    <n v="400"/>
    <n v="348"/>
    <n v="1.2658227848101266E-2"/>
    <n v="4.1916167664670656E-2"/>
    <n v="9265"/>
    <n v="7504"/>
    <n v="0.62"/>
    <n v="0.13"/>
    <n v="0.87"/>
    <n v="0.48"/>
    <n v="1"/>
    <n v="208"/>
    <d v="1899-12-30T01:53:00"/>
    <n v="5"/>
    <s v="Normal"/>
    <s v="Normal"/>
    <n v="1.2658227848101266E-2"/>
    <n v="4.1916167664670656E-2"/>
  </r>
  <r>
    <d v="2024-08-01T00:00:00"/>
    <x v="17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2T00:00:00"/>
    <x v="17"/>
    <s v="F"/>
    <s v="FY25"/>
    <n v="509"/>
    <n v="323"/>
    <n v="-0.3723797780517879"/>
    <n v="-0.44596912521440824"/>
    <n v="509"/>
    <n v="323"/>
    <n v="0.35"/>
    <n v="0.26"/>
    <n v="0.74"/>
    <n v="0.56000000000000005"/>
    <n v="1"/>
    <n v="261"/>
    <d v="1899-12-30T04:54:00"/>
    <n v="4"/>
    <s v="Normal"/>
    <s v="Outlier"/>
    <n v="-0.3723797780517879"/>
    <n v="-0.44596912521440824"/>
  </r>
  <r>
    <d v="2024-08-03T00:00:00"/>
    <x v="17"/>
    <s v="S"/>
    <s v="FY25"/>
    <n v="212"/>
    <n v="134"/>
    <n v="-0.57258064516129037"/>
    <n v="-0.64456233421750664"/>
    <n v="721"/>
    <n v="457"/>
    <n v="0.4"/>
    <n v="0.37"/>
    <n v="0.73"/>
    <n v="0.61"/>
    <n v="1"/>
    <n v="273"/>
    <d v="1899-12-30T06:11:00"/>
    <n v="2"/>
    <s v="Outlier"/>
    <s v="Outlier"/>
    <n v="-0.57258064516129037"/>
    <n v="-0.64456233421750664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5T00:00:00"/>
    <x v="18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6T00:00:00"/>
    <x v="18"/>
    <s v="T"/>
    <s v="FY25"/>
    <n v="564"/>
    <n v="441"/>
    <n v="7.020872865275142E-2"/>
    <n v="-3.2894736842105261E-2"/>
    <n v="1285"/>
    <n v="898"/>
    <n v="0.47"/>
    <n v="0.22"/>
    <n v="0.78"/>
    <n v="0.61"/>
    <n v="1"/>
    <n v="267"/>
    <d v="1899-12-30T05:51:00"/>
    <n v="5"/>
    <s v="Normal"/>
    <s v="Normal"/>
    <n v="7.020872865275142E-2"/>
    <n v="-3.2894736842105261E-2"/>
  </r>
  <r>
    <d v="2024-08-07T00:00:00"/>
    <x v="18"/>
    <s v="W"/>
    <s v="FY25"/>
    <n v="424"/>
    <n v="362"/>
    <n v="-0.28378378378378377"/>
    <n v="-0.25971370143149286"/>
    <n v="1709"/>
    <n v="1260"/>
    <n v="0.61"/>
    <n v="0.15"/>
    <n v="0.85"/>
    <n v="0.62"/>
    <n v="1"/>
    <n v="263"/>
    <d v="1899-12-30T02:50:00"/>
    <n v="4"/>
    <s v="Normal"/>
    <s v="Outlier"/>
    <n v="-0.28378378378378377"/>
    <n v="-0.25971370143149286"/>
  </r>
  <r>
    <d v="2024-08-08T00:00:00"/>
    <x v="18"/>
    <s v="R"/>
    <s v="FY25"/>
    <n v="395"/>
    <n v="350"/>
    <n v="0"/>
    <n v="0"/>
    <n v="2104"/>
    <n v="1610"/>
    <n v="0.7"/>
    <n v="0.11"/>
    <n v="0.89"/>
    <n v="0.6"/>
    <n v="1"/>
    <n v="164"/>
    <d v="1899-12-30T02:44:00"/>
    <n v="4"/>
    <s v="Normal"/>
    <s v="Normal"/>
    <n v="0"/>
    <n v="0"/>
  </r>
  <r>
    <d v="2024-08-09T00:00:00"/>
    <x v="18"/>
    <s v="F"/>
    <s v="FY25"/>
    <n v="404"/>
    <n v="342"/>
    <n v="-0.206286836935167"/>
    <n v="5.8823529411764705E-2"/>
    <n v="2508"/>
    <n v="1952"/>
    <n v="0.56999999999999995"/>
    <n v="0.15"/>
    <n v="0.85"/>
    <n v="0.59"/>
    <n v="1"/>
    <n v="362"/>
    <d v="1899-12-30T06:02:00"/>
    <n v="4"/>
    <s v="Normal"/>
    <s v="Normal"/>
    <n v="-0.206286836935167"/>
    <n v="5.8823529411764705E-2"/>
  </r>
  <r>
    <d v="2024-08-10T00:00:00"/>
    <x v="18"/>
    <s v="S"/>
    <s v="FY25"/>
    <n v="241"/>
    <n v="206"/>
    <n v="0.13679245283018868"/>
    <n v="0.53731343283582089"/>
    <n v="2749"/>
    <n v="2158"/>
    <n v="0.72"/>
    <n v="0.15"/>
    <n v="0.85"/>
    <n v="0.47"/>
    <n v="1"/>
    <n v="162"/>
    <d v="1899-12-30T02:05:00"/>
    <n v="3"/>
    <s v="Normal"/>
    <s v="Outlier"/>
    <n v="0.13679245283018868"/>
    <n v="0.53731343283582089"/>
  </r>
  <r>
    <d v="2024-08-11T00:00:00"/>
    <x v="19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12T00:00:00"/>
    <x v="20"/>
    <m/>
    <m/>
    <m/>
    <m/>
    <m/>
    <m/>
    <m/>
    <m/>
    <m/>
    <m/>
    <m/>
    <m/>
    <m/>
    <m/>
    <m/>
    <m/>
    <m/>
    <m/>
    <m/>
    <m/>
  </r>
  <r>
    <d v="2024-08-13T00:00:00"/>
    <x v="20"/>
    <m/>
    <m/>
    <m/>
    <m/>
    <m/>
    <m/>
    <m/>
    <m/>
    <m/>
    <m/>
    <m/>
    <m/>
    <m/>
    <m/>
    <m/>
    <m/>
    <m/>
    <m/>
    <m/>
    <m/>
  </r>
  <r>
    <d v="2024-08-14T00:00:00"/>
    <x v="20"/>
    <m/>
    <m/>
    <m/>
    <m/>
    <m/>
    <m/>
    <m/>
    <m/>
    <m/>
    <m/>
    <m/>
    <m/>
    <m/>
    <m/>
    <m/>
    <m/>
    <m/>
    <m/>
    <m/>
    <m/>
  </r>
  <r>
    <d v="2024-08-15T00:00:00"/>
    <x v="20"/>
    <m/>
    <m/>
    <m/>
    <m/>
    <m/>
    <m/>
    <m/>
    <m/>
    <m/>
    <m/>
    <m/>
    <m/>
    <m/>
    <m/>
    <m/>
    <m/>
    <m/>
    <m/>
    <m/>
    <m/>
  </r>
  <r>
    <d v="2024-08-16T00:00:00"/>
    <x v="20"/>
    <m/>
    <m/>
    <m/>
    <m/>
    <m/>
    <m/>
    <m/>
    <m/>
    <m/>
    <m/>
    <m/>
    <m/>
    <m/>
    <m/>
    <m/>
    <m/>
    <m/>
    <m/>
    <m/>
    <m/>
  </r>
  <r>
    <d v="2024-08-17T00:00:00"/>
    <x v="20"/>
    <m/>
    <m/>
    <m/>
    <m/>
    <m/>
    <m/>
    <m/>
    <m/>
    <m/>
    <m/>
    <m/>
    <m/>
    <m/>
    <m/>
    <m/>
    <m/>
    <m/>
    <m/>
    <m/>
    <m/>
  </r>
  <r>
    <d v="2024-08-18T00:00:00"/>
    <x v="20"/>
    <m/>
    <m/>
    <m/>
    <m/>
    <m/>
    <m/>
    <m/>
    <m/>
    <m/>
    <m/>
    <m/>
    <m/>
    <m/>
    <m/>
    <m/>
    <m/>
    <m/>
    <m/>
    <m/>
    <m/>
  </r>
  <r>
    <d v="2024-08-19T00:00:00"/>
    <x v="20"/>
    <m/>
    <m/>
    <m/>
    <m/>
    <m/>
    <m/>
    <m/>
    <m/>
    <m/>
    <m/>
    <m/>
    <m/>
    <m/>
    <m/>
    <m/>
    <m/>
    <m/>
    <m/>
    <m/>
    <m/>
  </r>
  <r>
    <d v="2024-08-20T00:00:00"/>
    <x v="20"/>
    <m/>
    <m/>
    <m/>
    <m/>
    <m/>
    <m/>
    <m/>
    <m/>
    <m/>
    <m/>
    <m/>
    <m/>
    <m/>
    <m/>
    <m/>
    <m/>
    <m/>
    <m/>
    <m/>
    <m/>
  </r>
  <r>
    <d v="2024-08-21T00:00:00"/>
    <x v="20"/>
    <m/>
    <m/>
    <m/>
    <m/>
    <m/>
    <m/>
    <m/>
    <m/>
    <m/>
    <m/>
    <m/>
    <m/>
    <m/>
    <m/>
    <m/>
    <m/>
    <m/>
    <m/>
    <m/>
    <m/>
  </r>
  <r>
    <d v="2024-08-22T00:00:00"/>
    <x v="20"/>
    <m/>
    <m/>
    <m/>
    <m/>
    <m/>
    <m/>
    <m/>
    <m/>
    <m/>
    <m/>
    <m/>
    <m/>
    <m/>
    <m/>
    <m/>
    <m/>
    <m/>
    <m/>
    <m/>
    <m/>
  </r>
  <r>
    <d v="2024-08-23T00:00:00"/>
    <x v="20"/>
    <m/>
    <m/>
    <m/>
    <m/>
    <m/>
    <m/>
    <m/>
    <m/>
    <m/>
    <m/>
    <m/>
    <m/>
    <m/>
    <m/>
    <m/>
    <m/>
    <m/>
    <m/>
    <m/>
    <m/>
  </r>
  <r>
    <d v="2024-08-24T00:00:00"/>
    <x v="20"/>
    <m/>
    <m/>
    <m/>
    <m/>
    <m/>
    <m/>
    <m/>
    <m/>
    <m/>
    <m/>
    <m/>
    <m/>
    <m/>
    <m/>
    <m/>
    <m/>
    <m/>
    <m/>
    <m/>
    <m/>
  </r>
  <r>
    <d v="2024-08-25T00:00:00"/>
    <x v="20"/>
    <m/>
    <m/>
    <m/>
    <m/>
    <m/>
    <m/>
    <m/>
    <m/>
    <m/>
    <m/>
    <m/>
    <m/>
    <m/>
    <m/>
    <m/>
    <m/>
    <m/>
    <m/>
    <m/>
    <m/>
  </r>
  <r>
    <d v="2024-08-26T00:00:00"/>
    <x v="20"/>
    <m/>
    <m/>
    <m/>
    <m/>
    <m/>
    <m/>
    <m/>
    <m/>
    <m/>
    <m/>
    <m/>
    <m/>
    <m/>
    <m/>
    <m/>
    <m/>
    <m/>
    <m/>
    <m/>
    <m/>
  </r>
  <r>
    <d v="2024-08-27T00:00:00"/>
    <x v="20"/>
    <m/>
    <m/>
    <m/>
    <m/>
    <m/>
    <m/>
    <m/>
    <m/>
    <m/>
    <m/>
    <m/>
    <m/>
    <m/>
    <m/>
    <m/>
    <m/>
    <m/>
    <m/>
    <m/>
    <m/>
  </r>
  <r>
    <d v="2024-08-28T00:00:00"/>
    <x v="20"/>
    <m/>
    <m/>
    <m/>
    <m/>
    <m/>
    <m/>
    <m/>
    <m/>
    <m/>
    <m/>
    <m/>
    <m/>
    <m/>
    <m/>
    <m/>
    <m/>
    <m/>
    <m/>
    <m/>
    <m/>
  </r>
  <r>
    <d v="2024-08-29T00:00:00"/>
    <x v="20"/>
    <m/>
    <m/>
    <m/>
    <m/>
    <m/>
    <m/>
    <m/>
    <m/>
    <m/>
    <m/>
    <m/>
    <m/>
    <m/>
    <m/>
    <m/>
    <m/>
    <m/>
    <m/>
    <m/>
    <m/>
  </r>
  <r>
    <d v="2024-08-30T00:00:00"/>
    <x v="20"/>
    <m/>
    <m/>
    <m/>
    <m/>
    <m/>
    <m/>
    <m/>
    <m/>
    <m/>
    <m/>
    <m/>
    <m/>
    <m/>
    <m/>
    <m/>
    <m/>
    <m/>
    <m/>
    <m/>
    <m/>
  </r>
  <r>
    <d v="2024-08-31T00:00:00"/>
    <x v="20"/>
    <m/>
    <m/>
    <m/>
    <m/>
    <m/>
    <m/>
    <m/>
    <m/>
    <m/>
    <m/>
    <m/>
    <m/>
    <m/>
    <m/>
    <m/>
    <m/>
    <m/>
    <m/>
    <m/>
    <m/>
  </r>
  <r>
    <d v="2024-09-01T00:00:00"/>
    <x v="20"/>
    <m/>
    <m/>
    <m/>
    <m/>
    <m/>
    <m/>
    <m/>
    <m/>
    <m/>
    <m/>
    <m/>
    <m/>
    <m/>
    <m/>
    <m/>
    <m/>
    <m/>
    <m/>
    <m/>
    <m/>
  </r>
  <r>
    <d v="2024-09-02T00:00:00"/>
    <x v="20"/>
    <m/>
    <m/>
    <m/>
    <m/>
    <m/>
    <m/>
    <m/>
    <m/>
    <m/>
    <m/>
    <m/>
    <m/>
    <m/>
    <m/>
    <m/>
    <m/>
    <m/>
    <m/>
    <m/>
    <m/>
  </r>
  <r>
    <d v="2024-09-03T00:00:00"/>
    <x v="20"/>
    <m/>
    <m/>
    <m/>
    <m/>
    <m/>
    <m/>
    <m/>
    <m/>
    <m/>
    <m/>
    <m/>
    <m/>
    <m/>
    <m/>
    <m/>
    <m/>
    <m/>
    <m/>
    <m/>
    <m/>
  </r>
  <r>
    <d v="2024-09-04T00:00:00"/>
    <x v="20"/>
    <m/>
    <m/>
    <m/>
    <m/>
    <m/>
    <m/>
    <m/>
    <m/>
    <m/>
    <m/>
    <m/>
    <m/>
    <m/>
    <m/>
    <m/>
    <m/>
    <m/>
    <m/>
    <m/>
    <m/>
  </r>
  <r>
    <d v="2024-09-05T00:00:00"/>
    <x v="20"/>
    <m/>
    <m/>
    <m/>
    <m/>
    <m/>
    <m/>
    <m/>
    <m/>
    <m/>
    <m/>
    <m/>
    <m/>
    <m/>
    <m/>
    <m/>
    <m/>
    <m/>
    <m/>
    <m/>
    <m/>
  </r>
  <r>
    <d v="2024-09-06T00:00:00"/>
    <x v="20"/>
    <m/>
    <m/>
    <m/>
    <m/>
    <m/>
    <m/>
    <m/>
    <m/>
    <m/>
    <m/>
    <m/>
    <m/>
    <m/>
    <m/>
    <m/>
    <m/>
    <m/>
    <m/>
    <m/>
    <m/>
  </r>
  <r>
    <d v="2024-09-07T00:00:00"/>
    <x v="20"/>
    <m/>
    <m/>
    <m/>
    <m/>
    <m/>
    <m/>
    <m/>
    <m/>
    <m/>
    <m/>
    <m/>
    <m/>
    <m/>
    <m/>
    <m/>
    <m/>
    <m/>
    <m/>
    <m/>
    <m/>
  </r>
  <r>
    <d v="2024-09-08T00:00:00"/>
    <x v="20"/>
    <m/>
    <m/>
    <m/>
    <m/>
    <m/>
    <m/>
    <m/>
    <m/>
    <m/>
    <m/>
    <m/>
    <m/>
    <m/>
    <m/>
    <m/>
    <m/>
    <m/>
    <m/>
    <m/>
    <m/>
  </r>
  <r>
    <d v="2024-09-09T00:00:00"/>
    <x v="20"/>
    <m/>
    <m/>
    <m/>
    <m/>
    <m/>
    <m/>
    <m/>
    <m/>
    <m/>
    <m/>
    <m/>
    <m/>
    <m/>
    <m/>
    <m/>
    <m/>
    <m/>
    <m/>
    <m/>
    <m/>
  </r>
  <r>
    <d v="2024-09-10T00:00:00"/>
    <x v="20"/>
    <m/>
    <m/>
    <m/>
    <m/>
    <m/>
    <m/>
    <m/>
    <m/>
    <m/>
    <m/>
    <m/>
    <m/>
    <m/>
    <m/>
    <m/>
    <m/>
    <m/>
    <m/>
    <m/>
    <m/>
  </r>
  <r>
    <d v="2024-09-11T00:00:00"/>
    <x v="20"/>
    <m/>
    <m/>
    <m/>
    <m/>
    <m/>
    <m/>
    <m/>
    <m/>
    <m/>
    <m/>
    <m/>
    <m/>
    <m/>
    <m/>
    <m/>
    <m/>
    <m/>
    <m/>
    <m/>
    <m/>
  </r>
  <r>
    <d v="2024-09-12T00:00:00"/>
    <x v="20"/>
    <m/>
    <m/>
    <m/>
    <m/>
    <m/>
    <m/>
    <m/>
    <m/>
    <m/>
    <m/>
    <m/>
    <m/>
    <m/>
    <m/>
    <m/>
    <m/>
    <m/>
    <m/>
    <m/>
    <m/>
  </r>
  <r>
    <d v="2024-09-13T00:00:00"/>
    <x v="20"/>
    <m/>
    <m/>
    <m/>
    <m/>
    <m/>
    <m/>
    <m/>
    <m/>
    <m/>
    <m/>
    <m/>
    <m/>
    <m/>
    <m/>
    <m/>
    <m/>
    <m/>
    <m/>
    <m/>
    <m/>
  </r>
  <r>
    <d v="2024-09-14T00:00:00"/>
    <x v="20"/>
    <m/>
    <m/>
    <m/>
    <m/>
    <m/>
    <m/>
    <m/>
    <m/>
    <m/>
    <m/>
    <m/>
    <m/>
    <m/>
    <m/>
    <m/>
    <m/>
    <m/>
    <m/>
    <m/>
    <m/>
  </r>
  <r>
    <d v="2024-09-15T00:00:00"/>
    <x v="20"/>
    <m/>
    <m/>
    <m/>
    <m/>
    <m/>
    <m/>
    <m/>
    <m/>
    <m/>
    <m/>
    <m/>
    <m/>
    <m/>
    <m/>
    <m/>
    <m/>
    <m/>
    <m/>
    <m/>
    <m/>
  </r>
  <r>
    <d v="2024-09-16T00:00:00"/>
    <x v="20"/>
    <m/>
    <m/>
    <m/>
    <m/>
    <m/>
    <m/>
    <m/>
    <m/>
    <m/>
    <m/>
    <m/>
    <m/>
    <m/>
    <m/>
    <m/>
    <m/>
    <m/>
    <m/>
    <m/>
    <m/>
  </r>
  <r>
    <d v="2024-09-17T00:00:00"/>
    <x v="20"/>
    <m/>
    <m/>
    <m/>
    <m/>
    <m/>
    <m/>
    <m/>
    <m/>
    <m/>
    <m/>
    <m/>
    <m/>
    <m/>
    <m/>
    <m/>
    <m/>
    <m/>
    <m/>
    <m/>
    <m/>
  </r>
  <r>
    <d v="2024-09-18T00:00:00"/>
    <x v="20"/>
    <m/>
    <m/>
    <m/>
    <m/>
    <m/>
    <m/>
    <m/>
    <m/>
    <m/>
    <m/>
    <m/>
    <m/>
    <m/>
    <m/>
    <m/>
    <m/>
    <m/>
    <m/>
    <m/>
    <m/>
  </r>
  <r>
    <d v="2024-09-19T00:00:00"/>
    <x v="20"/>
    <m/>
    <m/>
    <m/>
    <m/>
    <m/>
    <m/>
    <m/>
    <m/>
    <m/>
    <m/>
    <m/>
    <m/>
    <m/>
    <m/>
    <m/>
    <m/>
    <m/>
    <m/>
    <m/>
    <m/>
  </r>
  <r>
    <d v="2024-09-20T00:00:00"/>
    <x v="20"/>
    <m/>
    <m/>
    <m/>
    <m/>
    <m/>
    <m/>
    <m/>
    <m/>
    <m/>
    <m/>
    <m/>
    <m/>
    <m/>
    <m/>
    <m/>
    <m/>
    <m/>
    <m/>
    <m/>
    <m/>
  </r>
  <r>
    <d v="2024-09-21T00:00:00"/>
    <x v="20"/>
    <m/>
    <m/>
    <m/>
    <m/>
    <m/>
    <m/>
    <m/>
    <m/>
    <m/>
    <m/>
    <m/>
    <m/>
    <m/>
    <m/>
    <m/>
    <m/>
    <m/>
    <m/>
    <m/>
    <m/>
  </r>
  <r>
    <d v="2024-09-22T00:00:00"/>
    <x v="20"/>
    <m/>
    <m/>
    <m/>
    <m/>
    <m/>
    <m/>
    <m/>
    <m/>
    <m/>
    <m/>
    <m/>
    <m/>
    <m/>
    <m/>
    <m/>
    <m/>
    <m/>
    <m/>
    <m/>
    <m/>
  </r>
  <r>
    <d v="2024-09-23T00:00:00"/>
    <x v="20"/>
    <m/>
    <m/>
    <m/>
    <m/>
    <m/>
    <m/>
    <m/>
    <m/>
    <m/>
    <m/>
    <m/>
    <m/>
    <m/>
    <m/>
    <m/>
    <m/>
    <m/>
    <m/>
    <m/>
    <m/>
  </r>
  <r>
    <d v="2024-09-24T00:00:00"/>
    <x v="20"/>
    <m/>
    <m/>
    <m/>
    <m/>
    <m/>
    <m/>
    <m/>
    <m/>
    <m/>
    <m/>
    <m/>
    <m/>
    <m/>
    <m/>
    <m/>
    <m/>
    <m/>
    <m/>
    <m/>
    <m/>
  </r>
  <r>
    <d v="2024-09-25T00:00:00"/>
    <x v="20"/>
    <m/>
    <m/>
    <m/>
    <m/>
    <m/>
    <m/>
    <m/>
    <m/>
    <m/>
    <m/>
    <m/>
    <m/>
    <m/>
    <m/>
    <m/>
    <m/>
    <m/>
    <m/>
    <m/>
    <m/>
  </r>
  <r>
    <d v="2024-09-26T00:00:00"/>
    <x v="20"/>
    <m/>
    <m/>
    <m/>
    <m/>
    <m/>
    <m/>
    <m/>
    <m/>
    <m/>
    <m/>
    <m/>
    <m/>
    <m/>
    <m/>
    <m/>
    <m/>
    <m/>
    <m/>
    <m/>
    <m/>
  </r>
  <r>
    <d v="2024-09-27T00:00:00"/>
    <x v="20"/>
    <m/>
    <m/>
    <m/>
    <m/>
    <m/>
    <m/>
    <m/>
    <m/>
    <m/>
    <m/>
    <m/>
    <m/>
    <m/>
    <m/>
    <m/>
    <m/>
    <m/>
    <m/>
    <m/>
    <m/>
  </r>
  <r>
    <d v="2024-09-28T00:00:00"/>
    <x v="20"/>
    <m/>
    <m/>
    <m/>
    <m/>
    <m/>
    <m/>
    <m/>
    <m/>
    <m/>
    <m/>
    <m/>
    <m/>
    <m/>
    <m/>
    <m/>
    <m/>
    <m/>
    <m/>
    <m/>
    <m/>
  </r>
  <r>
    <d v="2024-09-29T00:00:00"/>
    <x v="20"/>
    <m/>
    <m/>
    <m/>
    <m/>
    <m/>
    <m/>
    <m/>
    <m/>
    <m/>
    <m/>
    <m/>
    <m/>
    <m/>
    <m/>
    <m/>
    <m/>
    <m/>
    <m/>
    <m/>
    <m/>
  </r>
  <r>
    <d v="2024-09-30T00:00:00"/>
    <x v="20"/>
    <m/>
    <m/>
    <m/>
    <m/>
    <m/>
    <m/>
    <m/>
    <m/>
    <m/>
    <m/>
    <m/>
    <m/>
    <m/>
    <m/>
    <m/>
    <m/>
    <m/>
    <m/>
    <m/>
    <m/>
  </r>
  <r>
    <d v="2024-10-01T00:00:00"/>
    <x v="20"/>
    <m/>
    <m/>
    <m/>
    <m/>
    <m/>
    <m/>
    <m/>
    <m/>
    <m/>
    <m/>
    <m/>
    <m/>
    <m/>
    <m/>
    <m/>
    <m/>
    <m/>
    <m/>
    <m/>
    <m/>
  </r>
  <r>
    <d v="2024-10-02T00:00:00"/>
    <x v="20"/>
    <m/>
    <m/>
    <m/>
    <m/>
    <m/>
    <m/>
    <m/>
    <m/>
    <m/>
    <m/>
    <m/>
    <m/>
    <m/>
    <m/>
    <m/>
    <m/>
    <m/>
    <m/>
    <m/>
    <m/>
  </r>
  <r>
    <d v="2024-10-03T00:00:00"/>
    <x v="20"/>
    <m/>
    <m/>
    <m/>
    <m/>
    <m/>
    <m/>
    <m/>
    <m/>
    <m/>
    <m/>
    <m/>
    <m/>
    <m/>
    <m/>
    <m/>
    <m/>
    <m/>
    <m/>
    <m/>
    <m/>
  </r>
  <r>
    <d v="2024-10-04T00:00:00"/>
    <x v="20"/>
    <m/>
    <m/>
    <m/>
    <m/>
    <m/>
    <m/>
    <m/>
    <m/>
    <m/>
    <m/>
    <m/>
    <m/>
    <m/>
    <m/>
    <m/>
    <m/>
    <m/>
    <m/>
    <m/>
    <m/>
  </r>
  <r>
    <d v="2024-10-05T00:00:00"/>
    <x v="20"/>
    <m/>
    <m/>
    <m/>
    <m/>
    <m/>
    <m/>
    <m/>
    <m/>
    <m/>
    <m/>
    <m/>
    <m/>
    <m/>
    <m/>
    <m/>
    <m/>
    <m/>
    <m/>
    <m/>
    <m/>
  </r>
  <r>
    <d v="2024-10-06T00:00:00"/>
    <x v="20"/>
    <m/>
    <m/>
    <m/>
    <m/>
    <m/>
    <m/>
    <m/>
    <m/>
    <m/>
    <m/>
    <m/>
    <m/>
    <m/>
    <m/>
    <m/>
    <m/>
    <m/>
    <m/>
    <m/>
    <m/>
  </r>
  <r>
    <d v="2024-10-07T00:00:00"/>
    <x v="20"/>
    <m/>
    <m/>
    <m/>
    <m/>
    <m/>
    <m/>
    <m/>
    <m/>
    <m/>
    <m/>
    <m/>
    <m/>
    <m/>
    <m/>
    <m/>
    <m/>
    <m/>
    <m/>
    <m/>
    <m/>
  </r>
  <r>
    <d v="2024-10-08T00:00:00"/>
    <x v="20"/>
    <m/>
    <m/>
    <m/>
    <m/>
    <m/>
    <m/>
    <m/>
    <m/>
    <m/>
    <m/>
    <m/>
    <m/>
    <m/>
    <m/>
    <m/>
    <m/>
    <m/>
    <m/>
    <m/>
    <m/>
  </r>
  <r>
    <d v="2024-10-09T00:00:00"/>
    <x v="20"/>
    <m/>
    <m/>
    <m/>
    <m/>
    <m/>
    <m/>
    <m/>
    <m/>
    <m/>
    <m/>
    <m/>
    <m/>
    <m/>
    <m/>
    <m/>
    <m/>
    <m/>
    <m/>
    <m/>
    <m/>
  </r>
  <r>
    <d v="2024-10-10T00:00:00"/>
    <x v="20"/>
    <m/>
    <m/>
    <m/>
    <m/>
    <m/>
    <m/>
    <m/>
    <m/>
    <m/>
    <m/>
    <m/>
    <m/>
    <m/>
    <m/>
    <m/>
    <m/>
    <m/>
    <m/>
    <m/>
    <m/>
  </r>
  <r>
    <d v="2024-10-11T00:00:00"/>
    <x v="20"/>
    <m/>
    <m/>
    <m/>
    <m/>
    <m/>
    <m/>
    <m/>
    <m/>
    <m/>
    <m/>
    <m/>
    <m/>
    <m/>
    <m/>
    <m/>
    <m/>
    <m/>
    <m/>
    <m/>
    <m/>
  </r>
  <r>
    <d v="2024-10-12T00:00:00"/>
    <x v="20"/>
    <m/>
    <m/>
    <m/>
    <m/>
    <m/>
    <m/>
    <m/>
    <m/>
    <m/>
    <m/>
    <m/>
    <m/>
    <m/>
    <m/>
    <m/>
    <m/>
    <m/>
    <m/>
    <m/>
    <m/>
  </r>
  <r>
    <d v="2024-10-13T00:00:00"/>
    <x v="20"/>
    <m/>
    <m/>
    <m/>
    <m/>
    <m/>
    <m/>
    <m/>
    <m/>
    <m/>
    <m/>
    <m/>
    <m/>
    <m/>
    <m/>
    <m/>
    <m/>
    <m/>
    <m/>
    <m/>
    <m/>
  </r>
  <r>
    <d v="2024-10-14T00:00:00"/>
    <x v="20"/>
    <m/>
    <m/>
    <m/>
    <m/>
    <m/>
    <m/>
    <m/>
    <m/>
    <m/>
    <m/>
    <m/>
    <m/>
    <m/>
    <m/>
    <m/>
    <m/>
    <m/>
    <m/>
    <m/>
    <m/>
  </r>
  <r>
    <d v="2024-10-15T00:00:00"/>
    <x v="20"/>
    <m/>
    <m/>
    <m/>
    <m/>
    <m/>
    <m/>
    <m/>
    <m/>
    <m/>
    <m/>
    <m/>
    <m/>
    <m/>
    <m/>
    <m/>
    <m/>
    <m/>
    <m/>
    <m/>
    <m/>
  </r>
  <r>
    <d v="2024-10-16T00:00:00"/>
    <x v="20"/>
    <m/>
    <m/>
    <m/>
    <m/>
    <m/>
    <m/>
    <m/>
    <m/>
    <m/>
    <m/>
    <m/>
    <m/>
    <m/>
    <m/>
    <m/>
    <m/>
    <m/>
    <m/>
    <m/>
    <m/>
  </r>
  <r>
    <d v="2024-10-17T00:00:00"/>
    <x v="20"/>
    <m/>
    <m/>
    <m/>
    <m/>
    <m/>
    <m/>
    <m/>
    <m/>
    <m/>
    <m/>
    <m/>
    <m/>
    <m/>
    <m/>
    <m/>
    <m/>
    <m/>
    <m/>
    <m/>
    <m/>
  </r>
  <r>
    <d v="2024-10-18T00:00:00"/>
    <x v="20"/>
    <m/>
    <m/>
    <m/>
    <m/>
    <m/>
    <m/>
    <m/>
    <m/>
    <m/>
    <m/>
    <m/>
    <m/>
    <m/>
    <m/>
    <m/>
    <m/>
    <m/>
    <m/>
    <m/>
    <m/>
  </r>
  <r>
    <d v="2024-10-19T00:00:00"/>
    <x v="20"/>
    <m/>
    <m/>
    <m/>
    <m/>
    <m/>
    <m/>
    <m/>
    <m/>
    <m/>
    <m/>
    <m/>
    <m/>
    <m/>
    <m/>
    <m/>
    <m/>
    <m/>
    <m/>
    <m/>
    <m/>
  </r>
  <r>
    <d v="2024-10-20T00:00:00"/>
    <x v="20"/>
    <m/>
    <m/>
    <m/>
    <m/>
    <m/>
    <m/>
    <m/>
    <m/>
    <m/>
    <m/>
    <m/>
    <m/>
    <m/>
    <m/>
    <m/>
    <m/>
    <m/>
    <m/>
    <m/>
    <m/>
  </r>
  <r>
    <d v="2024-10-21T00:00:00"/>
    <x v="20"/>
    <m/>
    <m/>
    <m/>
    <m/>
    <m/>
    <m/>
    <m/>
    <m/>
    <m/>
    <m/>
    <m/>
    <m/>
    <m/>
    <m/>
    <m/>
    <m/>
    <m/>
    <m/>
    <m/>
    <m/>
  </r>
  <r>
    <d v="2024-10-22T00:00:00"/>
    <x v="20"/>
    <m/>
    <m/>
    <m/>
    <m/>
    <m/>
    <m/>
    <m/>
    <m/>
    <m/>
    <m/>
    <m/>
    <m/>
    <m/>
    <m/>
    <m/>
    <m/>
    <m/>
    <m/>
    <m/>
    <m/>
  </r>
  <r>
    <d v="2024-10-23T00:00:00"/>
    <x v="20"/>
    <m/>
    <m/>
    <m/>
    <m/>
    <m/>
    <m/>
    <m/>
    <m/>
    <m/>
    <m/>
    <m/>
    <m/>
    <m/>
    <m/>
    <m/>
    <m/>
    <m/>
    <m/>
    <m/>
    <m/>
  </r>
  <r>
    <d v="2024-10-24T00:00:00"/>
    <x v="20"/>
    <m/>
    <m/>
    <m/>
    <m/>
    <m/>
    <m/>
    <m/>
    <m/>
    <m/>
    <m/>
    <m/>
    <m/>
    <m/>
    <m/>
    <m/>
    <m/>
    <m/>
    <m/>
    <m/>
    <m/>
  </r>
  <r>
    <d v="2024-10-25T00:00:00"/>
    <x v="20"/>
    <m/>
    <m/>
    <m/>
    <m/>
    <m/>
    <m/>
    <m/>
    <m/>
    <m/>
    <m/>
    <m/>
    <m/>
    <m/>
    <m/>
    <m/>
    <m/>
    <m/>
    <m/>
    <m/>
    <m/>
  </r>
  <r>
    <d v="2024-10-26T00:00:00"/>
    <x v="20"/>
    <m/>
    <m/>
    <m/>
    <m/>
    <m/>
    <m/>
    <m/>
    <m/>
    <m/>
    <m/>
    <m/>
    <m/>
    <m/>
    <m/>
    <m/>
    <m/>
    <m/>
    <m/>
    <m/>
    <m/>
  </r>
  <r>
    <d v="2024-10-27T00:00:00"/>
    <x v="20"/>
    <m/>
    <m/>
    <m/>
    <m/>
    <m/>
    <m/>
    <m/>
    <m/>
    <m/>
    <m/>
    <m/>
    <m/>
    <m/>
    <m/>
    <m/>
    <m/>
    <m/>
    <m/>
    <m/>
    <m/>
  </r>
  <r>
    <d v="2024-10-28T00:00:00"/>
    <x v="20"/>
    <m/>
    <m/>
    <m/>
    <m/>
    <m/>
    <m/>
    <m/>
    <m/>
    <m/>
    <m/>
    <m/>
    <m/>
    <m/>
    <m/>
    <m/>
    <m/>
    <m/>
    <m/>
    <m/>
    <m/>
  </r>
  <r>
    <d v="2024-10-29T00:00:00"/>
    <x v="20"/>
    <m/>
    <m/>
    <m/>
    <m/>
    <m/>
    <m/>
    <m/>
    <m/>
    <m/>
    <m/>
    <m/>
    <m/>
    <m/>
    <m/>
    <m/>
    <m/>
    <m/>
    <m/>
    <m/>
    <m/>
  </r>
  <r>
    <d v="2024-10-30T00:00:00"/>
    <x v="20"/>
    <m/>
    <m/>
    <m/>
    <m/>
    <m/>
    <m/>
    <m/>
    <m/>
    <m/>
    <m/>
    <m/>
    <m/>
    <m/>
    <m/>
    <m/>
    <m/>
    <m/>
    <m/>
    <m/>
    <m/>
  </r>
  <r>
    <d v="2024-10-31T00:00:00"/>
    <x v="20"/>
    <m/>
    <m/>
    <m/>
    <m/>
    <m/>
    <m/>
    <m/>
    <m/>
    <m/>
    <m/>
    <m/>
    <m/>
    <m/>
    <m/>
    <m/>
    <m/>
    <m/>
    <m/>
    <m/>
    <m/>
  </r>
  <r>
    <d v="2024-11-01T00:00:00"/>
    <x v="20"/>
    <m/>
    <m/>
    <m/>
    <m/>
    <m/>
    <m/>
    <m/>
    <m/>
    <m/>
    <m/>
    <m/>
    <m/>
    <m/>
    <m/>
    <m/>
    <m/>
    <m/>
    <m/>
    <m/>
    <m/>
  </r>
  <r>
    <d v="2024-11-02T00:00:00"/>
    <x v="20"/>
    <m/>
    <m/>
    <m/>
    <m/>
    <m/>
    <m/>
    <m/>
    <m/>
    <m/>
    <m/>
    <m/>
    <m/>
    <m/>
    <m/>
    <m/>
    <m/>
    <m/>
    <m/>
    <m/>
    <m/>
  </r>
  <r>
    <d v="2024-11-03T00:00:00"/>
    <x v="20"/>
    <m/>
    <m/>
    <m/>
    <m/>
    <m/>
    <m/>
    <m/>
    <m/>
    <m/>
    <m/>
    <m/>
    <m/>
    <m/>
    <m/>
    <m/>
    <m/>
    <m/>
    <m/>
    <m/>
    <m/>
  </r>
  <r>
    <d v="2024-11-04T00:00:00"/>
    <x v="20"/>
    <m/>
    <m/>
    <m/>
    <m/>
    <m/>
    <m/>
    <m/>
    <m/>
    <m/>
    <m/>
    <m/>
    <m/>
    <m/>
    <m/>
    <m/>
    <m/>
    <m/>
    <m/>
    <m/>
    <m/>
  </r>
  <r>
    <d v="2024-11-05T00:00:00"/>
    <x v="20"/>
    <m/>
    <m/>
    <m/>
    <m/>
    <m/>
    <m/>
    <m/>
    <m/>
    <m/>
    <m/>
    <m/>
    <m/>
    <m/>
    <m/>
    <m/>
    <m/>
    <m/>
    <m/>
    <m/>
    <m/>
  </r>
  <r>
    <d v="2024-11-06T00:00:00"/>
    <x v="20"/>
    <m/>
    <m/>
    <m/>
    <m/>
    <m/>
    <m/>
    <m/>
    <m/>
    <m/>
    <m/>
    <m/>
    <m/>
    <m/>
    <m/>
    <m/>
    <m/>
    <m/>
    <m/>
    <m/>
    <m/>
  </r>
  <r>
    <d v="2024-11-07T00:00:00"/>
    <x v="20"/>
    <m/>
    <m/>
    <m/>
    <m/>
    <m/>
    <m/>
    <m/>
    <m/>
    <m/>
    <m/>
    <m/>
    <m/>
    <m/>
    <m/>
    <m/>
    <m/>
    <m/>
    <m/>
    <m/>
    <m/>
  </r>
  <r>
    <d v="2024-11-08T00:00:00"/>
    <x v="20"/>
    <m/>
    <m/>
    <m/>
    <m/>
    <m/>
    <m/>
    <m/>
    <m/>
    <m/>
    <m/>
    <m/>
    <m/>
    <m/>
    <m/>
    <m/>
    <m/>
    <m/>
    <m/>
    <m/>
    <m/>
  </r>
  <r>
    <d v="2024-11-09T00:00:00"/>
    <x v="20"/>
    <m/>
    <m/>
    <m/>
    <m/>
    <m/>
    <m/>
    <m/>
    <m/>
    <m/>
    <m/>
    <m/>
    <m/>
    <m/>
    <m/>
    <m/>
    <m/>
    <m/>
    <m/>
    <m/>
    <m/>
  </r>
  <r>
    <d v="2024-11-10T00:00:00"/>
    <x v="20"/>
    <m/>
    <m/>
    <m/>
    <m/>
    <m/>
    <m/>
    <m/>
    <m/>
    <m/>
    <m/>
    <m/>
    <m/>
    <m/>
    <m/>
    <m/>
    <m/>
    <m/>
    <m/>
    <m/>
    <m/>
  </r>
  <r>
    <d v="2024-11-11T00:00:00"/>
    <x v="20"/>
    <m/>
    <m/>
    <m/>
    <m/>
    <m/>
    <m/>
    <m/>
    <m/>
    <m/>
    <m/>
    <m/>
    <m/>
    <m/>
    <m/>
    <m/>
    <m/>
    <m/>
    <m/>
    <m/>
    <m/>
  </r>
  <r>
    <d v="2024-11-12T00:00:00"/>
    <x v="20"/>
    <m/>
    <m/>
    <m/>
    <m/>
    <m/>
    <m/>
    <m/>
    <m/>
    <m/>
    <m/>
    <m/>
    <m/>
    <m/>
    <m/>
    <m/>
    <m/>
    <m/>
    <m/>
    <m/>
    <m/>
  </r>
  <r>
    <d v="2024-11-13T00:00:00"/>
    <x v="20"/>
    <m/>
    <m/>
    <m/>
    <m/>
    <m/>
    <m/>
    <m/>
    <m/>
    <m/>
    <m/>
    <m/>
    <m/>
    <m/>
    <m/>
    <m/>
    <m/>
    <m/>
    <m/>
    <m/>
    <m/>
  </r>
  <r>
    <d v="2024-11-14T00:00:00"/>
    <x v="20"/>
    <m/>
    <m/>
    <m/>
    <m/>
    <m/>
    <m/>
    <m/>
    <m/>
    <m/>
    <m/>
    <m/>
    <m/>
    <m/>
    <m/>
    <m/>
    <m/>
    <m/>
    <m/>
    <m/>
    <m/>
  </r>
  <r>
    <d v="2024-11-15T00:00:00"/>
    <x v="20"/>
    <m/>
    <m/>
    <m/>
    <m/>
    <m/>
    <m/>
    <m/>
    <m/>
    <m/>
    <m/>
    <m/>
    <m/>
    <m/>
    <m/>
    <m/>
    <m/>
    <m/>
    <m/>
    <m/>
    <m/>
  </r>
  <r>
    <d v="2024-11-16T00:00:00"/>
    <x v="20"/>
    <m/>
    <m/>
    <m/>
    <m/>
    <m/>
    <m/>
    <m/>
    <m/>
    <m/>
    <m/>
    <m/>
    <m/>
    <m/>
    <m/>
    <m/>
    <m/>
    <m/>
    <m/>
    <m/>
    <m/>
  </r>
  <r>
    <d v="2024-11-17T00:00:00"/>
    <x v="20"/>
    <m/>
    <m/>
    <m/>
    <m/>
    <m/>
    <m/>
    <m/>
    <m/>
    <m/>
    <m/>
    <m/>
    <m/>
    <m/>
    <m/>
    <m/>
    <m/>
    <m/>
    <m/>
    <m/>
    <m/>
  </r>
  <r>
    <d v="2024-11-18T00:00:00"/>
    <x v="20"/>
    <m/>
    <m/>
    <m/>
    <m/>
    <m/>
    <m/>
    <m/>
    <m/>
    <m/>
    <m/>
    <m/>
    <m/>
    <m/>
    <m/>
    <m/>
    <m/>
    <m/>
    <m/>
    <m/>
    <m/>
  </r>
  <r>
    <d v="2024-11-19T00:00:00"/>
    <x v="20"/>
    <m/>
    <m/>
    <m/>
    <m/>
    <m/>
    <m/>
    <m/>
    <m/>
    <m/>
    <m/>
    <m/>
    <m/>
    <m/>
    <m/>
    <m/>
    <m/>
    <m/>
    <m/>
    <m/>
    <m/>
  </r>
  <r>
    <d v="2024-11-20T00:00:00"/>
    <x v="20"/>
    <m/>
    <m/>
    <m/>
    <m/>
    <m/>
    <m/>
    <m/>
    <m/>
    <m/>
    <m/>
    <m/>
    <m/>
    <m/>
    <m/>
    <m/>
    <m/>
    <m/>
    <m/>
    <m/>
    <m/>
  </r>
  <r>
    <d v="2024-11-21T00:00:00"/>
    <x v="20"/>
    <m/>
    <m/>
    <m/>
    <m/>
    <m/>
    <m/>
    <m/>
    <m/>
    <m/>
    <m/>
    <m/>
    <m/>
    <m/>
    <m/>
    <m/>
    <m/>
    <m/>
    <m/>
    <m/>
    <m/>
  </r>
  <r>
    <d v="2024-11-22T00:00:00"/>
    <x v="20"/>
    <m/>
    <m/>
    <m/>
    <m/>
    <m/>
    <m/>
    <m/>
    <m/>
    <m/>
    <m/>
    <m/>
    <m/>
    <m/>
    <m/>
    <m/>
    <m/>
    <m/>
    <m/>
    <m/>
    <m/>
  </r>
  <r>
    <d v="2024-11-23T00:00:00"/>
    <x v="20"/>
    <m/>
    <m/>
    <m/>
    <m/>
    <m/>
    <m/>
    <m/>
    <m/>
    <m/>
    <m/>
    <m/>
    <m/>
    <m/>
    <m/>
    <m/>
    <m/>
    <m/>
    <m/>
    <m/>
    <m/>
  </r>
  <r>
    <d v="2024-11-24T00:00:00"/>
    <x v="20"/>
    <m/>
    <m/>
    <m/>
    <m/>
    <m/>
    <m/>
    <m/>
    <m/>
    <m/>
    <m/>
    <m/>
    <m/>
    <m/>
    <m/>
    <m/>
    <m/>
    <m/>
    <m/>
    <m/>
    <m/>
  </r>
  <r>
    <d v="2024-11-25T00:00:00"/>
    <x v="20"/>
    <m/>
    <m/>
    <m/>
    <m/>
    <m/>
    <m/>
    <m/>
    <m/>
    <m/>
    <m/>
    <m/>
    <m/>
    <m/>
    <m/>
    <m/>
    <m/>
    <m/>
    <m/>
    <m/>
    <m/>
  </r>
  <r>
    <d v="2024-11-26T00:00:00"/>
    <x v="20"/>
    <m/>
    <m/>
    <m/>
    <m/>
    <m/>
    <m/>
    <m/>
    <m/>
    <m/>
    <m/>
    <m/>
    <m/>
    <m/>
    <m/>
    <m/>
    <m/>
    <m/>
    <m/>
    <m/>
    <m/>
  </r>
  <r>
    <d v="2024-11-27T00:00:00"/>
    <x v="20"/>
    <m/>
    <m/>
    <m/>
    <m/>
    <m/>
    <m/>
    <m/>
    <m/>
    <m/>
    <m/>
    <m/>
    <m/>
    <m/>
    <m/>
    <m/>
    <m/>
    <m/>
    <m/>
    <m/>
    <m/>
  </r>
  <r>
    <d v="2024-11-28T00:00:00"/>
    <x v="20"/>
    <m/>
    <m/>
    <m/>
    <m/>
    <m/>
    <m/>
    <m/>
    <m/>
    <m/>
    <m/>
    <m/>
    <m/>
    <m/>
    <m/>
    <m/>
    <m/>
    <m/>
    <m/>
    <m/>
    <m/>
  </r>
  <r>
    <d v="2024-11-29T00:00:00"/>
    <x v="20"/>
    <m/>
    <m/>
    <m/>
    <m/>
    <m/>
    <m/>
    <m/>
    <m/>
    <m/>
    <m/>
    <m/>
    <m/>
    <m/>
    <m/>
    <m/>
    <m/>
    <m/>
    <m/>
    <m/>
    <m/>
  </r>
  <r>
    <d v="2024-11-30T00:00:00"/>
    <x v="20"/>
    <m/>
    <m/>
    <m/>
    <m/>
    <m/>
    <m/>
    <m/>
    <m/>
    <m/>
    <m/>
    <m/>
    <m/>
    <m/>
    <m/>
    <m/>
    <m/>
    <m/>
    <m/>
    <m/>
    <m/>
  </r>
  <r>
    <d v="2024-12-01T00:00:00"/>
    <x v="20"/>
    <m/>
    <m/>
    <m/>
    <m/>
    <m/>
    <m/>
    <m/>
    <m/>
    <m/>
    <m/>
    <m/>
    <m/>
    <m/>
    <m/>
    <m/>
    <m/>
    <m/>
    <m/>
    <m/>
    <m/>
  </r>
  <r>
    <d v="2024-12-02T00:00:00"/>
    <x v="20"/>
    <m/>
    <m/>
    <m/>
    <m/>
    <m/>
    <m/>
    <m/>
    <m/>
    <m/>
    <m/>
    <m/>
    <m/>
    <m/>
    <m/>
    <m/>
    <m/>
    <m/>
    <m/>
    <m/>
    <m/>
  </r>
  <r>
    <d v="2024-12-03T00:00:00"/>
    <x v="20"/>
    <m/>
    <m/>
    <m/>
    <m/>
    <m/>
    <m/>
    <m/>
    <m/>
    <m/>
    <m/>
    <m/>
    <m/>
    <m/>
    <m/>
    <m/>
    <m/>
    <m/>
    <m/>
    <m/>
    <m/>
  </r>
  <r>
    <d v="2024-12-04T00:00:00"/>
    <x v="20"/>
    <m/>
    <m/>
    <m/>
    <m/>
    <m/>
    <m/>
    <m/>
    <m/>
    <m/>
    <m/>
    <m/>
    <m/>
    <m/>
    <m/>
    <m/>
    <m/>
    <m/>
    <m/>
    <m/>
    <m/>
  </r>
  <r>
    <d v="2024-12-05T00:00:00"/>
    <x v="20"/>
    <m/>
    <m/>
    <m/>
    <m/>
    <m/>
    <m/>
    <m/>
    <m/>
    <m/>
    <m/>
    <m/>
    <m/>
    <m/>
    <m/>
    <m/>
    <m/>
    <m/>
    <m/>
    <m/>
    <m/>
  </r>
  <r>
    <d v="2024-12-06T00:00:00"/>
    <x v="20"/>
    <m/>
    <m/>
    <m/>
    <m/>
    <m/>
    <m/>
    <m/>
    <m/>
    <m/>
    <m/>
    <m/>
    <m/>
    <m/>
    <m/>
    <m/>
    <m/>
    <m/>
    <m/>
    <m/>
    <m/>
  </r>
  <r>
    <d v="2024-12-07T00:00:00"/>
    <x v="20"/>
    <m/>
    <m/>
    <m/>
    <m/>
    <m/>
    <m/>
    <m/>
    <m/>
    <m/>
    <m/>
    <m/>
    <m/>
    <m/>
    <m/>
    <m/>
    <m/>
    <m/>
    <m/>
    <m/>
    <m/>
  </r>
  <r>
    <d v="2024-12-08T00:00:00"/>
    <x v="20"/>
    <m/>
    <m/>
    <m/>
    <m/>
    <m/>
    <m/>
    <m/>
    <m/>
    <m/>
    <m/>
    <m/>
    <m/>
    <m/>
    <m/>
    <m/>
    <m/>
    <m/>
    <m/>
    <m/>
    <m/>
  </r>
  <r>
    <d v="2024-12-09T00:00:00"/>
    <x v="20"/>
    <m/>
    <m/>
    <m/>
    <m/>
    <m/>
    <m/>
    <m/>
    <m/>
    <m/>
    <m/>
    <m/>
    <m/>
    <m/>
    <m/>
    <m/>
    <m/>
    <m/>
    <m/>
    <m/>
    <m/>
  </r>
  <r>
    <d v="2024-12-10T00:00:00"/>
    <x v="20"/>
    <m/>
    <m/>
    <m/>
    <m/>
    <m/>
    <m/>
    <m/>
    <m/>
    <m/>
    <m/>
    <m/>
    <m/>
    <m/>
    <m/>
    <m/>
    <m/>
    <m/>
    <m/>
    <m/>
    <m/>
  </r>
  <r>
    <d v="2024-12-11T00:00:00"/>
    <x v="20"/>
    <m/>
    <m/>
    <m/>
    <m/>
    <m/>
    <m/>
    <m/>
    <m/>
    <m/>
    <m/>
    <m/>
    <m/>
    <m/>
    <m/>
    <m/>
    <m/>
    <m/>
    <m/>
    <m/>
    <m/>
  </r>
  <r>
    <d v="2024-12-12T00:00:00"/>
    <x v="20"/>
    <m/>
    <m/>
    <m/>
    <m/>
    <m/>
    <m/>
    <m/>
    <m/>
    <m/>
    <m/>
    <m/>
    <m/>
    <m/>
    <m/>
    <m/>
    <m/>
    <m/>
    <m/>
    <m/>
    <m/>
  </r>
  <r>
    <d v="2024-12-13T00:00:00"/>
    <x v="20"/>
    <m/>
    <m/>
    <m/>
    <m/>
    <m/>
    <m/>
    <m/>
    <m/>
    <m/>
    <m/>
    <m/>
    <m/>
    <m/>
    <m/>
    <m/>
    <m/>
    <m/>
    <m/>
    <m/>
    <m/>
  </r>
  <r>
    <d v="2024-12-14T00:00:00"/>
    <x v="20"/>
    <m/>
    <m/>
    <m/>
    <m/>
    <m/>
    <m/>
    <m/>
    <m/>
    <m/>
    <m/>
    <m/>
    <m/>
    <m/>
    <m/>
    <m/>
    <m/>
    <m/>
    <m/>
    <m/>
    <m/>
  </r>
  <r>
    <d v="2024-12-15T00:00:00"/>
    <x v="20"/>
    <m/>
    <m/>
    <m/>
    <m/>
    <m/>
    <m/>
    <m/>
    <m/>
    <m/>
    <m/>
    <m/>
    <m/>
    <m/>
    <m/>
    <m/>
    <m/>
    <m/>
    <m/>
    <m/>
    <m/>
  </r>
  <r>
    <d v="2024-12-16T00:00:00"/>
    <x v="20"/>
    <m/>
    <m/>
    <m/>
    <m/>
    <m/>
    <m/>
    <m/>
    <m/>
    <m/>
    <m/>
    <m/>
    <m/>
    <m/>
    <m/>
    <m/>
    <m/>
    <m/>
    <m/>
    <m/>
    <m/>
  </r>
  <r>
    <d v="2024-12-17T00:00:00"/>
    <x v="20"/>
    <m/>
    <m/>
    <m/>
    <m/>
    <m/>
    <m/>
    <m/>
    <m/>
    <m/>
    <m/>
    <m/>
    <m/>
    <m/>
    <m/>
    <m/>
    <m/>
    <m/>
    <m/>
    <m/>
    <m/>
  </r>
  <r>
    <d v="2024-12-18T00:00:00"/>
    <x v="20"/>
    <m/>
    <m/>
    <m/>
    <m/>
    <m/>
    <m/>
    <m/>
    <m/>
    <m/>
    <m/>
    <m/>
    <m/>
    <m/>
    <m/>
    <m/>
    <m/>
    <m/>
    <m/>
    <m/>
    <m/>
  </r>
  <r>
    <d v="2024-12-19T00:00:00"/>
    <x v="20"/>
    <m/>
    <m/>
    <m/>
    <m/>
    <m/>
    <m/>
    <m/>
    <m/>
    <m/>
    <m/>
    <m/>
    <m/>
    <m/>
    <m/>
    <m/>
    <m/>
    <m/>
    <m/>
    <m/>
    <m/>
  </r>
  <r>
    <d v="2024-12-20T00:00:00"/>
    <x v="20"/>
    <m/>
    <m/>
    <m/>
    <m/>
    <m/>
    <m/>
    <m/>
    <m/>
    <m/>
    <m/>
    <m/>
    <m/>
    <m/>
    <m/>
    <m/>
    <m/>
    <m/>
    <m/>
    <m/>
    <m/>
  </r>
  <r>
    <d v="2024-12-21T00:00:00"/>
    <x v="20"/>
    <m/>
    <m/>
    <m/>
    <m/>
    <m/>
    <m/>
    <m/>
    <m/>
    <m/>
    <m/>
    <m/>
    <m/>
    <m/>
    <m/>
    <m/>
    <m/>
    <m/>
    <m/>
    <m/>
    <m/>
  </r>
  <r>
    <d v="2024-12-22T00:00:00"/>
    <x v="20"/>
    <m/>
    <m/>
    <m/>
    <m/>
    <m/>
    <m/>
    <m/>
    <m/>
    <m/>
    <m/>
    <m/>
    <m/>
    <m/>
    <m/>
    <m/>
    <m/>
    <m/>
    <m/>
    <m/>
    <m/>
  </r>
  <r>
    <d v="2024-12-23T00:00:00"/>
    <x v="20"/>
    <m/>
    <m/>
    <m/>
    <m/>
    <m/>
    <m/>
    <m/>
    <m/>
    <m/>
    <m/>
    <m/>
    <m/>
    <m/>
    <m/>
    <m/>
    <m/>
    <m/>
    <m/>
    <m/>
    <m/>
  </r>
  <r>
    <d v="2024-12-24T00:00:00"/>
    <x v="20"/>
    <m/>
    <m/>
    <m/>
    <m/>
    <m/>
    <m/>
    <m/>
    <m/>
    <m/>
    <m/>
    <m/>
    <m/>
    <m/>
    <m/>
    <m/>
    <m/>
    <m/>
    <m/>
    <m/>
    <m/>
  </r>
  <r>
    <d v="2024-12-25T00:00:00"/>
    <x v="20"/>
    <m/>
    <m/>
    <m/>
    <m/>
    <m/>
    <m/>
    <m/>
    <m/>
    <m/>
    <m/>
    <m/>
    <m/>
    <m/>
    <m/>
    <m/>
    <m/>
    <m/>
    <m/>
    <m/>
    <m/>
  </r>
  <r>
    <d v="2024-12-26T00:00:00"/>
    <x v="20"/>
    <m/>
    <m/>
    <m/>
    <m/>
    <m/>
    <m/>
    <m/>
    <m/>
    <m/>
    <m/>
    <m/>
    <m/>
    <m/>
    <m/>
    <m/>
    <m/>
    <m/>
    <m/>
    <m/>
    <m/>
  </r>
  <r>
    <d v="2024-12-27T00:00:00"/>
    <x v="20"/>
    <m/>
    <m/>
    <m/>
    <m/>
    <m/>
    <m/>
    <m/>
    <m/>
    <m/>
    <m/>
    <m/>
    <m/>
    <m/>
    <m/>
    <m/>
    <m/>
    <m/>
    <m/>
    <m/>
    <m/>
  </r>
  <r>
    <d v="2024-12-28T00:00:00"/>
    <x v="20"/>
    <m/>
    <m/>
    <m/>
    <m/>
    <m/>
    <m/>
    <m/>
    <m/>
    <m/>
    <m/>
    <m/>
    <m/>
    <m/>
    <m/>
    <m/>
    <m/>
    <m/>
    <m/>
    <m/>
    <m/>
  </r>
  <r>
    <d v="2024-12-29T00:00:00"/>
    <x v="20"/>
    <m/>
    <m/>
    <m/>
    <m/>
    <m/>
    <m/>
    <m/>
    <m/>
    <m/>
    <m/>
    <m/>
    <m/>
    <m/>
    <m/>
    <m/>
    <m/>
    <m/>
    <m/>
    <m/>
    <m/>
  </r>
  <r>
    <d v="2024-12-30T00:00:00"/>
    <x v="20"/>
    <m/>
    <m/>
    <m/>
    <m/>
    <m/>
    <m/>
    <m/>
    <m/>
    <m/>
    <m/>
    <m/>
    <m/>
    <m/>
    <m/>
    <m/>
    <m/>
    <m/>
    <m/>
    <m/>
    <m/>
  </r>
  <r>
    <d v="2024-12-31T00:00:00"/>
    <x v="20"/>
    <m/>
    <m/>
    <m/>
    <m/>
    <m/>
    <m/>
    <m/>
    <m/>
    <m/>
    <m/>
    <m/>
    <m/>
    <m/>
    <m/>
    <m/>
    <m/>
    <m/>
    <m/>
    <m/>
    <m/>
  </r>
  <r>
    <d v="2025-01-01T00:00:00"/>
    <x v="20"/>
    <m/>
    <m/>
    <m/>
    <m/>
    <m/>
    <m/>
    <m/>
    <m/>
    <m/>
    <m/>
    <m/>
    <m/>
    <m/>
    <m/>
    <m/>
    <m/>
    <m/>
    <m/>
    <m/>
    <m/>
  </r>
  <r>
    <d v="2025-01-02T00:00:00"/>
    <x v="20"/>
    <m/>
    <m/>
    <m/>
    <m/>
    <m/>
    <m/>
    <m/>
    <m/>
    <m/>
    <m/>
    <m/>
    <m/>
    <m/>
    <m/>
    <m/>
    <m/>
    <m/>
    <m/>
    <m/>
    <m/>
  </r>
  <r>
    <d v="2025-01-03T00:00:00"/>
    <x v="20"/>
    <m/>
    <m/>
    <m/>
    <m/>
    <m/>
    <m/>
    <m/>
    <m/>
    <m/>
    <m/>
    <m/>
    <m/>
    <m/>
    <m/>
    <m/>
    <m/>
    <m/>
    <m/>
    <m/>
    <m/>
  </r>
  <r>
    <d v="2025-01-04T00:00:00"/>
    <x v="20"/>
    <m/>
    <m/>
    <m/>
    <m/>
    <m/>
    <m/>
    <m/>
    <m/>
    <m/>
    <m/>
    <m/>
    <m/>
    <m/>
    <m/>
    <m/>
    <m/>
    <m/>
    <m/>
    <m/>
    <m/>
  </r>
  <r>
    <d v="2025-01-05T00:00:00"/>
    <x v="20"/>
    <m/>
    <m/>
    <m/>
    <m/>
    <m/>
    <m/>
    <m/>
    <m/>
    <m/>
    <m/>
    <m/>
    <m/>
    <m/>
    <m/>
    <m/>
    <m/>
    <m/>
    <m/>
    <m/>
    <m/>
  </r>
  <r>
    <d v="2025-01-06T00:00:00"/>
    <x v="20"/>
    <m/>
    <m/>
    <m/>
    <m/>
    <m/>
    <m/>
    <m/>
    <m/>
    <m/>
    <m/>
    <m/>
    <m/>
    <m/>
    <m/>
    <m/>
    <m/>
    <m/>
    <m/>
    <m/>
    <m/>
  </r>
  <r>
    <d v="2025-01-07T00:00:00"/>
    <x v="20"/>
    <m/>
    <m/>
    <m/>
    <m/>
    <m/>
    <m/>
    <m/>
    <m/>
    <m/>
    <m/>
    <m/>
    <m/>
    <m/>
    <m/>
    <m/>
    <m/>
    <m/>
    <m/>
    <m/>
    <m/>
  </r>
  <r>
    <d v="2025-01-08T00:00:00"/>
    <x v="20"/>
    <m/>
    <m/>
    <m/>
    <m/>
    <m/>
    <m/>
    <m/>
    <m/>
    <m/>
    <m/>
    <m/>
    <m/>
    <m/>
    <m/>
    <m/>
    <m/>
    <m/>
    <m/>
    <m/>
    <m/>
  </r>
  <r>
    <d v="2025-01-09T00:00:00"/>
    <x v="20"/>
    <m/>
    <m/>
    <m/>
    <m/>
    <m/>
    <m/>
    <m/>
    <m/>
    <m/>
    <m/>
    <m/>
    <m/>
    <m/>
    <m/>
    <m/>
    <m/>
    <m/>
    <m/>
    <m/>
    <m/>
  </r>
  <r>
    <d v="2025-01-10T00:00:00"/>
    <x v="20"/>
    <m/>
    <m/>
    <m/>
    <m/>
    <m/>
    <m/>
    <m/>
    <m/>
    <m/>
    <m/>
    <m/>
    <m/>
    <m/>
    <m/>
    <m/>
    <m/>
    <m/>
    <m/>
    <m/>
    <m/>
  </r>
  <r>
    <d v="2025-01-11T00:00:00"/>
    <x v="20"/>
    <m/>
    <m/>
    <m/>
    <m/>
    <m/>
    <m/>
    <m/>
    <m/>
    <m/>
    <m/>
    <m/>
    <m/>
    <m/>
    <m/>
    <m/>
    <m/>
    <m/>
    <m/>
    <m/>
    <m/>
  </r>
  <r>
    <d v="2025-01-12T00:00:00"/>
    <x v="20"/>
    <m/>
    <m/>
    <m/>
    <m/>
    <m/>
    <m/>
    <m/>
    <m/>
    <m/>
    <m/>
    <m/>
    <m/>
    <m/>
    <m/>
    <m/>
    <m/>
    <m/>
    <m/>
    <m/>
    <m/>
  </r>
  <r>
    <d v="2025-01-13T00:00:00"/>
    <x v="20"/>
    <m/>
    <m/>
    <m/>
    <m/>
    <m/>
    <m/>
    <m/>
    <m/>
    <m/>
    <m/>
    <m/>
    <m/>
    <m/>
    <m/>
    <m/>
    <m/>
    <m/>
    <m/>
    <m/>
    <m/>
  </r>
  <r>
    <d v="2025-01-14T00:00:00"/>
    <x v="20"/>
    <m/>
    <m/>
    <m/>
    <m/>
    <m/>
    <m/>
    <m/>
    <m/>
    <m/>
    <m/>
    <m/>
    <m/>
    <m/>
    <m/>
    <m/>
    <m/>
    <m/>
    <m/>
    <m/>
    <m/>
  </r>
  <r>
    <d v="2025-01-15T00:00:00"/>
    <x v="20"/>
    <m/>
    <m/>
    <m/>
    <m/>
    <m/>
    <m/>
    <m/>
    <m/>
    <m/>
    <m/>
    <m/>
    <m/>
    <m/>
    <m/>
    <m/>
    <m/>
    <m/>
    <m/>
    <m/>
    <m/>
  </r>
  <r>
    <d v="2025-01-16T00:00:00"/>
    <x v="20"/>
    <m/>
    <m/>
    <m/>
    <m/>
    <m/>
    <m/>
    <m/>
    <m/>
    <m/>
    <m/>
    <m/>
    <m/>
    <m/>
    <m/>
    <m/>
    <m/>
    <m/>
    <m/>
    <m/>
    <m/>
  </r>
  <r>
    <d v="2025-01-17T00:00:00"/>
    <x v="20"/>
    <m/>
    <m/>
    <m/>
    <m/>
    <m/>
    <m/>
    <m/>
    <m/>
    <m/>
    <m/>
    <m/>
    <m/>
    <m/>
    <m/>
    <m/>
    <m/>
    <m/>
    <m/>
    <m/>
    <m/>
  </r>
  <r>
    <d v="2025-01-18T00:00:00"/>
    <x v="20"/>
    <m/>
    <m/>
    <m/>
    <m/>
    <m/>
    <m/>
    <m/>
    <m/>
    <m/>
    <m/>
    <m/>
    <m/>
    <m/>
    <m/>
    <m/>
    <m/>
    <m/>
    <m/>
    <m/>
    <m/>
  </r>
  <r>
    <d v="2025-01-19T00:00:00"/>
    <x v="20"/>
    <m/>
    <m/>
    <m/>
    <m/>
    <m/>
    <m/>
    <m/>
    <m/>
    <m/>
    <m/>
    <m/>
    <m/>
    <m/>
    <m/>
    <m/>
    <m/>
    <m/>
    <m/>
    <m/>
    <m/>
  </r>
  <r>
    <d v="2025-01-20T00:00:00"/>
    <x v="20"/>
    <m/>
    <m/>
    <m/>
    <m/>
    <m/>
    <m/>
    <m/>
    <m/>
    <m/>
    <m/>
    <m/>
    <m/>
    <m/>
    <m/>
    <m/>
    <m/>
    <m/>
    <m/>
    <m/>
    <m/>
  </r>
  <r>
    <d v="2025-01-21T00:00:00"/>
    <x v="20"/>
    <m/>
    <m/>
    <m/>
    <m/>
    <m/>
    <m/>
    <m/>
    <m/>
    <m/>
    <m/>
    <m/>
    <m/>
    <m/>
    <m/>
    <m/>
    <m/>
    <m/>
    <m/>
    <m/>
    <m/>
  </r>
  <r>
    <d v="2025-01-22T00:00:00"/>
    <x v="20"/>
    <m/>
    <m/>
    <m/>
    <m/>
    <m/>
    <m/>
    <m/>
    <m/>
    <m/>
    <m/>
    <m/>
    <m/>
    <m/>
    <m/>
    <m/>
    <m/>
    <m/>
    <m/>
    <m/>
    <m/>
  </r>
  <r>
    <d v="2025-01-23T00:00:00"/>
    <x v="20"/>
    <m/>
    <m/>
    <m/>
    <m/>
    <m/>
    <m/>
    <m/>
    <m/>
    <m/>
    <m/>
    <m/>
    <m/>
    <m/>
    <m/>
    <m/>
    <m/>
    <m/>
    <m/>
    <m/>
    <m/>
  </r>
  <r>
    <d v="2025-01-24T00:00:00"/>
    <x v="20"/>
    <m/>
    <m/>
    <m/>
    <m/>
    <m/>
    <m/>
    <m/>
    <m/>
    <m/>
    <m/>
    <m/>
    <m/>
    <m/>
    <m/>
    <m/>
    <m/>
    <m/>
    <m/>
    <m/>
    <m/>
  </r>
  <r>
    <d v="2025-01-25T00:00:00"/>
    <x v="20"/>
    <m/>
    <m/>
    <m/>
    <m/>
    <m/>
    <m/>
    <m/>
    <m/>
    <m/>
    <m/>
    <m/>
    <m/>
    <m/>
    <m/>
    <m/>
    <m/>
    <m/>
    <m/>
    <m/>
    <m/>
  </r>
  <r>
    <d v="2025-01-26T00:00:00"/>
    <x v="20"/>
    <m/>
    <m/>
    <m/>
    <m/>
    <m/>
    <m/>
    <m/>
    <m/>
    <m/>
    <m/>
    <m/>
    <m/>
    <m/>
    <m/>
    <m/>
    <m/>
    <m/>
    <m/>
    <m/>
    <m/>
  </r>
  <r>
    <d v="2025-01-27T00:00:00"/>
    <x v="20"/>
    <m/>
    <m/>
    <m/>
    <m/>
    <m/>
    <m/>
    <m/>
    <m/>
    <m/>
    <m/>
    <m/>
    <m/>
    <m/>
    <m/>
    <m/>
    <m/>
    <m/>
    <m/>
    <m/>
    <m/>
  </r>
  <r>
    <d v="2025-01-28T00:00:00"/>
    <x v="20"/>
    <m/>
    <m/>
    <m/>
    <m/>
    <m/>
    <m/>
    <m/>
    <m/>
    <m/>
    <m/>
    <m/>
    <m/>
    <m/>
    <m/>
    <m/>
    <m/>
    <m/>
    <m/>
    <m/>
    <m/>
  </r>
  <r>
    <d v="2025-01-29T00:00:00"/>
    <x v="20"/>
    <m/>
    <m/>
    <m/>
    <m/>
    <m/>
    <m/>
    <m/>
    <m/>
    <m/>
    <m/>
    <m/>
    <m/>
    <m/>
    <m/>
    <m/>
    <m/>
    <m/>
    <m/>
    <m/>
    <m/>
  </r>
  <r>
    <d v="2025-01-30T00:00:00"/>
    <x v="20"/>
    <m/>
    <m/>
    <m/>
    <m/>
    <m/>
    <m/>
    <m/>
    <m/>
    <m/>
    <m/>
    <m/>
    <m/>
    <m/>
    <m/>
    <m/>
    <m/>
    <m/>
    <m/>
    <m/>
    <m/>
  </r>
  <r>
    <d v="2025-01-31T00:00:00"/>
    <x v="20"/>
    <m/>
    <m/>
    <m/>
    <m/>
    <m/>
    <m/>
    <m/>
    <m/>
    <m/>
    <m/>
    <m/>
    <m/>
    <m/>
    <m/>
    <m/>
    <m/>
    <m/>
    <m/>
    <m/>
    <m/>
  </r>
  <r>
    <d v="2025-02-01T00:00:00"/>
    <x v="20"/>
    <m/>
    <m/>
    <m/>
    <m/>
    <m/>
    <m/>
    <m/>
    <m/>
    <m/>
    <m/>
    <m/>
    <m/>
    <m/>
    <m/>
    <m/>
    <m/>
    <m/>
    <m/>
    <m/>
    <m/>
  </r>
  <r>
    <d v="2025-02-02T00:00:00"/>
    <x v="20"/>
    <m/>
    <m/>
    <m/>
    <m/>
    <m/>
    <m/>
    <m/>
    <m/>
    <m/>
    <m/>
    <m/>
    <m/>
    <m/>
    <m/>
    <m/>
    <m/>
    <m/>
    <m/>
    <m/>
    <m/>
  </r>
  <r>
    <d v="2025-02-03T00:00:00"/>
    <x v="20"/>
    <m/>
    <m/>
    <m/>
    <m/>
    <m/>
    <m/>
    <m/>
    <m/>
    <m/>
    <m/>
    <m/>
    <m/>
    <m/>
    <m/>
    <m/>
    <m/>
    <m/>
    <m/>
    <m/>
    <m/>
  </r>
  <r>
    <d v="2025-02-04T00:00:00"/>
    <x v="20"/>
    <m/>
    <m/>
    <m/>
    <m/>
    <m/>
    <m/>
    <m/>
    <m/>
    <m/>
    <m/>
    <m/>
    <m/>
    <m/>
    <m/>
    <m/>
    <m/>
    <m/>
    <m/>
    <m/>
    <m/>
  </r>
  <r>
    <d v="2025-02-05T00:00:00"/>
    <x v="20"/>
    <m/>
    <m/>
    <m/>
    <m/>
    <m/>
    <m/>
    <m/>
    <m/>
    <m/>
    <m/>
    <m/>
    <m/>
    <m/>
    <m/>
    <m/>
    <m/>
    <m/>
    <m/>
    <m/>
    <m/>
  </r>
  <r>
    <d v="2025-02-06T00:00:00"/>
    <x v="20"/>
    <m/>
    <m/>
    <m/>
    <m/>
    <m/>
    <m/>
    <m/>
    <m/>
    <m/>
    <m/>
    <m/>
    <m/>
    <m/>
    <m/>
    <m/>
    <m/>
    <m/>
    <m/>
    <m/>
    <m/>
  </r>
  <r>
    <d v="2025-02-07T00:00:00"/>
    <x v="20"/>
    <m/>
    <m/>
    <m/>
    <m/>
    <m/>
    <m/>
    <m/>
    <m/>
    <m/>
    <m/>
    <m/>
    <m/>
    <m/>
    <m/>
    <m/>
    <m/>
    <m/>
    <m/>
    <m/>
    <m/>
  </r>
  <r>
    <d v="2025-02-08T00:00:00"/>
    <x v="20"/>
    <m/>
    <m/>
    <m/>
    <m/>
    <m/>
    <m/>
    <m/>
    <m/>
    <m/>
    <m/>
    <m/>
    <m/>
    <m/>
    <m/>
    <m/>
    <m/>
    <m/>
    <m/>
    <m/>
    <m/>
  </r>
  <r>
    <d v="2025-02-09T00:00:00"/>
    <x v="20"/>
    <m/>
    <m/>
    <m/>
    <m/>
    <m/>
    <m/>
    <m/>
    <m/>
    <m/>
    <m/>
    <m/>
    <m/>
    <m/>
    <m/>
    <m/>
    <m/>
    <m/>
    <m/>
    <m/>
    <m/>
  </r>
  <r>
    <d v="2025-02-10T00:00:00"/>
    <x v="20"/>
    <m/>
    <m/>
    <m/>
    <m/>
    <m/>
    <m/>
    <m/>
    <m/>
    <m/>
    <m/>
    <m/>
    <m/>
    <m/>
    <m/>
    <m/>
    <m/>
    <m/>
    <m/>
    <m/>
    <m/>
  </r>
  <r>
    <d v="2025-02-11T00:00:00"/>
    <x v="20"/>
    <m/>
    <m/>
    <m/>
    <m/>
    <m/>
    <m/>
    <m/>
    <m/>
    <m/>
    <m/>
    <m/>
    <m/>
    <m/>
    <m/>
    <m/>
    <m/>
    <m/>
    <m/>
    <m/>
    <m/>
  </r>
  <r>
    <d v="2025-02-12T00:00:00"/>
    <x v="20"/>
    <m/>
    <m/>
    <m/>
    <m/>
    <m/>
    <m/>
    <m/>
    <m/>
    <m/>
    <m/>
    <m/>
    <m/>
    <m/>
    <m/>
    <m/>
    <m/>
    <m/>
    <m/>
    <m/>
    <m/>
  </r>
  <r>
    <d v="2025-02-13T00:00:00"/>
    <x v="20"/>
    <m/>
    <m/>
    <m/>
    <m/>
    <m/>
    <m/>
    <m/>
    <m/>
    <m/>
    <m/>
    <m/>
    <m/>
    <m/>
    <m/>
    <m/>
    <m/>
    <m/>
    <m/>
    <m/>
    <m/>
  </r>
  <r>
    <d v="2025-02-14T00:00:00"/>
    <x v="20"/>
    <m/>
    <m/>
    <m/>
    <m/>
    <m/>
    <m/>
    <m/>
    <m/>
    <m/>
    <m/>
    <m/>
    <m/>
    <m/>
    <m/>
    <m/>
    <m/>
    <m/>
    <m/>
    <m/>
    <m/>
  </r>
  <r>
    <d v="2025-02-15T00:00:00"/>
    <x v="20"/>
    <m/>
    <m/>
    <m/>
    <m/>
    <m/>
    <m/>
    <m/>
    <m/>
    <m/>
    <m/>
    <m/>
    <m/>
    <m/>
    <m/>
    <m/>
    <m/>
    <m/>
    <m/>
    <m/>
    <m/>
  </r>
  <r>
    <d v="2025-02-16T00:00:00"/>
    <x v="20"/>
    <m/>
    <m/>
    <m/>
    <m/>
    <m/>
    <m/>
    <m/>
    <m/>
    <m/>
    <m/>
    <m/>
    <m/>
    <m/>
    <m/>
    <m/>
    <m/>
    <m/>
    <m/>
    <m/>
    <m/>
  </r>
  <r>
    <d v="2025-02-17T00:00:00"/>
    <x v="20"/>
    <m/>
    <m/>
    <m/>
    <m/>
    <m/>
    <m/>
    <m/>
    <m/>
    <m/>
    <m/>
    <m/>
    <m/>
    <m/>
    <m/>
    <m/>
    <m/>
    <m/>
    <m/>
    <m/>
    <m/>
  </r>
  <r>
    <d v="2025-02-18T00:00:00"/>
    <x v="20"/>
    <m/>
    <m/>
    <m/>
    <m/>
    <m/>
    <m/>
    <m/>
    <m/>
    <m/>
    <m/>
    <m/>
    <m/>
    <m/>
    <m/>
    <m/>
    <m/>
    <m/>
    <m/>
    <m/>
    <m/>
  </r>
  <r>
    <d v="2025-02-19T00:00:00"/>
    <x v="20"/>
    <m/>
    <m/>
    <m/>
    <m/>
    <m/>
    <m/>
    <m/>
    <m/>
    <m/>
    <m/>
    <m/>
    <m/>
    <m/>
    <m/>
    <m/>
    <m/>
    <m/>
    <m/>
    <m/>
    <m/>
  </r>
  <r>
    <d v="2025-02-20T00:00:00"/>
    <x v="20"/>
    <m/>
    <m/>
    <m/>
    <m/>
    <m/>
    <m/>
    <m/>
    <m/>
    <m/>
    <m/>
    <m/>
    <m/>
    <m/>
    <m/>
    <m/>
    <m/>
    <m/>
    <m/>
    <m/>
    <m/>
  </r>
  <r>
    <d v="2025-02-21T00:00:00"/>
    <x v="20"/>
    <m/>
    <m/>
    <m/>
    <m/>
    <m/>
    <m/>
    <m/>
    <m/>
    <m/>
    <m/>
    <m/>
    <m/>
    <m/>
    <m/>
    <m/>
    <m/>
    <m/>
    <m/>
    <m/>
    <m/>
  </r>
  <r>
    <d v="2025-02-22T00:00:00"/>
    <x v="20"/>
    <m/>
    <m/>
    <m/>
    <m/>
    <m/>
    <m/>
    <m/>
    <m/>
    <m/>
    <m/>
    <m/>
    <m/>
    <m/>
    <m/>
    <m/>
    <m/>
    <m/>
    <m/>
    <m/>
    <m/>
  </r>
  <r>
    <d v="2025-02-23T00:00:00"/>
    <x v="20"/>
    <m/>
    <m/>
    <m/>
    <m/>
    <m/>
    <m/>
    <m/>
    <m/>
    <m/>
    <m/>
    <m/>
    <m/>
    <m/>
    <m/>
    <m/>
    <m/>
    <m/>
    <m/>
    <m/>
    <m/>
  </r>
  <r>
    <d v="2025-02-24T00:00:00"/>
    <x v="20"/>
    <m/>
    <m/>
    <m/>
    <m/>
    <m/>
    <m/>
    <m/>
    <m/>
    <m/>
    <m/>
    <m/>
    <m/>
    <m/>
    <m/>
    <m/>
    <m/>
    <m/>
    <m/>
    <m/>
    <m/>
  </r>
  <r>
    <d v="2025-02-25T00:00:00"/>
    <x v="20"/>
    <m/>
    <m/>
    <m/>
    <m/>
    <m/>
    <m/>
    <m/>
    <m/>
    <m/>
    <m/>
    <m/>
    <m/>
    <m/>
    <m/>
    <m/>
    <m/>
    <m/>
    <m/>
    <m/>
    <m/>
  </r>
  <r>
    <d v="2025-02-26T00:00:00"/>
    <x v="20"/>
    <m/>
    <m/>
    <m/>
    <m/>
    <m/>
    <m/>
    <m/>
    <m/>
    <m/>
    <m/>
    <m/>
    <m/>
    <m/>
    <m/>
    <m/>
    <m/>
    <m/>
    <m/>
    <m/>
    <m/>
  </r>
  <r>
    <d v="2025-02-27T00:00:00"/>
    <x v="20"/>
    <m/>
    <m/>
    <m/>
    <m/>
    <m/>
    <m/>
    <m/>
    <m/>
    <m/>
    <m/>
    <m/>
    <m/>
    <m/>
    <m/>
    <m/>
    <m/>
    <m/>
    <m/>
    <m/>
    <m/>
  </r>
  <r>
    <d v="2025-02-28T00:00:00"/>
    <x v="20"/>
    <m/>
    <m/>
    <m/>
    <m/>
    <m/>
    <m/>
    <m/>
    <m/>
    <m/>
    <m/>
    <m/>
    <m/>
    <m/>
    <m/>
    <m/>
    <m/>
    <m/>
    <m/>
    <m/>
    <m/>
  </r>
  <r>
    <d v="2025-03-01T00:00:00"/>
    <x v="20"/>
    <m/>
    <m/>
    <m/>
    <m/>
    <m/>
    <m/>
    <m/>
    <m/>
    <m/>
    <m/>
    <m/>
    <m/>
    <m/>
    <m/>
    <m/>
    <m/>
    <m/>
    <m/>
    <m/>
    <m/>
  </r>
  <r>
    <d v="2025-03-02T00:00:00"/>
    <x v="20"/>
    <m/>
    <m/>
    <m/>
    <m/>
    <m/>
    <m/>
    <m/>
    <m/>
    <m/>
    <m/>
    <m/>
    <m/>
    <m/>
    <m/>
    <m/>
    <m/>
    <m/>
    <m/>
    <m/>
    <m/>
  </r>
  <r>
    <d v="2025-03-03T00:00:00"/>
    <x v="20"/>
    <m/>
    <m/>
    <m/>
    <m/>
    <m/>
    <m/>
    <m/>
    <m/>
    <m/>
    <m/>
    <m/>
    <m/>
    <m/>
    <m/>
    <m/>
    <m/>
    <m/>
    <m/>
    <m/>
    <m/>
  </r>
  <r>
    <d v="2025-03-04T00:00:00"/>
    <x v="20"/>
    <m/>
    <m/>
    <m/>
    <m/>
    <m/>
    <m/>
    <m/>
    <m/>
    <m/>
    <m/>
    <m/>
    <m/>
    <m/>
    <m/>
    <m/>
    <m/>
    <m/>
    <m/>
    <m/>
    <m/>
  </r>
  <r>
    <d v="2025-03-05T00:00:00"/>
    <x v="20"/>
    <m/>
    <m/>
    <m/>
    <m/>
    <m/>
    <m/>
    <m/>
    <m/>
    <m/>
    <m/>
    <m/>
    <m/>
    <m/>
    <m/>
    <m/>
    <m/>
    <m/>
    <m/>
    <m/>
    <m/>
  </r>
  <r>
    <d v="2025-03-06T00:00:00"/>
    <x v="20"/>
    <m/>
    <m/>
    <m/>
    <m/>
    <m/>
    <m/>
    <m/>
    <m/>
    <m/>
    <m/>
    <m/>
    <m/>
    <m/>
    <m/>
    <m/>
    <m/>
    <m/>
    <m/>
    <m/>
    <m/>
  </r>
  <r>
    <d v="2025-03-07T00:00:00"/>
    <x v="20"/>
    <m/>
    <m/>
    <m/>
    <m/>
    <m/>
    <m/>
    <m/>
    <m/>
    <m/>
    <m/>
    <m/>
    <m/>
    <m/>
    <m/>
    <m/>
    <m/>
    <m/>
    <m/>
    <m/>
    <m/>
  </r>
  <r>
    <d v="2025-03-08T00:00:00"/>
    <x v="20"/>
    <m/>
    <m/>
    <m/>
    <m/>
    <m/>
    <m/>
    <m/>
    <m/>
    <m/>
    <m/>
    <m/>
    <m/>
    <m/>
    <m/>
    <m/>
    <m/>
    <m/>
    <m/>
    <m/>
    <m/>
  </r>
  <r>
    <d v="2025-03-09T00:00:00"/>
    <x v="20"/>
    <m/>
    <m/>
    <m/>
    <m/>
    <m/>
    <m/>
    <m/>
    <m/>
    <m/>
    <m/>
    <m/>
    <m/>
    <m/>
    <m/>
    <m/>
    <m/>
    <m/>
    <m/>
    <m/>
    <m/>
  </r>
  <r>
    <d v="2025-03-10T00:00:00"/>
    <x v="20"/>
    <m/>
    <m/>
    <m/>
    <m/>
    <m/>
    <m/>
    <m/>
    <m/>
    <m/>
    <m/>
    <m/>
    <m/>
    <m/>
    <m/>
    <m/>
    <m/>
    <m/>
    <m/>
    <m/>
    <m/>
  </r>
  <r>
    <d v="2025-03-11T00:00:00"/>
    <x v="20"/>
    <m/>
    <m/>
    <m/>
    <m/>
    <m/>
    <m/>
    <m/>
    <m/>
    <m/>
    <m/>
    <m/>
    <m/>
    <m/>
    <m/>
    <m/>
    <m/>
    <m/>
    <m/>
    <m/>
    <m/>
  </r>
  <r>
    <d v="2025-03-12T00:00:00"/>
    <x v="20"/>
    <m/>
    <m/>
    <m/>
    <m/>
    <m/>
    <m/>
    <m/>
    <m/>
    <m/>
    <m/>
    <m/>
    <m/>
    <m/>
    <m/>
    <m/>
    <m/>
    <m/>
    <m/>
    <m/>
    <m/>
  </r>
  <r>
    <d v="2025-03-13T00:00:00"/>
    <x v="20"/>
    <m/>
    <m/>
    <m/>
    <m/>
    <m/>
    <m/>
    <m/>
    <m/>
    <m/>
    <m/>
    <m/>
    <m/>
    <m/>
    <m/>
    <m/>
    <m/>
    <m/>
    <m/>
    <m/>
    <m/>
  </r>
  <r>
    <d v="2025-03-14T00:00:00"/>
    <x v="20"/>
    <m/>
    <m/>
    <m/>
    <m/>
    <m/>
    <m/>
    <m/>
    <m/>
    <m/>
    <m/>
    <m/>
    <m/>
    <m/>
    <m/>
    <m/>
    <m/>
    <m/>
    <m/>
    <m/>
    <m/>
  </r>
  <r>
    <d v="2025-03-15T00:00:00"/>
    <x v="20"/>
    <m/>
    <m/>
    <m/>
    <m/>
    <m/>
    <m/>
    <m/>
    <m/>
    <m/>
    <m/>
    <m/>
    <m/>
    <m/>
    <m/>
    <m/>
    <m/>
    <m/>
    <m/>
    <m/>
    <m/>
  </r>
  <r>
    <d v="2025-03-16T00:00:00"/>
    <x v="20"/>
    <m/>
    <m/>
    <m/>
    <m/>
    <m/>
    <m/>
    <m/>
    <m/>
    <m/>
    <m/>
    <m/>
    <m/>
    <m/>
    <m/>
    <m/>
    <m/>
    <m/>
    <m/>
    <m/>
    <m/>
  </r>
  <r>
    <d v="2025-03-17T00:00:00"/>
    <x v="20"/>
    <m/>
    <m/>
    <m/>
    <m/>
    <m/>
    <m/>
    <m/>
    <m/>
    <m/>
    <m/>
    <m/>
    <m/>
    <m/>
    <m/>
    <m/>
    <m/>
    <m/>
    <m/>
    <m/>
    <m/>
  </r>
  <r>
    <d v="2025-03-18T00:00:00"/>
    <x v="20"/>
    <m/>
    <m/>
    <m/>
    <m/>
    <m/>
    <m/>
    <m/>
    <m/>
    <m/>
    <m/>
    <m/>
    <m/>
    <m/>
    <m/>
    <m/>
    <m/>
    <m/>
    <m/>
    <m/>
    <m/>
  </r>
  <r>
    <d v="2025-03-19T00:00:00"/>
    <x v="20"/>
    <m/>
    <m/>
    <m/>
    <m/>
    <m/>
    <m/>
    <m/>
    <m/>
    <m/>
    <m/>
    <m/>
    <m/>
    <m/>
    <m/>
    <m/>
    <m/>
    <m/>
    <m/>
    <m/>
    <m/>
  </r>
  <r>
    <d v="2025-03-20T00:00:00"/>
    <x v="20"/>
    <m/>
    <m/>
    <m/>
    <m/>
    <m/>
    <m/>
    <m/>
    <m/>
    <m/>
    <m/>
    <m/>
    <m/>
    <m/>
    <m/>
    <m/>
    <m/>
    <m/>
    <m/>
    <m/>
    <m/>
  </r>
  <r>
    <d v="2025-03-21T00:00:00"/>
    <x v="20"/>
    <m/>
    <m/>
    <m/>
    <m/>
    <m/>
    <m/>
    <m/>
    <m/>
    <m/>
    <m/>
    <m/>
    <m/>
    <m/>
    <m/>
    <m/>
    <m/>
    <m/>
    <m/>
    <m/>
    <m/>
  </r>
  <r>
    <d v="2025-03-22T00:00:00"/>
    <x v="20"/>
    <m/>
    <m/>
    <m/>
    <m/>
    <m/>
    <m/>
    <m/>
    <m/>
    <m/>
    <m/>
    <m/>
    <m/>
    <m/>
    <m/>
    <m/>
    <m/>
    <m/>
    <m/>
    <m/>
    <m/>
  </r>
  <r>
    <d v="2025-03-23T00:00:00"/>
    <x v="20"/>
    <m/>
    <m/>
    <m/>
    <m/>
    <m/>
    <m/>
    <m/>
    <m/>
    <m/>
    <m/>
    <m/>
    <m/>
    <m/>
    <m/>
    <m/>
    <m/>
    <m/>
    <m/>
    <m/>
    <m/>
  </r>
  <r>
    <d v="2025-03-24T00:00:00"/>
    <x v="20"/>
    <m/>
    <m/>
    <m/>
    <m/>
    <m/>
    <m/>
    <m/>
    <m/>
    <m/>
    <m/>
    <m/>
    <m/>
    <m/>
    <m/>
    <m/>
    <m/>
    <m/>
    <m/>
    <m/>
    <m/>
  </r>
  <r>
    <d v="2025-03-25T00:00:00"/>
    <x v="20"/>
    <m/>
    <m/>
    <m/>
    <m/>
    <m/>
    <m/>
    <m/>
    <m/>
    <m/>
    <m/>
    <m/>
    <m/>
    <m/>
    <m/>
    <m/>
    <m/>
    <m/>
    <m/>
    <m/>
    <m/>
  </r>
  <r>
    <d v="2025-03-26T00:00:00"/>
    <x v="20"/>
    <m/>
    <m/>
    <m/>
    <m/>
    <m/>
    <m/>
    <m/>
    <m/>
    <m/>
    <m/>
    <m/>
    <m/>
    <m/>
    <m/>
    <m/>
    <m/>
    <m/>
    <m/>
    <m/>
    <m/>
  </r>
  <r>
    <d v="2025-03-27T00:00:00"/>
    <x v="20"/>
    <m/>
    <m/>
    <m/>
    <m/>
    <m/>
    <m/>
    <m/>
    <m/>
    <m/>
    <m/>
    <m/>
    <m/>
    <m/>
    <m/>
    <m/>
    <m/>
    <m/>
    <m/>
    <m/>
    <m/>
  </r>
  <r>
    <d v="2025-03-28T00:00:00"/>
    <x v="20"/>
    <m/>
    <m/>
    <m/>
    <m/>
    <m/>
    <m/>
    <m/>
    <m/>
    <m/>
    <m/>
    <m/>
    <m/>
    <m/>
    <m/>
    <m/>
    <m/>
    <m/>
    <m/>
    <m/>
    <m/>
  </r>
  <r>
    <d v="2025-03-29T00:00:00"/>
    <x v="20"/>
    <m/>
    <m/>
    <m/>
    <m/>
    <m/>
    <m/>
    <m/>
    <m/>
    <m/>
    <m/>
    <m/>
    <m/>
    <m/>
    <m/>
    <m/>
    <m/>
    <m/>
    <m/>
    <m/>
    <m/>
  </r>
  <r>
    <d v="2025-03-30T00:00:00"/>
    <x v="20"/>
    <m/>
    <m/>
    <m/>
    <m/>
    <m/>
    <m/>
    <m/>
    <m/>
    <m/>
    <m/>
    <m/>
    <m/>
    <m/>
    <m/>
    <m/>
    <m/>
    <m/>
    <m/>
    <m/>
    <m/>
  </r>
  <r>
    <d v="2025-03-31T00:00:00"/>
    <x v="20"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2T00:00:00"/>
    <x v="0"/>
    <s v="T"/>
    <s v="FY25"/>
    <n v="494"/>
    <n v="416"/>
    <n v="0.19902912621359223"/>
    <n v="0.13043478260869565"/>
    <n v="494"/>
    <n v="416"/>
    <n v="0.62"/>
    <n v="0.16"/>
    <n v="0.84"/>
    <n v="0.75"/>
    <n v="1"/>
    <n v="193"/>
    <m/>
    <s v="Normal"/>
    <s v="Normal"/>
    <n v="0.19902912621359223"/>
    <n v="0.13043478260869565"/>
  </r>
  <r>
    <d v="2024-04-03T00:00:00"/>
    <x v="0"/>
    <s v="W"/>
    <s v="FY25"/>
    <n v="388"/>
    <n v="368"/>
    <n v="3.7433155080213901E-2"/>
    <n v="2.7932960893854747E-2"/>
    <n v="882"/>
    <n v="784"/>
    <n v="0.82"/>
    <n v="0.05"/>
    <n v="0.95"/>
    <n v="0.66"/>
    <n v="1"/>
    <n v="193"/>
    <n v="4"/>
    <s v="Outlier"/>
    <s v="Normal"/>
    <n v="3.7433155080213901E-2"/>
    <n v="2.7932960893854747E-2"/>
  </r>
  <r>
    <d v="2024-04-04T00:00:00"/>
    <x v="0"/>
    <s v="R"/>
    <s v="FY25"/>
    <n v="420"/>
    <n v="394"/>
    <n v="0.26506024096385544"/>
    <n v="0.24290220820189273"/>
    <n v="1302"/>
    <n v="1178"/>
    <n v="0.81"/>
    <n v="0.06"/>
    <n v="0.94"/>
    <n v="0.7"/>
    <n v="1"/>
    <n v="190"/>
    <n v="4"/>
    <s v="Outlier"/>
    <s v="Normal"/>
    <n v="0.26506024096385544"/>
    <n v="0.24290220820189273"/>
  </r>
  <r>
    <d v="2024-04-05T00:00:00"/>
    <x v="0"/>
    <s v="F"/>
    <s v="FY25"/>
    <n v="374"/>
    <n v="368"/>
    <n v="0"/>
    <n v="0"/>
    <n v="1676"/>
    <n v="1546"/>
    <n v="0.94"/>
    <n v="0.02"/>
    <n v="0.98"/>
    <n v="0.65"/>
    <n v="1"/>
    <n v="188"/>
    <n v="4"/>
    <s v="Outlier"/>
    <s v="Normal"/>
    <n v="0"/>
    <n v="0"/>
  </r>
  <r>
    <d v="2024-04-06T00:00:00"/>
    <x v="0"/>
    <s v="S"/>
    <s v="FY25"/>
    <n v="110"/>
    <n v="109"/>
    <n v="-0.20289855072463769"/>
    <n v="-0.21014492753623187"/>
    <n v="1786"/>
    <n v="1655"/>
    <n v="0.99"/>
    <n v="0.01"/>
    <n v="0.99"/>
    <n v="0.34"/>
    <n v="1"/>
    <n v="200"/>
    <n v="4"/>
    <s v="Outlier"/>
    <s v="Normal"/>
    <n v="-0.20289855072463769"/>
    <n v="-0.21014492753623187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8T00:00:00"/>
    <x v="1"/>
    <s v="M"/>
    <s v="FY25"/>
    <n v="453"/>
    <n v="415"/>
    <n v="0"/>
    <n v="0"/>
    <n v="2239"/>
    <n v="2070"/>
    <n v="0.86"/>
    <n v="0.08"/>
    <n v="0.92"/>
    <n v="0.76"/>
    <n v="1"/>
    <n v="197"/>
    <m/>
    <s v="Outlier"/>
    <s v="Normal"/>
    <n v="0"/>
    <n v="0"/>
  </r>
  <r>
    <d v="2024-04-09T00:00:00"/>
    <x v="1"/>
    <s v="T"/>
    <s v="FY25"/>
    <n v="368"/>
    <n v="354"/>
    <n v="-0.25506072874493929"/>
    <n v="-0.14903846153846154"/>
    <n v="2607"/>
    <n v="2424"/>
    <n v="0.91"/>
    <n v="0.04"/>
    <n v="0.96"/>
    <n v="0.62"/>
    <n v="1"/>
    <n v="186"/>
    <n v="4"/>
    <s v="Outlier"/>
    <s v="Normal"/>
    <n v="-0.25506072874493929"/>
    <n v="-0.14903846153846154"/>
  </r>
  <r>
    <d v="2024-04-10T00:00:00"/>
    <x v="1"/>
    <s v="W"/>
    <s v="FY25"/>
    <n v="310"/>
    <n v="297"/>
    <n v="-0.20103092783505155"/>
    <n v="-0.19293478260869565"/>
    <n v="2917"/>
    <n v="2721"/>
    <n v="0.91"/>
    <n v="0.04"/>
    <n v="0.96"/>
    <n v="0.53"/>
    <n v="1"/>
    <n v="182"/>
    <n v="4"/>
    <s v="Outlier"/>
    <s v="Normal"/>
    <n v="-0.20103092783505155"/>
    <n v="-0.19293478260869565"/>
  </r>
  <r>
    <d v="2024-04-11T00:00:00"/>
    <x v="1"/>
    <s v="R"/>
    <s v="FY25"/>
    <n v="361"/>
    <n v="333"/>
    <n v="-0.14047619047619048"/>
    <n v="-0.1548223350253807"/>
    <n v="3278"/>
    <n v="3054"/>
    <n v="0.78"/>
    <n v="0.08"/>
    <n v="0.92"/>
    <n v="0.57999999999999996"/>
    <n v="1"/>
    <n v="182"/>
    <m/>
    <s v="Outlier"/>
    <s v="Normal"/>
    <n v="-0.14047619047619048"/>
    <n v="-0.1548223350253807"/>
  </r>
  <r>
    <d v="2024-04-12T00:00:00"/>
    <x v="1"/>
    <s v="F"/>
    <s v="FY25"/>
    <n v="348"/>
    <n v="335"/>
    <n v="-6.9518716577540107E-2"/>
    <n v="-8.9673913043478257E-2"/>
    <n v="3626"/>
    <n v="3389"/>
    <n v="0.92"/>
    <n v="0.04"/>
    <n v="0.96"/>
    <n v="0.48"/>
    <n v="1"/>
    <n v="167"/>
    <n v="4"/>
    <s v="Outlier"/>
    <s v="Normal"/>
    <n v="-6.9518716577540107E-2"/>
    <n v="-8.9673913043478257E-2"/>
  </r>
  <r>
    <d v="2024-04-13T00:00:00"/>
    <x v="1"/>
    <s v="S"/>
    <s v="FY25"/>
    <n v="161"/>
    <n v="143"/>
    <n v="0.46363636363636362"/>
    <n v="0.31192660550458717"/>
    <n v="3787"/>
    <n v="3532"/>
    <n v="0.87"/>
    <n v="0.11"/>
    <n v="0.89"/>
    <n v="0.78"/>
    <n v="1"/>
    <n v="159"/>
    <n v="4"/>
    <s v="Outlier"/>
    <s v="Outlier"/>
    <n v="0.46363636363636362"/>
    <n v="0.31192660550458717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15T00:00:00"/>
    <x v="2"/>
    <s v="M"/>
    <s v="FY25"/>
    <n v="409"/>
    <n v="389"/>
    <n v="-9.713024282560706E-2"/>
    <n v="-6.2650602409638559E-2"/>
    <n v="4196"/>
    <n v="3921"/>
    <n v="0.84"/>
    <n v="0.05"/>
    <n v="0.95"/>
    <n v="0.57999999999999996"/>
    <n v="1"/>
    <n v="178"/>
    <n v="4"/>
    <s v="Outlier"/>
    <s v="Normal"/>
    <n v="-9.713024282560706E-2"/>
    <n v="-6.2650602409638559E-2"/>
  </r>
  <r>
    <d v="2024-04-16T00:00:00"/>
    <x v="2"/>
    <s v="T"/>
    <s v="FY25"/>
    <n v="400"/>
    <n v="371"/>
    <n v="8.6956521739130432E-2"/>
    <n v="4.8022598870056499E-2"/>
    <n v="4596"/>
    <n v="4292"/>
    <n v="0.81"/>
    <n v="7.0000000000000007E-2"/>
    <n v="0.93"/>
    <n v="0.69"/>
    <n v="1"/>
    <n v="205"/>
    <n v="4"/>
    <s v="Outlier"/>
    <s v="Normal"/>
    <n v="8.6956521739130432E-2"/>
    <n v="4.8022598870056499E-2"/>
  </r>
  <r>
    <d v="2024-04-17T00:00:00"/>
    <x v="2"/>
    <s v="W"/>
    <s v="FY25"/>
    <n v="339"/>
    <n v="327"/>
    <n v="9.3548387096774197E-2"/>
    <n v="0.10101010101010101"/>
    <n v="4935"/>
    <n v="4619"/>
    <n v="0.91"/>
    <n v="0.04"/>
    <n v="0.96"/>
    <n v="0.6"/>
    <n v="1"/>
    <n v="197"/>
    <n v="4"/>
    <s v="Outlier"/>
    <s v="Normal"/>
    <n v="9.3548387096774197E-2"/>
    <n v="0.10101010101010101"/>
  </r>
  <r>
    <d v="2024-04-18T00:00:00"/>
    <x v="2"/>
    <s v="R"/>
    <s v="FY25"/>
    <n v="371"/>
    <n v="339"/>
    <n v="2.7700831024930747E-2"/>
    <n v="1.8018018018018018E-2"/>
    <n v="5306"/>
    <n v="4958"/>
    <n v="0.8"/>
    <n v="0.09"/>
    <n v="0.91"/>
    <n v="0.64"/>
    <n v="1"/>
    <n v="207"/>
    <n v="4"/>
    <s v="Outlier"/>
    <s v="Normal"/>
    <n v="2.7700831024930747E-2"/>
    <n v="1.8018018018018018E-2"/>
  </r>
  <r>
    <d v="2024-04-19T00:00:00"/>
    <x v="2"/>
    <s v="F"/>
    <s v="FY25"/>
    <n v="350"/>
    <n v="340"/>
    <n v="5.7471264367816091E-3"/>
    <n v="1.4925373134328358E-2"/>
    <n v="5656"/>
    <n v="5298"/>
    <n v="0.94"/>
    <n v="0.03"/>
    <n v="0.97"/>
    <n v="0.62"/>
    <n v="1"/>
    <n v="195"/>
    <n v="4"/>
    <s v="Outlier"/>
    <s v="Normal"/>
    <n v="5.7471264367816091E-3"/>
    <n v="1.4925373134328358E-2"/>
  </r>
  <r>
    <d v="2024-04-20T00:00:00"/>
    <x v="2"/>
    <s v="S"/>
    <s v="FY25"/>
    <n v="116"/>
    <n v="114"/>
    <n v="-0.27950310559006208"/>
    <n v="-0.20279720279720279"/>
    <n v="5772"/>
    <n v="5412"/>
    <n v="0.97"/>
    <n v="0.02"/>
    <n v="0.98"/>
    <n v="0.37"/>
    <n v="1"/>
    <n v="215"/>
    <n v="4"/>
    <s v="Outlier"/>
    <s v="Normal"/>
    <n v="-0.27950310559006208"/>
    <n v="-0.20279720279720279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2T00:00:00"/>
    <x v="3"/>
    <s v="M"/>
    <s v="FY25"/>
    <n v="413"/>
    <n v="392"/>
    <n v="9.7799511002444987E-3"/>
    <n v="7.7120822622107968E-3"/>
    <n v="6185"/>
    <n v="5804"/>
    <n v="0.87"/>
    <n v="0.05"/>
    <n v="0.95"/>
    <n v="0.56000000000000005"/>
    <n v="1"/>
    <n v="169"/>
    <n v="4"/>
    <s v="Outlier"/>
    <s v="Normal"/>
    <n v="9.7799511002444987E-3"/>
    <n v="7.7120822622107968E-3"/>
  </r>
  <r>
    <d v="2024-04-23T00:00:00"/>
    <x v="3"/>
    <s v="T"/>
    <s v="FY25"/>
    <n v="319"/>
    <n v="305"/>
    <n v="-0.20250000000000001"/>
    <n v="-0.17789757412398921"/>
    <n v="6504"/>
    <n v="6109"/>
    <n v="0.89"/>
    <n v="0.04"/>
    <n v="0.96"/>
    <n v="0.55000000000000004"/>
    <n v="1"/>
    <n v="192"/>
    <n v="4"/>
    <s v="Outlier"/>
    <s v="Normal"/>
    <n v="-0.20250000000000001"/>
    <n v="-0.17789757412398921"/>
  </r>
  <r>
    <d v="2024-04-24T00:00:00"/>
    <x v="3"/>
    <s v="W"/>
    <s v="FY25"/>
    <n v="296"/>
    <n v="289"/>
    <n v="-0.12684365781710916"/>
    <n v="-0.11620795107033639"/>
    <n v="6800"/>
    <n v="6398"/>
    <n v="0.94"/>
    <n v="0.02"/>
    <n v="0.98"/>
    <n v="0.5"/>
    <n v="1"/>
    <n v="181"/>
    <n v="4"/>
    <s v="Outlier"/>
    <s v="Normal"/>
    <n v="-0.12684365781710916"/>
    <n v="-0.11620795107033639"/>
  </r>
  <r>
    <d v="2024-04-25T00:00:00"/>
    <x v="3"/>
    <s v="R"/>
    <s v="FY25"/>
    <n v="330"/>
    <n v="320"/>
    <n v="-0.11051212938005391"/>
    <n v="-5.6047197640117993E-2"/>
    <n v="7130"/>
    <n v="6718"/>
    <n v="0.9"/>
    <n v="0.03"/>
    <n v="0.97"/>
    <n v="0.56999999999999995"/>
    <n v="1"/>
    <n v="191"/>
    <n v="4"/>
    <s v="Outlier"/>
    <s v="Normal"/>
    <n v="-0.11051212938005391"/>
    <n v="-5.6047197640117993E-2"/>
  </r>
  <r>
    <d v="2024-04-26T00:00:00"/>
    <x v="3"/>
    <s v="F"/>
    <s v="FY25"/>
    <n v="387"/>
    <n v="374"/>
    <n v="0.10571428571428572"/>
    <n v="0.1"/>
    <n v="7517"/>
    <n v="7092"/>
    <n v="0.89"/>
    <n v="0.03"/>
    <n v="0.97"/>
    <n v="0.65"/>
    <n v="1"/>
    <n v="183"/>
    <n v="4"/>
    <s v="Outlier"/>
    <s v="Normal"/>
    <n v="0.10571428571428572"/>
    <n v="0.1"/>
  </r>
  <r>
    <d v="2024-04-27T00:00:00"/>
    <x v="3"/>
    <s v="S"/>
    <s v="FY25"/>
    <n v="141"/>
    <n v="133"/>
    <n v="0.21551724137931033"/>
    <n v="0.16666666666666666"/>
    <n v="7658"/>
    <n v="7225"/>
    <n v="0.89"/>
    <n v="0.06"/>
    <n v="0.94"/>
    <n v="0.42"/>
    <n v="1"/>
    <n v="205"/>
    <n v="4"/>
    <s v="Outlier"/>
    <s v="Normal"/>
    <n v="0.21551724137931033"/>
    <n v="0.16666666666666666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9T00:00:00"/>
    <x v="4"/>
    <s v="M"/>
    <s v="FY25"/>
    <n v="497"/>
    <n v="458"/>
    <n v="0.20338983050847459"/>
    <n v="0.1683673469387755"/>
    <n v="8155"/>
    <n v="7683"/>
    <n v="0.8"/>
    <n v="0.08"/>
    <n v="0.92"/>
    <n v="0.83"/>
    <n v="1"/>
    <n v="194"/>
    <n v="4"/>
    <s v="Outlier"/>
    <s v="Normal"/>
    <n v="0.20338983050847459"/>
    <n v="0.1683673469387755"/>
  </r>
  <r>
    <d v="2024-04-30T00:00:00"/>
    <x v="4"/>
    <s v="T"/>
    <s v="FY25"/>
    <n v="411"/>
    <n v="398"/>
    <n v="0.2884012539184953"/>
    <n v="0.30491803278688523"/>
    <n v="8566"/>
    <n v="8081"/>
    <n v="0.88"/>
    <n v="0.03"/>
    <n v="0.97"/>
    <n v="0.56999999999999995"/>
    <n v="1"/>
    <n v="169"/>
    <n v="4"/>
    <s v="Outlier"/>
    <s v="Normal"/>
    <n v="0.2884012539184953"/>
    <n v="0.30491803278688523"/>
  </r>
  <r>
    <d v="2024-05-01T00:00:00"/>
    <x v="4"/>
    <s v="W"/>
    <s v="FY25"/>
    <n v="191"/>
    <n v="187"/>
    <n v="-0.35472972972972971"/>
    <n v="-0.35294117647058826"/>
    <n v="8757"/>
    <n v="8268"/>
    <n v="0.93"/>
    <n v="0.02"/>
    <n v="0.98"/>
    <n v="0.23"/>
    <n v="1"/>
    <n v="138"/>
    <n v="4"/>
    <s v="Outlier"/>
    <s v="Normal"/>
    <n v="-0.35472972972972971"/>
    <n v="-0.35294117647058826"/>
  </r>
  <r>
    <d v="2024-05-02T00:00:00"/>
    <x v="4"/>
    <s v="R"/>
    <s v="FY25"/>
    <n v="466"/>
    <n v="421"/>
    <n v="0.41212121212121211"/>
    <n v="0.31562499999999999"/>
    <n v="9223"/>
    <n v="8689"/>
    <n v="0.71"/>
    <n v="0.1"/>
    <n v="0.9"/>
    <n v="0.78"/>
    <n v="1"/>
    <n v="202"/>
    <n v="4"/>
    <s v="Outlier"/>
    <s v="Outlier"/>
    <n v="0.41212121212121211"/>
    <n v="0.31562499999999999"/>
  </r>
  <r>
    <d v="2024-05-03T00:00:00"/>
    <x v="4"/>
    <s v="F"/>
    <s v="FY25"/>
    <n v="393"/>
    <n v="365"/>
    <n v="1.5503875968992248E-2"/>
    <n v="-2.4064171122994651E-2"/>
    <n v="9616"/>
    <n v="9054"/>
    <n v="0.84"/>
    <n v="7.0000000000000007E-2"/>
    <n v="0.93"/>
    <n v="0.64"/>
    <n v="1"/>
    <n v="183"/>
    <n v="4"/>
    <s v="Outlier"/>
    <s v="Normal"/>
    <n v="1.5503875968992248E-2"/>
    <n v="-2.4064171122994651E-2"/>
  </r>
  <r>
    <d v="2024-05-04T00:00:00"/>
    <x v="4"/>
    <s v="S"/>
    <s v="FY25"/>
    <n v="123"/>
    <n v="121"/>
    <n v="-0.1276595744680851"/>
    <n v="-9.0225563909774431E-2"/>
    <n v="9739"/>
    <n v="9175"/>
    <n v="0.95"/>
    <n v="0.02"/>
    <n v="0.98"/>
    <n v="0.38"/>
    <n v="1"/>
    <n v="204"/>
    <n v="4"/>
    <s v="Outlier"/>
    <s v="Normal"/>
    <n v="-0.1276595744680851"/>
    <n v="-9.0225563909774431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6T00:00:00"/>
    <x v="5"/>
    <s v="M"/>
    <s v="FY25"/>
    <n v="231"/>
    <n v="214"/>
    <n v="-0.53521126760563376"/>
    <n v="-0.53275109170305679"/>
    <n v="9970"/>
    <n v="9389"/>
    <n v="0.8"/>
    <n v="7.0000000000000007E-2"/>
    <n v="0.93"/>
    <n v="0.72"/>
    <n v="1"/>
    <n v="225"/>
    <n v="4"/>
    <s v="Outlier"/>
    <s v="Outlier"/>
    <n v="-0.53521126760563376"/>
    <n v="-0.53275109170305679"/>
  </r>
  <r>
    <d v="2024-05-07T00:00:00"/>
    <x v="5"/>
    <s v="T"/>
    <s v="FY25"/>
    <n v="488"/>
    <n v="386"/>
    <n v="0.18734793187347931"/>
    <n v="-3.015075376884422E-2"/>
    <n v="10458"/>
    <n v="9775"/>
    <n v="0.61"/>
    <n v="0.21"/>
    <n v="0.79"/>
    <n v="0.72"/>
    <n v="1"/>
    <n v="203"/>
    <n v="3"/>
    <s v="Outlier"/>
    <s v="Normal"/>
    <n v="0.18734793187347931"/>
    <n v="-3.015075376884422E-2"/>
  </r>
  <r>
    <d v="2024-05-08T00:00:00"/>
    <x v="5"/>
    <s v="W"/>
    <s v="FY25"/>
    <n v="399"/>
    <n v="354"/>
    <n v="1.0890052356020943"/>
    <n v="0.89304812834224601"/>
    <n v="10857"/>
    <n v="10129"/>
    <n v="0.69"/>
    <n v="0.11"/>
    <n v="0.89"/>
    <n v="0.66"/>
    <n v="1"/>
    <n v="206"/>
    <n v="4"/>
    <s v="Outlier"/>
    <s v="Outlier"/>
    <n v="1.0890052356020943"/>
    <n v="0.89304812834224601"/>
  </r>
  <r>
    <d v="2024-05-09T00:00:00"/>
    <x v="5"/>
    <s v="R"/>
    <s v="FY25"/>
    <n v="375"/>
    <n v="293"/>
    <n v="-0.19527896995708155"/>
    <n v="-0.30403800475059384"/>
    <n v="11232"/>
    <n v="10422"/>
    <n v="0.68"/>
    <n v="0.22"/>
    <n v="0.78"/>
    <n v="0.52"/>
    <n v="1"/>
    <n v="187"/>
    <n v="4"/>
    <s v="Outlier"/>
    <s v="Normal"/>
    <n v="-0.19527896995708155"/>
    <n v="-0.30403800475059384"/>
  </r>
  <r>
    <d v="2024-05-10T00:00:00"/>
    <x v="5"/>
    <s v="F"/>
    <s v="FY25"/>
    <n v="335"/>
    <n v="298"/>
    <n v="-0.1475826972010178"/>
    <n v="-0.18356164383561643"/>
    <n v="11567"/>
    <n v="10720"/>
    <n v="0.81"/>
    <n v="0.11"/>
    <n v="0.89"/>
    <n v="0.53"/>
    <n v="1"/>
    <n v="190"/>
    <n v="4"/>
    <s v="Outlier"/>
    <s v="Normal"/>
    <n v="-0.1475826972010178"/>
    <n v="-0.18356164383561643"/>
  </r>
  <r>
    <d v="2024-05-11T00:00:00"/>
    <x v="5"/>
    <s v="S"/>
    <s v="FY25"/>
    <n v="148"/>
    <n v="145"/>
    <n v="0.2032520325203252"/>
    <n v="0.19834710743801653"/>
    <n v="11715"/>
    <n v="10865"/>
    <n v="0.96"/>
    <n v="0.02"/>
    <n v="0.98"/>
    <n v="0.62"/>
    <n v="1"/>
    <n v="190"/>
    <n v="3"/>
    <s v="Outlier"/>
    <s v="Normal"/>
    <n v="0.2032520325203252"/>
    <n v="0.19834710743801653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13T00:00:00"/>
    <x v="6"/>
    <s v="M"/>
    <s v="FY25"/>
    <n v="423"/>
    <n v="384"/>
    <n v="0.83116883116883122"/>
    <n v="0.79439252336448596"/>
    <n v="12138"/>
    <n v="11249"/>
    <n v="0.82"/>
    <n v="0.09"/>
    <n v="0.91"/>
    <n v="0.7"/>
    <n v="1"/>
    <n v="195"/>
    <n v="4"/>
    <s v="Outlier"/>
    <s v="Outlier"/>
    <n v="0.83116883116883122"/>
    <n v="0.79439252336448596"/>
  </r>
  <r>
    <d v="2024-05-14T00:00:00"/>
    <x v="6"/>
    <s v="T"/>
    <s v="FY25"/>
    <n v="397"/>
    <n v="367"/>
    <n v="-0.18647540983606559"/>
    <n v="-4.9222797927461141E-2"/>
    <n v="12535"/>
    <n v="11616"/>
    <n v="0.82"/>
    <n v="0.08"/>
    <n v="0.92"/>
    <n v="0.64"/>
    <n v="1"/>
    <n v="185"/>
    <n v="4"/>
    <s v="Outlier"/>
    <s v="Normal"/>
    <n v="-0.18647540983606559"/>
    <n v="-4.9222797927461141E-2"/>
  </r>
  <r>
    <d v="2024-05-15T00:00:00"/>
    <x v="6"/>
    <s v="W"/>
    <s v="FY25"/>
    <n v="356"/>
    <n v="326"/>
    <n v="-0.10776942355889724"/>
    <n v="-7.909604519774012E-2"/>
    <n v="12891"/>
    <n v="11942"/>
    <n v="0.85"/>
    <n v="0.08"/>
    <n v="0.92"/>
    <n v="0.48"/>
    <n v="1"/>
    <n v="174"/>
    <n v="4"/>
    <s v="Outlier"/>
    <s v="Normal"/>
    <n v="-0.10776942355889724"/>
    <n v="-7.909604519774012E-2"/>
  </r>
  <r>
    <d v="2024-05-16T00:00:00"/>
    <x v="6"/>
    <s v="R"/>
    <s v="FY25"/>
    <n v="409"/>
    <n v="336"/>
    <n v="9.0666666666666673E-2"/>
    <n v="0.14675767918088736"/>
    <n v="13300"/>
    <n v="12278"/>
    <n v="0.66"/>
    <n v="0.18"/>
    <n v="0.82"/>
    <n v="0.63"/>
    <n v="1"/>
    <n v="204"/>
    <n v="4"/>
    <s v="Outlier"/>
    <s v="Normal"/>
    <n v="9.0666666666666673E-2"/>
    <n v="0.14675767918088736"/>
  </r>
  <r>
    <d v="2024-05-17T00:00:00"/>
    <x v="6"/>
    <s v="F"/>
    <s v="FY25"/>
    <n v="335"/>
    <n v="313"/>
    <n v="0"/>
    <n v="5.0335570469798654E-2"/>
    <n v="13635"/>
    <n v="12591"/>
    <n v="0.85"/>
    <n v="7.0000000000000007E-2"/>
    <n v="0.93"/>
    <n v="0.56000000000000005"/>
    <n v="1"/>
    <n v="189"/>
    <n v="4"/>
    <s v="Outlier"/>
    <s v="Normal"/>
    <n v="0"/>
    <n v="5.0335570469798654E-2"/>
  </r>
  <r>
    <d v="2024-05-18T00:00:00"/>
    <x v="6"/>
    <s v="S"/>
    <s v="FY25"/>
    <n v="136"/>
    <n v="131"/>
    <n v="-8.1081081081081086E-2"/>
    <n v="-9.6551724137931033E-2"/>
    <n v="13771"/>
    <n v="12722"/>
    <n v="0.83"/>
    <n v="0.04"/>
    <n v="0.96"/>
    <n v="0.56999999999999995"/>
    <n v="1"/>
    <n v="213"/>
    <n v="3"/>
    <s v="Outlier"/>
    <s v="Normal"/>
    <n v="-8.1081081081081086E-2"/>
    <n v="-9.6551724137931033E-2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0T00:00:00"/>
    <x v="7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1T00:00:00"/>
    <x v="7"/>
    <s v="T"/>
    <s v="FY25"/>
    <n v="390"/>
    <n v="326"/>
    <n v="-1.7632241813602016E-2"/>
    <n v="-0.11171662125340599"/>
    <n v="390"/>
    <n v="326"/>
    <n v="0.65"/>
    <n v="0.16"/>
    <n v="0.84"/>
    <n v="0.61"/>
    <n v="1"/>
    <n v="205"/>
    <n v="4"/>
    <s v="Outlier"/>
    <s v="Normal"/>
    <n v="-1.7632241813602016E-2"/>
    <n v="-0.11171662125340599"/>
  </r>
  <r>
    <d v="2024-05-22T00:00:00"/>
    <x v="7"/>
    <s v="W"/>
    <s v="FY25"/>
    <n v="372"/>
    <n v="337"/>
    <n v="4.49438202247191E-2"/>
    <n v="3.3742331288343558E-2"/>
    <n v="762"/>
    <n v="663"/>
    <n v="0.77"/>
    <n v="0.09"/>
    <n v="0.91"/>
    <n v="0.67"/>
    <n v="1"/>
    <n v="224"/>
    <n v="4"/>
    <s v="Outlier"/>
    <s v="Normal"/>
    <n v="4.49438202247191E-2"/>
    <n v="3.3742331288343558E-2"/>
  </r>
  <r>
    <d v="2024-05-23T00:00:00"/>
    <x v="7"/>
    <s v="R"/>
    <s v="FY25"/>
    <n v="352"/>
    <n v="271"/>
    <n v="-0.13936430317848411"/>
    <n v="-0.19345238095238096"/>
    <n v="1114"/>
    <n v="934"/>
    <n v="0.59"/>
    <n v="0.23"/>
    <n v="0.77"/>
    <n v="0.68"/>
    <n v="1"/>
    <n v="209"/>
    <n v="3"/>
    <s v="Outlier"/>
    <s v="Normal"/>
    <n v="-0.13936430317848411"/>
    <n v="-0.19345238095238096"/>
  </r>
  <r>
    <d v="2024-05-24T00:00:00"/>
    <x v="7"/>
    <s v="F"/>
    <s v="FY25"/>
    <n v="349"/>
    <n v="306"/>
    <n v="4.1791044776119404E-2"/>
    <n v="-2.2364217252396165E-2"/>
    <n v="1463"/>
    <n v="1240"/>
    <n v="0.74"/>
    <n v="0.12"/>
    <n v="0.88"/>
    <n v="0.56999999999999995"/>
    <n v="1"/>
    <n v="202"/>
    <n v="3"/>
    <s v="Outlier"/>
    <s v="Normal"/>
    <n v="4.1791044776119404E-2"/>
    <n v="-2.2364217252396165E-2"/>
  </r>
  <r>
    <d v="2024-05-25T00:00:00"/>
    <x v="7"/>
    <s v="S"/>
    <s v="FY25"/>
    <n v="128"/>
    <n v="116"/>
    <n v="-5.8823529411764705E-2"/>
    <n v="-0.11450381679389313"/>
    <n v="1591"/>
    <n v="1356"/>
    <n v="0.79"/>
    <n v="0.09"/>
    <n v="0.91"/>
    <n v="0.56999999999999995"/>
    <n v="1"/>
    <n v="125"/>
    <n v="2"/>
    <s v="Outlier"/>
    <s v="Normal"/>
    <n v="-5.8823529411764705E-2"/>
    <n v="-0.11450381679389313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7T00:00:00"/>
    <x v="8"/>
    <s v="M"/>
    <s v="FY25"/>
    <n v="361"/>
    <n v="332"/>
    <n v="0"/>
    <n v="0"/>
    <n v="1952"/>
    <n v="1688"/>
    <n v="0.83"/>
    <n v="0.08"/>
    <n v="0.92"/>
    <n v="0.66"/>
    <n v="1"/>
    <n v="224"/>
    <n v="4"/>
    <s v="Outlier"/>
    <s v="Normal"/>
    <n v="0"/>
    <n v="0"/>
  </r>
  <r>
    <d v="2024-05-28T00:00:00"/>
    <x v="8"/>
    <s v="T"/>
    <s v="FY25"/>
    <n v="332"/>
    <n v="296"/>
    <n v="-0.14871794871794872"/>
    <n v="-9.202453987730061E-2"/>
    <n v="2284"/>
    <n v="1984"/>
    <n v="0.72"/>
    <n v="0.11"/>
    <n v="0.89"/>
    <n v="0.56000000000000005"/>
    <n v="1"/>
    <n v="209"/>
    <n v="4"/>
    <s v="Outlier"/>
    <s v="Normal"/>
    <n v="-0.14871794871794872"/>
    <n v="-9.202453987730061E-2"/>
  </r>
  <r>
    <d v="2024-05-29T00:00:00"/>
    <x v="8"/>
    <s v="W"/>
    <s v="FY25"/>
    <n v="324"/>
    <n v="301"/>
    <n v="-0.12903225806451613"/>
    <n v="-0.10682492581602374"/>
    <n v="2608"/>
    <n v="2285"/>
    <n v="0.88"/>
    <n v="7.0000000000000007E-2"/>
    <n v="0.93"/>
    <n v="0.56999999999999995"/>
    <n v="1"/>
    <n v="210"/>
    <n v="4"/>
    <s v="Outlier"/>
    <s v="Normal"/>
    <n v="-0.12903225806451613"/>
    <n v="-0.10682492581602374"/>
  </r>
  <r>
    <d v="2024-05-30T00:00:00"/>
    <x v="8"/>
    <s v="R"/>
    <s v="FY25"/>
    <n v="209"/>
    <n v="199"/>
    <n v="-0.40625"/>
    <n v="-0.26568265682656828"/>
    <n v="2817"/>
    <n v="2484"/>
    <n v="0.91"/>
    <n v="0.05"/>
    <n v="0.95"/>
    <n v="0.49"/>
    <n v="1"/>
    <n v="203"/>
    <n v="3"/>
    <s v="Outlier"/>
    <s v="Outlier"/>
    <n v="-0.40625"/>
    <n v="-0.26568265682656828"/>
  </r>
  <r>
    <d v="2024-05-31T00:00:00"/>
    <x v="8"/>
    <s v="F"/>
    <s v="FY25"/>
    <n v="349"/>
    <n v="336"/>
    <n v="0"/>
    <n v="9.8039215686274508E-2"/>
    <n v="3166"/>
    <n v="2820"/>
    <n v="0.9"/>
    <n v="0.04"/>
    <n v="0.96"/>
    <n v="0.57999999999999996"/>
    <n v="1"/>
    <n v="182"/>
    <n v="4"/>
    <s v="Outlier"/>
    <s v="Normal"/>
    <n v="0"/>
    <n v="9.8039215686274508E-2"/>
  </r>
  <r>
    <d v="2024-06-01T00:00:00"/>
    <x v="8"/>
    <s v="S"/>
    <s v="FY25"/>
    <n v="132"/>
    <n v="122"/>
    <n v="3.125E-2"/>
    <n v="5.1724137931034482E-2"/>
    <n v="132"/>
    <n v="122"/>
    <n v="0.87"/>
    <n v="0.08"/>
    <n v="0.92"/>
    <n v="0.32"/>
    <n v="1"/>
    <n v="219"/>
    <n v="3"/>
    <s v="Outlier"/>
    <s v="Normal"/>
    <n v="3.125E-2"/>
    <n v="5.1724137931034482E-2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03T00:00:00"/>
    <x v="9"/>
    <s v="M"/>
    <s v="FY25"/>
    <n v="427"/>
    <n v="369"/>
    <n v="0.18282548476454294"/>
    <n v="0.11144578313253012"/>
    <n v="559"/>
    <n v="491"/>
    <n v="0.69"/>
    <n v="0.14000000000000001"/>
    <n v="0.86"/>
    <n v="0.72"/>
    <n v="1"/>
    <n v="218"/>
    <n v="4"/>
    <s v="Outlier"/>
    <s v="Normal"/>
    <n v="0.18282548476454294"/>
    <n v="0.11144578313253012"/>
  </r>
  <r>
    <d v="2024-06-04T00:00:00"/>
    <x v="9"/>
    <s v="T"/>
    <s v="FY25"/>
    <n v="339"/>
    <n v="325"/>
    <n v="2.1084337349397589E-2"/>
    <n v="9.7972972972972971E-2"/>
    <n v="898"/>
    <n v="816"/>
    <n v="0.9"/>
    <n v="0.04"/>
    <n v="0.96"/>
    <n v="0.8"/>
    <n v="1"/>
    <n v="171"/>
    <n v="4"/>
    <s v="Outlier"/>
    <s v="Normal"/>
    <n v="2.1084337349397589E-2"/>
    <n v="9.7972972972972971E-2"/>
  </r>
  <r>
    <d v="2024-06-05T00:00:00"/>
    <x v="9"/>
    <s v="W"/>
    <s v="FY25"/>
    <n v="315"/>
    <n v="281"/>
    <n v="-2.7777777777777776E-2"/>
    <n v="-6.6445182724252497E-2"/>
    <n v="1213"/>
    <n v="1097"/>
    <n v="0.72"/>
    <n v="0.11"/>
    <n v="0.89"/>
    <n v="0.52"/>
    <n v="1"/>
    <n v="201"/>
    <n v="4"/>
    <s v="Outlier"/>
    <s v="Normal"/>
    <n v="-2.7777777777777776E-2"/>
    <n v="-6.6445182724252497E-2"/>
  </r>
  <r>
    <d v="2024-06-06T00:00:00"/>
    <x v="9"/>
    <s v="R"/>
    <s v="FY25"/>
    <n v="368"/>
    <n v="326"/>
    <n v="0.76076555023923442"/>
    <n v="0.63819095477386933"/>
    <n v="1581"/>
    <n v="1423"/>
    <n v="0.8"/>
    <n v="0.11"/>
    <n v="0.89"/>
    <n v="0.57999999999999996"/>
    <n v="1"/>
    <n v="189"/>
    <n v="4"/>
    <s v="Outlier"/>
    <s v="Outlier"/>
    <n v="0.76076555023923442"/>
    <n v="0.63819095477386933"/>
  </r>
  <r>
    <d v="2024-06-07T00:00:00"/>
    <x v="9"/>
    <s v="F"/>
    <s v="FY25"/>
    <n v="304"/>
    <n v="283"/>
    <n v="-0.12893982808022922"/>
    <n v="-0.15773809523809523"/>
    <n v="1885"/>
    <n v="1706"/>
    <n v="0.86"/>
    <n v="0.06"/>
    <n v="0.94"/>
    <n v="0.52"/>
    <n v="1"/>
    <n v="197"/>
    <n v="4"/>
    <s v="Outlier"/>
    <s v="Normal"/>
    <n v="-0.12893982808022922"/>
    <n v="-0.15773809523809523"/>
  </r>
  <r>
    <d v="2024-06-08T00:00:00"/>
    <x v="9"/>
    <s v="S"/>
    <s v="FY25"/>
    <n v="123"/>
    <n v="119"/>
    <n v="-6.8181818181818177E-2"/>
    <n v="-2.4590163934426229E-2"/>
    <n v="2008"/>
    <n v="1825"/>
    <n v="0.93"/>
    <n v="0.03"/>
    <n v="0.97"/>
    <n v="0.25"/>
    <n v="1"/>
    <n v="136"/>
    <n v="4"/>
    <s v="Outlier"/>
    <s v="Normal"/>
    <n v="-6.8181818181818177E-2"/>
    <n v="-2.4590163934426229E-2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0T00:00:00"/>
    <x v="10"/>
    <s v="M"/>
    <s v="FY25"/>
    <n v="335"/>
    <n v="323"/>
    <n v="-0.21545667447306791"/>
    <n v="-0.12466124661246612"/>
    <n v="2343"/>
    <n v="2148"/>
    <n v="0.87"/>
    <n v="0.03"/>
    <n v="0.97"/>
    <n v="0.56000000000000005"/>
    <n v="1"/>
    <n v="181"/>
    <n v="4"/>
    <s v="Outlier"/>
    <s v="Normal"/>
    <n v="-0.21545667447306791"/>
    <n v="-0.12466124661246612"/>
  </r>
  <r>
    <d v="2024-06-11T00:00:00"/>
    <x v="10"/>
    <s v="T"/>
    <s v="FY25"/>
    <n v="288"/>
    <n v="270"/>
    <n v="-0.15044247787610621"/>
    <n v="-0.16923076923076924"/>
    <n v="2631"/>
    <n v="2418"/>
    <n v="0.81"/>
    <n v="0.06"/>
    <n v="0.94"/>
    <n v="0.5"/>
    <n v="1"/>
    <n v="199"/>
    <n v="4"/>
    <s v="Outlier"/>
    <s v="Normal"/>
    <n v="-0.15044247787610621"/>
    <n v="-0.16923076923076924"/>
  </r>
  <r>
    <d v="2024-06-12T00:00:00"/>
    <x v="10"/>
    <s v="W"/>
    <s v="FY25"/>
    <n v="300"/>
    <n v="286"/>
    <n v="-4.7619047619047616E-2"/>
    <n v="1.7793594306049824E-2"/>
    <n v="2931"/>
    <n v="2704"/>
    <n v="0.89"/>
    <n v="0.05"/>
    <n v="0.95"/>
    <n v="0.51"/>
    <n v="1"/>
    <n v="192"/>
    <n v="4"/>
    <s v="Outlier"/>
    <s v="Normal"/>
    <n v="-4.7619047619047616E-2"/>
    <n v="1.7793594306049824E-2"/>
  </r>
  <r>
    <d v="2024-06-13T00:00:00"/>
    <x v="10"/>
    <s v="R"/>
    <s v="FY25"/>
    <n v="273"/>
    <n v="249"/>
    <n v="-0.25815217391304346"/>
    <n v="-0.2361963190184049"/>
    <n v="3204"/>
    <n v="2953"/>
    <n v="0.85"/>
    <n v="0.09"/>
    <n v="0.91"/>
    <n v="0.47"/>
    <n v="1"/>
    <n v="208"/>
    <n v="4"/>
    <s v="Outlier"/>
    <s v="Normal"/>
    <n v="-0.25815217391304346"/>
    <n v="-0.2361963190184049"/>
  </r>
  <r>
    <d v="2024-06-14T00:00:00"/>
    <x v="10"/>
    <s v="F"/>
    <s v="FY25"/>
    <n v="345"/>
    <n v="286"/>
    <n v="0.13486842105263158"/>
    <n v="1.0600706713780919E-2"/>
    <n v="3549"/>
    <n v="3239"/>
    <n v="0.72"/>
    <n v="0.17"/>
    <n v="0.83"/>
    <n v="0.5"/>
    <n v="1"/>
    <n v="187"/>
    <n v="4"/>
    <s v="Outlier"/>
    <s v="Normal"/>
    <n v="0.13486842105263158"/>
    <n v="1.0600706713780919E-2"/>
  </r>
  <r>
    <d v="2024-06-15T00:00:00"/>
    <x v="10"/>
    <s v="S"/>
    <s v="FY25"/>
    <n v="97"/>
    <n v="96"/>
    <n v="-0.21138211382113822"/>
    <n v="-0.19327731092436976"/>
    <n v="3646"/>
    <n v="3335"/>
    <n v="0.97"/>
    <n v="0.01"/>
    <n v="0.99"/>
    <n v="0.44"/>
    <n v="1"/>
    <n v="231"/>
    <n v="4"/>
    <s v="Outlier"/>
    <s v="Normal"/>
    <n v="-0.21138211382113822"/>
    <n v="-0.19327731092436976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7T00:00:00"/>
    <x v="11"/>
    <s v="M"/>
    <s v="FY25"/>
    <n v="317"/>
    <n v="313"/>
    <n v="-5.3731343283582089E-2"/>
    <n v="-3.0959752321981424E-2"/>
    <n v="3963"/>
    <n v="3648"/>
    <n v="0.74"/>
    <n v="0.15"/>
    <n v="0.85"/>
    <n v="0.6"/>
    <n v="1"/>
    <n v="215"/>
    <n v="4"/>
    <s v="Outlier"/>
    <s v="Normal"/>
    <n v="-5.3731343283582089E-2"/>
    <n v="-3.0959752321981424E-2"/>
  </r>
  <r>
    <d v="2024-06-18T00:00:00"/>
    <x v="11"/>
    <s v="T"/>
    <s v="FY25"/>
    <n v="290"/>
    <n v="274"/>
    <n v="6.9444444444444441E-3"/>
    <n v="1.4814814814814815E-2"/>
    <n v="4253"/>
    <n v="3922"/>
    <n v="0.85"/>
    <n v="0.06"/>
    <n v="0.94"/>
    <n v="0.5"/>
    <n v="1"/>
    <n v="199"/>
    <n v="4"/>
    <s v="Outlier"/>
    <s v="Normal"/>
    <n v="6.9444444444444441E-3"/>
    <n v="1.4814814814814815E-2"/>
  </r>
  <r>
    <d v="2024-06-19T00:00:00"/>
    <x v="11"/>
    <s v="W"/>
    <s v="FY25"/>
    <n v="348"/>
    <n v="275"/>
    <n v="0.16"/>
    <n v="-3.8461538461538464E-2"/>
    <n v="4601"/>
    <n v="4197"/>
    <n v="0.68"/>
    <n v="0.21"/>
    <n v="0.79"/>
    <n v="0.52"/>
    <n v="1"/>
    <n v="208"/>
    <n v="4"/>
    <s v="Outlier"/>
    <s v="Normal"/>
    <n v="0.16"/>
    <n v="-3.8461538461538464E-2"/>
  </r>
  <r>
    <d v="2024-06-20T00:00:00"/>
    <x v="11"/>
    <s v="R"/>
    <s v="FY25"/>
    <n v="285"/>
    <n v="270"/>
    <n v="4.3956043956043959E-2"/>
    <n v="8.4337349397590355E-2"/>
    <n v="4886"/>
    <n v="4467"/>
    <n v="0.85"/>
    <n v="0.05"/>
    <n v="0.95"/>
    <n v="0.53"/>
    <n v="1"/>
    <n v="223"/>
    <n v="4"/>
    <s v="Outlier"/>
    <s v="Normal"/>
    <n v="4.3956043956043959E-2"/>
    <n v="8.4337349397590355E-2"/>
  </r>
  <r>
    <d v="2024-06-21T00:00:00"/>
    <x v="11"/>
    <s v="F"/>
    <s v="FY25"/>
    <n v="270"/>
    <n v="261"/>
    <n v="-0.21739130434782608"/>
    <n v="-8.7412587412587409E-2"/>
    <n v="5156"/>
    <n v="4728"/>
    <n v="0.91"/>
    <n v="0.03"/>
    <n v="0.97"/>
    <n v="0.46"/>
    <n v="1"/>
    <n v="189"/>
    <n v="4"/>
    <s v="Outlier"/>
    <s v="Normal"/>
    <n v="-0.21739130434782608"/>
    <n v="-8.7412587412587409E-2"/>
  </r>
  <r>
    <d v="2024-06-22T00:00:00"/>
    <x v="11"/>
    <s v="S"/>
    <s v="FY25"/>
    <n v="91"/>
    <n v="89"/>
    <n v="-6.1855670103092786E-2"/>
    <n v="-7.2916666666666671E-2"/>
    <n v="5247"/>
    <n v="4817"/>
    <n v="0.91"/>
    <n v="0.06"/>
    <n v="0.94"/>
    <n v="0.27"/>
    <n v="1"/>
    <n v="148"/>
    <n v="3"/>
    <s v="Outlier"/>
    <s v="Normal"/>
    <n v="-6.1855670103092786E-2"/>
    <n v="-7.2916666666666671E-2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24T00:00:00"/>
    <x v="12"/>
    <s v="M"/>
    <s v="FY25"/>
    <n v="315"/>
    <n v="295"/>
    <n v="-6.3091482649842269E-3"/>
    <n v="-5.7507987220447282E-2"/>
    <n v="5562"/>
    <n v="5112"/>
    <n v="0.84"/>
    <n v="0.06"/>
    <n v="0.94"/>
    <n v="0.54"/>
    <n v="1"/>
    <n v="200"/>
    <n v="4"/>
    <s v="Outlier"/>
    <s v="Normal"/>
    <n v="-6.3091482649842269E-3"/>
    <n v="-5.7507987220447282E-2"/>
  </r>
  <r>
    <d v="2024-06-25T00:00:00"/>
    <x v="12"/>
    <s v="T"/>
    <s v="FY25"/>
    <n v="324"/>
    <n v="302"/>
    <n v="0.11724137931034483"/>
    <n v="0.10218978102189781"/>
    <n v="5886"/>
    <n v="5414"/>
    <n v="0.83"/>
    <n v="0.06"/>
    <n v="0.94"/>
    <n v="0.56999999999999995"/>
    <n v="1"/>
    <n v="207"/>
    <n v="4"/>
    <s v="Outlier"/>
    <s v="Normal"/>
    <n v="0.11724137931034483"/>
    <n v="0.10218978102189781"/>
  </r>
  <r>
    <d v="2024-06-26T00:00:00"/>
    <x v="12"/>
    <s v="W"/>
    <s v="FY25"/>
    <n v="353"/>
    <n v="338"/>
    <n v="1.4367816091954023E-2"/>
    <n v="0.2290909090909091"/>
    <n v="6239"/>
    <n v="5752"/>
    <n v="0.88"/>
    <n v="0.04"/>
    <n v="0.96"/>
    <n v="0.6"/>
    <n v="1"/>
    <n v="210"/>
    <n v="4"/>
    <s v="Outlier"/>
    <s v="Normal"/>
    <n v="1.4367816091954023E-2"/>
    <n v="0.2290909090909091"/>
  </r>
  <r>
    <d v="2024-06-27T00:00:00"/>
    <x v="12"/>
    <s v="R"/>
    <s v="FY25"/>
    <n v="309"/>
    <n v="294"/>
    <n v="8.4210526315789472E-2"/>
    <n v="8.8888888888888892E-2"/>
    <n v="6548"/>
    <n v="6046"/>
    <n v="0.88"/>
    <n v="0.05"/>
    <n v="0.95"/>
    <n v="0.53"/>
    <n v="1"/>
    <n v="191"/>
    <n v="4"/>
    <s v="Outlier"/>
    <s v="Normal"/>
    <n v="8.4210526315789472E-2"/>
    <n v="8.8888888888888892E-2"/>
  </r>
  <r>
    <d v="2024-06-28T00:00:00"/>
    <x v="12"/>
    <s v="F"/>
    <s v="FY25"/>
    <n v="359"/>
    <n v="336"/>
    <n v="0.32962962962962961"/>
    <n v="0.28735632183908044"/>
    <n v="6907"/>
    <n v="6382"/>
    <n v="0.88"/>
    <n v="0.06"/>
    <n v="0.94"/>
    <n v="0.64"/>
    <n v="1"/>
    <n v="213"/>
    <n v="4"/>
    <s v="Outlier"/>
    <s v="Normal"/>
    <n v="0.32962962962962961"/>
    <n v="0.28735632183908044"/>
  </r>
  <r>
    <d v="2024-06-29T00:00:00"/>
    <x v="12"/>
    <s v="S"/>
    <s v="FY25"/>
    <n v="113"/>
    <n v="110"/>
    <n v="0.24175824175824176"/>
    <n v="0.23595505617977527"/>
    <n v="7020"/>
    <n v="6492"/>
    <n v="0.96"/>
    <n v="0.03"/>
    <n v="0.97"/>
    <n v="0.59"/>
    <n v="1"/>
    <n v="251"/>
    <n v="3"/>
    <s v="Outlier"/>
    <s v="Normal"/>
    <n v="0.24175824175824176"/>
    <n v="0.23595505617977527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1T00:00:00"/>
    <x v="13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2T00:00:00"/>
    <x v="13"/>
    <s v="T"/>
    <s v="FY25"/>
    <n v="289"/>
    <n v="286"/>
    <n v="-0.10802469135802469"/>
    <n v="-5.2980132450331126E-2"/>
    <n v="289"/>
    <n v="286"/>
    <n v="0.94"/>
    <n v="0.01"/>
    <n v="0.99"/>
    <n v="0.52"/>
    <n v="1"/>
    <n v="199"/>
    <n v="4"/>
    <s v="Outlier"/>
    <s v="Normal"/>
    <n v="-0.10802469135802469"/>
    <n v="-5.2980132450331126E-2"/>
  </r>
  <r>
    <d v="2024-07-03T00:00:00"/>
    <x v="13"/>
    <s v="W"/>
    <s v="FY25"/>
    <n v="305"/>
    <n v="287"/>
    <n v="-0.1359773371104816"/>
    <n v="-0.15088757396449703"/>
    <n v="594"/>
    <n v="573"/>
    <n v="0.88"/>
    <n v="0.06"/>
    <n v="0.94"/>
    <n v="0.52"/>
    <n v="1"/>
    <n v="195"/>
    <n v="4"/>
    <s v="Outlier"/>
    <s v="Normal"/>
    <n v="-0.1359773371104816"/>
    <n v="-0.15088757396449703"/>
  </r>
  <r>
    <d v="2024-07-04T00:00:00"/>
    <x v="13"/>
    <s v="R"/>
    <s v="FY25"/>
    <n v="317"/>
    <n v="294"/>
    <n v="2.5889967637540454E-2"/>
    <n v="0"/>
    <n v="911"/>
    <n v="867"/>
    <n v="0.79"/>
    <n v="7.0000000000000007E-2"/>
    <n v="0.93"/>
    <n v="0.54"/>
    <n v="1"/>
    <n v="181"/>
    <n v="4"/>
    <s v="Outlier"/>
    <s v="Normal"/>
    <n v="2.5889967637540454E-2"/>
    <n v="0"/>
  </r>
  <r>
    <d v="2024-07-05T00:00:00"/>
    <x v="13"/>
    <s v="F"/>
    <s v="FY25"/>
    <n v="319"/>
    <n v="300"/>
    <n v="-0.11142061281337047"/>
    <n v="-0.10714285714285714"/>
    <n v="1230"/>
    <n v="1167"/>
    <n v="0.88"/>
    <n v="0.06"/>
    <n v="0.94"/>
    <n v="0.55000000000000004"/>
    <n v="1"/>
    <n v="200"/>
    <n v="4"/>
    <s v="Outlier"/>
    <s v="Normal"/>
    <n v="-0.11142061281337047"/>
    <n v="-0.10714285714285714"/>
  </r>
  <r>
    <d v="2024-07-06T00:00:00"/>
    <x v="13"/>
    <s v="S"/>
    <s v="FY25"/>
    <n v="110"/>
    <n v="102"/>
    <n v="-2.6548672566371681E-2"/>
    <n v="-7.2727272727272724E-2"/>
    <n v="1340"/>
    <n v="1269"/>
    <n v="0.89"/>
    <n v="7.0000000000000007E-2"/>
    <n v="0.93"/>
    <n v="0.33"/>
    <n v="1"/>
    <n v="166"/>
    <n v="3"/>
    <s v="Outlier"/>
    <s v="Normal"/>
    <n v="-2.6548672566371681E-2"/>
    <n v="-7.2727272727272724E-2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8T00:00:00"/>
    <x v="14"/>
    <s v="M"/>
    <s v="FY25"/>
    <n v="311"/>
    <n v="292"/>
    <n v="0"/>
    <n v="0"/>
    <n v="1651"/>
    <n v="1561"/>
    <n v="0.87"/>
    <n v="0.06"/>
    <n v="0.94"/>
    <n v="0.54"/>
    <n v="1"/>
    <n v="202"/>
    <n v="4"/>
    <s v="Outlier"/>
    <s v="Normal"/>
    <n v="0"/>
    <n v="0"/>
  </r>
  <r>
    <d v="2024-07-09T00:00:00"/>
    <x v="14"/>
    <s v="T"/>
    <s v="FY25"/>
    <n v="278"/>
    <n v="264"/>
    <n v="-3.8062283737024222E-2"/>
    <n v="-7.6923076923076927E-2"/>
    <n v="1929"/>
    <n v="1825"/>
    <n v="0.9"/>
    <n v="0.05"/>
    <n v="0.95"/>
    <n v="0.5"/>
    <n v="1"/>
    <n v="207"/>
    <n v="4"/>
    <s v="Outlier"/>
    <s v="Normal"/>
    <n v="-3.8062283737024222E-2"/>
    <n v="-7.6923076923076927E-2"/>
  </r>
  <r>
    <d v="2024-07-10T00:00:00"/>
    <x v="14"/>
    <s v="W"/>
    <s v="FY25"/>
    <n v="298"/>
    <n v="287"/>
    <n v="-2.2950819672131147E-2"/>
    <n v="0"/>
    <n v="2227"/>
    <n v="2112"/>
    <n v="0.9"/>
    <n v="0.04"/>
    <n v="0.96"/>
    <n v="0.57999999999999996"/>
    <n v="1"/>
    <n v="229"/>
    <n v="4"/>
    <s v="Outlier"/>
    <s v="Normal"/>
    <n v="-2.2950819672131147E-2"/>
    <n v="0"/>
  </r>
  <r>
    <d v="2024-07-11T00:00:00"/>
    <x v="14"/>
    <s v="R"/>
    <s v="FY25"/>
    <n v="295"/>
    <n v="280"/>
    <n v="-6.9400630914826497E-2"/>
    <n v="-4.7619047619047616E-2"/>
    <n v="2522"/>
    <n v="2392"/>
    <n v="0.86"/>
    <n v="0.05"/>
    <n v="0.95"/>
    <n v="0.55000000000000004"/>
    <n v="1"/>
    <n v="220"/>
    <n v="4"/>
    <s v="Outlier"/>
    <s v="Normal"/>
    <n v="-6.9400630914826497E-2"/>
    <n v="-4.7619047619047616E-2"/>
  </r>
  <r>
    <d v="2024-07-12T00:00:00"/>
    <x v="14"/>
    <s v="F"/>
    <s v="FY25"/>
    <n v="331"/>
    <n v="313"/>
    <n v="3.7617554858934171E-2"/>
    <n v="4.3333333333333335E-2"/>
    <n v="2853"/>
    <n v="2705"/>
    <n v="0.9"/>
    <n v="0.05"/>
    <n v="0.95"/>
    <n v="0.57999999999999996"/>
    <n v="1"/>
    <n v="200"/>
    <n v="4"/>
    <s v="Outlier"/>
    <s v="Normal"/>
    <n v="3.7617554858934171E-2"/>
    <n v="4.3333333333333335E-2"/>
  </r>
  <r>
    <d v="2024-07-13T00:00:00"/>
    <x v="14"/>
    <s v="S"/>
    <s v="FY25"/>
    <n v="90"/>
    <n v="89"/>
    <n v="-0.18181818181818182"/>
    <n v="-0.12745098039215685"/>
    <n v="2943"/>
    <n v="2794"/>
    <n v="0.96"/>
    <n v="0.01"/>
    <n v="0.99"/>
    <n v="0.4"/>
    <n v="1"/>
    <n v="223"/>
    <n v="3"/>
    <s v="Outlier"/>
    <s v="Normal"/>
    <n v="-0.18181818181818182"/>
    <n v="-0.12745098039215685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15T00:00:00"/>
    <x v="15"/>
    <s v="M"/>
    <s v="FY25"/>
    <n v="348"/>
    <n v="315"/>
    <n v="0.11897106109324759"/>
    <n v="7.8767123287671229E-2"/>
    <n v="3291"/>
    <n v="3109"/>
    <n v="0.94"/>
    <n v="0.09"/>
    <n v="0.91"/>
    <n v="0.62"/>
    <n v="1"/>
    <n v="213"/>
    <n v="3"/>
    <s v="Outlier"/>
    <s v="Normal"/>
    <n v="0.11897106109324759"/>
    <n v="7.8767123287671229E-2"/>
  </r>
  <r>
    <d v="2024-07-16T00:00:00"/>
    <x v="15"/>
    <s v="T"/>
    <s v="FY25"/>
    <n v="220"/>
    <n v="207"/>
    <n v="-0.20863309352517986"/>
    <n v="-0.21590909090909091"/>
    <n v="3511"/>
    <n v="3316"/>
    <n v="0.83"/>
    <n v="0.06"/>
    <n v="0.94"/>
    <n v="0.42"/>
    <n v="1"/>
    <n v="334"/>
    <n v="4"/>
    <s v="Outlier"/>
    <s v="Normal"/>
    <n v="-0.20863309352517986"/>
    <n v="-0.21590909090909091"/>
  </r>
  <r>
    <d v="2024-07-17T00:00:00"/>
    <x v="15"/>
    <s v="W"/>
    <s v="FY25"/>
    <n v="329"/>
    <n v="297"/>
    <n v="0.1040268456375839"/>
    <n v="3.484320557491289E-2"/>
    <n v="3840"/>
    <n v="3613"/>
    <n v="0.77"/>
    <n v="0.1"/>
    <n v="0.9"/>
    <n v="0.61"/>
    <n v="1"/>
    <n v="238"/>
    <n v="4"/>
    <s v="Outlier"/>
    <s v="Normal"/>
    <n v="0.1040268456375839"/>
    <n v="3.484320557491289E-2"/>
  </r>
  <r>
    <d v="2024-07-18T00:00:00"/>
    <x v="15"/>
    <s v="R"/>
    <s v="FY25"/>
    <n v="348"/>
    <n v="315"/>
    <n v="0.17966101694915254"/>
    <n v="0.125"/>
    <n v="4188"/>
    <n v="3928"/>
    <n v="0.78"/>
    <n v="0.09"/>
    <n v="0.91"/>
    <n v="0.62"/>
    <n v="1"/>
    <n v="220"/>
    <n v="4"/>
    <s v="Outlier"/>
    <s v="Normal"/>
    <n v="0.17966101694915254"/>
    <n v="0.125"/>
  </r>
  <r>
    <d v="2024-07-19T00:00:00"/>
    <x v="15"/>
    <s v="F"/>
    <s v="FY25"/>
    <n v="359"/>
    <n v="325"/>
    <n v="8.4592145015105744E-2"/>
    <n v="3.8338658146964855E-2"/>
    <n v="4547"/>
    <n v="4253"/>
    <n v="0.75"/>
    <n v="0.09"/>
    <n v="0.91"/>
    <n v="0.76"/>
    <n v="1"/>
    <n v="245"/>
    <n v="4"/>
    <s v="Outlier"/>
    <s v="Normal"/>
    <n v="8.4592145015105744E-2"/>
    <n v="3.8338658146964855E-2"/>
  </r>
  <r>
    <d v="2024-07-20T00:00:00"/>
    <x v="15"/>
    <s v="S"/>
    <s v="FY25"/>
    <n v="107"/>
    <n v="107"/>
    <n v="0.18888888888888888"/>
    <n v="0.20224719101123595"/>
    <n v="4654"/>
    <n v="4360"/>
    <n v="0.94"/>
    <n v="0"/>
    <n v="1"/>
    <n v="0.42"/>
    <n v="1"/>
    <n v="180"/>
    <n v="3"/>
    <s v="Outlier"/>
    <s v="Normal"/>
    <n v="0.18888888888888888"/>
    <n v="0.20224719101123595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2T00:00:00"/>
    <x v="16"/>
    <s v="M"/>
    <s v="FY25"/>
    <n v="450"/>
    <n v="360"/>
    <n v="0.29310344827586204"/>
    <n v="0.14285714285714285"/>
    <n v="5104"/>
    <n v="4720"/>
    <n v="0.57999999999999996"/>
    <n v="0.2"/>
    <n v="0.8"/>
    <n v="0.74"/>
    <n v="1"/>
    <n v="238"/>
    <n v="4"/>
    <s v="Outlier"/>
    <s v="Normal"/>
    <n v="0.29310344827586204"/>
    <n v="0.14285714285714285"/>
  </r>
  <r>
    <d v="2024-07-23T00:00:00"/>
    <x v="16"/>
    <s v="T"/>
    <s v="FY25"/>
    <n v="306"/>
    <n v="275"/>
    <n v="0.39090909090909093"/>
    <n v="0.32850241545893721"/>
    <n v="5410"/>
    <n v="4995"/>
    <n v="0.8"/>
    <n v="0.1"/>
    <n v="0.9"/>
    <n v="0.56000000000000005"/>
    <n v="1"/>
    <n v="236"/>
    <n v="4"/>
    <s v="Outlier"/>
    <s v="Outlier"/>
    <n v="0.39090909090909093"/>
    <n v="0.32850241545893721"/>
  </r>
  <r>
    <d v="2024-07-24T00:00:00"/>
    <x v="16"/>
    <s v="W"/>
    <s v="FY25"/>
    <n v="334"/>
    <n v="321"/>
    <n v="1.5197568389057751E-2"/>
    <n v="8.0808080808080815E-2"/>
    <n v="5744"/>
    <n v="5316"/>
    <n v="0.92"/>
    <n v="0.04"/>
    <n v="0.96"/>
    <n v="0.62"/>
    <n v="1"/>
    <n v="216"/>
    <n v="4"/>
    <s v="Outlier"/>
    <s v="Normal"/>
    <n v="1.5197568389057751E-2"/>
    <n v="8.0808080808080815E-2"/>
  </r>
  <r>
    <d v="2024-07-25T00:00:00"/>
    <x v="16"/>
    <s v="R"/>
    <s v="FY25"/>
    <n v="337"/>
    <n v="313"/>
    <n v="-3.1609195402298854E-2"/>
    <n v="-6.3492063492063492E-3"/>
    <n v="6081"/>
    <n v="5629"/>
    <n v="0.85"/>
    <n v="0.03"/>
    <n v="0.97"/>
    <n v="0.61"/>
    <n v="1"/>
    <n v="217"/>
    <n v="4"/>
    <s v="Outlier"/>
    <s v="Normal"/>
    <n v="-3.1609195402298854E-2"/>
    <n v="-6.3492063492063492E-3"/>
  </r>
  <r>
    <d v="2024-07-26T00:00:00"/>
    <x v="16"/>
    <s v="F"/>
    <s v="FY25"/>
    <n v="340"/>
    <n v="329"/>
    <n v="-5.2924791086350974E-2"/>
    <n v="1.2307692307692308E-2"/>
    <n v="6421"/>
    <n v="5958"/>
    <n v="0.86"/>
    <n v="0.03"/>
    <n v="0.97"/>
    <n v="0.59"/>
    <n v="1"/>
    <n v="290"/>
    <n v="4"/>
    <s v="Outlier"/>
    <s v="Normal"/>
    <n v="-5.2924791086350974E-2"/>
    <n v="1.2307692307692308E-2"/>
  </r>
  <r>
    <d v="2024-07-27T00:00:00"/>
    <x v="16"/>
    <s v="S"/>
    <s v="FY25"/>
    <n v="129"/>
    <n v="125"/>
    <n v="0.20560747663551401"/>
    <n v="0.16822429906542055"/>
    <n v="6550"/>
    <n v="6083"/>
    <n v="0.92"/>
    <n v="0.03"/>
    <n v="0.97"/>
    <n v="0.39"/>
    <n v="1"/>
    <n v="296"/>
    <n v="4"/>
    <s v="Outlier"/>
    <s v="Normal"/>
    <n v="0.20560747663551401"/>
    <n v="0.16822429906542055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9T00:00:00"/>
    <x v="17"/>
    <s v="M"/>
    <s v="FY25"/>
    <n v="435"/>
    <n v="350"/>
    <n v="-3.3333333333333333E-2"/>
    <n v="-2.7777777777777776E-2"/>
    <n v="6985"/>
    <n v="6433"/>
    <n v="0.56999999999999995"/>
    <n v="0.2"/>
    <n v="0.8"/>
    <n v="0.9"/>
    <n v="1"/>
    <n v="214"/>
    <n v="3"/>
    <s v="Outlier"/>
    <s v="Normal"/>
    <n v="-3.3333333333333333E-2"/>
    <n v="-2.7777777777777776E-2"/>
  </r>
  <r>
    <d v="2024-07-30T00:00:00"/>
    <x v="17"/>
    <s v="T"/>
    <s v="FY25"/>
    <n v="393"/>
    <n v="344"/>
    <n v="0.28431372549019607"/>
    <n v="0.25090909090909091"/>
    <n v="7378"/>
    <n v="6777"/>
    <n v="0.68"/>
    <n v="0.12"/>
    <n v="0.88"/>
    <n v="0.84"/>
    <n v="1"/>
    <n v="199"/>
    <n v="3"/>
    <s v="Outlier"/>
    <s v="Normal"/>
    <n v="0.28431372549019607"/>
    <n v="0.25090909090909091"/>
  </r>
  <r>
    <d v="2024-07-31T00:00:00"/>
    <x v="17"/>
    <s v="W"/>
    <s v="FY25"/>
    <n v="345"/>
    <n v="324"/>
    <n v="3.2934131736526949E-2"/>
    <n v="9.3457943925233638E-3"/>
    <n v="7723"/>
    <n v="7101"/>
    <n v="0.83"/>
    <n v="0.06"/>
    <n v="0.94"/>
    <n v="0.79"/>
    <n v="1"/>
    <n v="217"/>
    <n v="3"/>
    <s v="Outlier"/>
    <s v="Normal"/>
    <n v="3.2934131736526949E-2"/>
    <n v="9.3457943925233638E-3"/>
  </r>
  <r>
    <d v="2024-08-01T00:00:00"/>
    <x v="17"/>
    <s v="R"/>
    <s v="FY25"/>
    <n v="194"/>
    <n v="190"/>
    <n v="-0.42433234421364985"/>
    <n v="-0.39297124600638977"/>
    <n v="7917"/>
    <n v="7291"/>
    <n v="0.91"/>
    <n v="0.02"/>
    <n v="0.98"/>
    <n v="0.44"/>
    <n v="1"/>
    <n v="184"/>
    <n v="3"/>
    <s v="Outlier"/>
    <s v="Outlier"/>
    <n v="-0.42433234421364985"/>
    <n v="-0.39297124600638977"/>
  </r>
  <r>
    <d v="2024-08-02T00:00:00"/>
    <x v="17"/>
    <s v="F"/>
    <s v="FY25"/>
    <n v="426"/>
    <n v="381"/>
    <n v="0.25294117647058822"/>
    <n v="0.1580547112462006"/>
    <n v="8343"/>
    <n v="7672"/>
    <n v="0.73"/>
    <n v="0.11"/>
    <n v="0.89"/>
    <n v="0.94"/>
    <n v="1"/>
    <n v="202"/>
    <n v="3"/>
    <s v="Outlier"/>
    <s v="Normal"/>
    <n v="0.25294117647058822"/>
    <n v="0.1580547112462006"/>
  </r>
  <r>
    <d v="2024-08-03T00:00:00"/>
    <x v="17"/>
    <s v="S"/>
    <s v="FY25"/>
    <n v="120"/>
    <n v="111"/>
    <n v="-6.9767441860465115E-2"/>
    <n v="-0.112"/>
    <n v="8463"/>
    <n v="7783"/>
    <n v="0.88"/>
    <n v="0.08"/>
    <n v="0.92"/>
    <n v="0.47"/>
    <n v="1"/>
    <n v="202"/>
    <n v="3"/>
    <s v="Outlier"/>
    <s v="Normal"/>
    <n v="-6.9767441860465115E-2"/>
    <n v="-0.112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05T00:00:00"/>
    <x v="18"/>
    <s v="M"/>
    <s v="FY25"/>
    <n v="245"/>
    <n v="216"/>
    <n v="-0.43678160919540232"/>
    <n v="-0.38285714285714284"/>
    <n v="8708"/>
    <n v="7999"/>
    <n v="0.74"/>
    <n v="0.12"/>
    <n v="0.88"/>
    <n v="0.56999999999999995"/>
    <n v="1"/>
    <n v="221"/>
    <n v="3"/>
    <s v="Outlier"/>
    <s v="Outlier"/>
    <n v="-0.43678160919540232"/>
    <n v="-0.38285714285714284"/>
  </r>
  <r>
    <d v="2024-08-06T00:00:00"/>
    <x v="18"/>
    <s v="T"/>
    <s v="FY25"/>
    <n v="235"/>
    <n v="215"/>
    <n v="-0.4020356234096692"/>
    <n v="-0.375"/>
    <n v="8943"/>
    <n v="8214"/>
    <n v="0.78"/>
    <n v="0.09"/>
    <n v="0.81"/>
    <n v="0.56999999999999995"/>
    <n v="1"/>
    <n v="226"/>
    <n v="3"/>
    <s v="Outlier"/>
    <s v="Outlier"/>
    <n v="-0.4020356234096692"/>
    <n v="-0.375"/>
  </r>
  <r>
    <d v="2024-08-07T00:00:00"/>
    <x v="18"/>
    <s v="W"/>
    <s v="FY25"/>
    <n v="401"/>
    <n v="349"/>
    <n v="0.16231884057971013"/>
    <n v="7.716049382716049E-2"/>
    <n v="9344"/>
    <n v="8563"/>
    <n v="0.7"/>
    <n v="0.13"/>
    <n v="0.87"/>
    <n v="0.88"/>
    <n v="1"/>
    <n v="210"/>
    <n v="3"/>
    <s v="Outlier"/>
    <s v="Normal"/>
    <n v="0.16231884057971013"/>
    <n v="7.716049382716049E-2"/>
  </r>
  <r>
    <d v="2024-08-08T00:00:00"/>
    <x v="18"/>
    <s v="R"/>
    <s v="FY25"/>
    <n v="323"/>
    <n v="291"/>
    <n v="0.66494845360824739"/>
    <n v="0.53157894736842104"/>
    <n v="9667"/>
    <n v="8854"/>
    <n v="0.69"/>
    <n v="0.1"/>
    <n v="0.9"/>
    <n v="0.73"/>
    <n v="1"/>
    <n v="207"/>
    <n v="3"/>
    <s v="Outlier"/>
    <s v="Outlier"/>
    <n v="0.66494845360824739"/>
    <n v="0.53157894736842104"/>
  </r>
  <r>
    <d v="2024-08-09T00:00:00"/>
    <x v="18"/>
    <s v="F"/>
    <s v="FY25"/>
    <n v="316"/>
    <n v="282"/>
    <n v="-0.25821596244131456"/>
    <n v="-0.25984251968503935"/>
    <n v="9983"/>
    <n v="9136"/>
    <n v="0.78"/>
    <n v="0.11"/>
    <n v="0.89"/>
    <n v="0.67"/>
    <n v="1"/>
    <n v="189"/>
    <n v="3"/>
    <s v="Outlier"/>
    <s v="Normal"/>
    <n v="-0.25821596244131456"/>
    <n v="-0.25984251968503935"/>
  </r>
  <r>
    <d v="2024-08-10T00:00:00"/>
    <x v="18"/>
    <s v="S"/>
    <s v="FY25"/>
    <n v="101"/>
    <n v="93"/>
    <n v="-0.15833333333333333"/>
    <n v="-0.16216216216216217"/>
    <n v="10084"/>
    <n v="9229"/>
    <n v="0.89"/>
    <n v="0.08"/>
    <n v="0.92"/>
    <n v="0.42"/>
    <n v="1"/>
    <n v="259"/>
    <n v="3"/>
    <s v="Outlier"/>
    <s v="Normal"/>
    <n v="-0.15833333333333333"/>
    <n v="-0.16216216216216217"/>
  </r>
  <r>
    <d v="2024-08-11T00:00:00"/>
    <x v="19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m/>
    <m/>
    <m/>
    <m/>
  </r>
  <r>
    <d v="2024-08-13T00:00:00"/>
    <x v="20"/>
    <m/>
    <s v="FY25"/>
    <m/>
    <m/>
    <m/>
    <m/>
    <m/>
    <m/>
    <m/>
    <m/>
    <m/>
    <m/>
    <m/>
    <m/>
    <m/>
    <m/>
    <m/>
    <m/>
    <m/>
  </r>
  <r>
    <d v="2024-08-14T00:00:00"/>
    <x v="20"/>
    <m/>
    <s v="FY25"/>
    <m/>
    <m/>
    <m/>
    <m/>
    <m/>
    <m/>
    <m/>
    <m/>
    <m/>
    <m/>
    <m/>
    <m/>
    <m/>
    <m/>
    <m/>
    <m/>
    <m/>
  </r>
  <r>
    <d v="2024-08-15T00:00:00"/>
    <x v="20"/>
    <m/>
    <s v="FY25"/>
    <m/>
    <m/>
    <m/>
    <m/>
    <m/>
    <m/>
    <m/>
    <m/>
    <m/>
    <m/>
    <m/>
    <m/>
    <m/>
    <m/>
    <m/>
    <m/>
    <m/>
  </r>
  <r>
    <d v="2024-08-16T00:00:00"/>
    <x v="20"/>
    <m/>
    <s v="FY25"/>
    <m/>
    <m/>
    <m/>
    <m/>
    <m/>
    <m/>
    <m/>
    <m/>
    <m/>
    <m/>
    <m/>
    <m/>
    <m/>
    <m/>
    <m/>
    <m/>
    <m/>
  </r>
  <r>
    <d v="2024-08-17T00:00:00"/>
    <x v="20"/>
    <m/>
    <s v="FY25"/>
    <m/>
    <m/>
    <m/>
    <m/>
    <m/>
    <m/>
    <m/>
    <m/>
    <m/>
    <m/>
    <m/>
    <m/>
    <m/>
    <m/>
    <m/>
    <m/>
    <m/>
  </r>
  <r>
    <d v="2024-08-18T00:00:00"/>
    <x v="20"/>
    <m/>
    <s v="FY25"/>
    <m/>
    <m/>
    <m/>
    <m/>
    <m/>
    <m/>
    <m/>
    <m/>
    <m/>
    <m/>
    <m/>
    <m/>
    <m/>
    <m/>
    <m/>
    <m/>
    <m/>
  </r>
  <r>
    <d v="2024-08-19T00:00:00"/>
    <x v="20"/>
    <m/>
    <s v="FY25"/>
    <m/>
    <m/>
    <m/>
    <m/>
    <m/>
    <m/>
    <m/>
    <m/>
    <m/>
    <m/>
    <m/>
    <m/>
    <m/>
    <m/>
    <m/>
    <m/>
    <m/>
  </r>
  <r>
    <d v="2024-08-20T00:00:00"/>
    <x v="20"/>
    <m/>
    <s v="FY25"/>
    <m/>
    <m/>
    <m/>
    <m/>
    <m/>
    <m/>
    <m/>
    <m/>
    <m/>
    <m/>
    <m/>
    <m/>
    <m/>
    <m/>
    <m/>
    <m/>
    <m/>
  </r>
  <r>
    <d v="2024-08-21T00:00:00"/>
    <x v="20"/>
    <m/>
    <s v="FY25"/>
    <m/>
    <m/>
    <m/>
    <m/>
    <m/>
    <m/>
    <m/>
    <m/>
    <m/>
    <m/>
    <m/>
    <m/>
    <m/>
    <m/>
    <m/>
    <m/>
    <m/>
  </r>
  <r>
    <d v="2024-08-22T00:00:00"/>
    <x v="20"/>
    <m/>
    <s v="FY25"/>
    <m/>
    <m/>
    <m/>
    <m/>
    <m/>
    <m/>
    <m/>
    <m/>
    <m/>
    <m/>
    <m/>
    <m/>
    <m/>
    <m/>
    <m/>
    <m/>
    <m/>
  </r>
  <r>
    <d v="2024-08-23T00:00:00"/>
    <x v="20"/>
    <m/>
    <s v="FY25"/>
    <m/>
    <m/>
    <m/>
    <m/>
    <m/>
    <m/>
    <m/>
    <m/>
    <m/>
    <m/>
    <m/>
    <m/>
    <m/>
    <m/>
    <m/>
    <m/>
    <m/>
  </r>
  <r>
    <d v="2024-08-24T00:00:00"/>
    <x v="20"/>
    <m/>
    <s v="FY25"/>
    <m/>
    <m/>
    <m/>
    <m/>
    <m/>
    <m/>
    <m/>
    <m/>
    <m/>
    <m/>
    <m/>
    <m/>
    <m/>
    <m/>
    <m/>
    <m/>
    <m/>
  </r>
  <r>
    <d v="2024-08-25T00:00:00"/>
    <x v="20"/>
    <m/>
    <s v="FY25"/>
    <m/>
    <m/>
    <m/>
    <m/>
    <m/>
    <m/>
    <m/>
    <m/>
    <m/>
    <m/>
    <m/>
    <m/>
    <m/>
    <m/>
    <m/>
    <m/>
    <m/>
  </r>
  <r>
    <d v="2024-08-26T00:00:00"/>
    <x v="20"/>
    <m/>
    <s v="FY25"/>
    <m/>
    <m/>
    <m/>
    <m/>
    <m/>
    <m/>
    <m/>
    <m/>
    <m/>
    <m/>
    <m/>
    <m/>
    <m/>
    <m/>
    <m/>
    <m/>
    <m/>
  </r>
  <r>
    <d v="2024-08-27T00:00:00"/>
    <x v="20"/>
    <m/>
    <s v="FY25"/>
    <m/>
    <m/>
    <m/>
    <m/>
    <m/>
    <m/>
    <m/>
    <m/>
    <m/>
    <m/>
    <m/>
    <m/>
    <m/>
    <m/>
    <m/>
    <m/>
    <m/>
  </r>
  <r>
    <d v="2024-08-28T00:00:00"/>
    <x v="20"/>
    <m/>
    <s v="FY25"/>
    <m/>
    <m/>
    <m/>
    <m/>
    <m/>
    <m/>
    <m/>
    <m/>
    <m/>
    <m/>
    <m/>
    <m/>
    <m/>
    <m/>
    <m/>
    <m/>
    <m/>
  </r>
  <r>
    <d v="2024-08-29T00:00:00"/>
    <x v="20"/>
    <m/>
    <s v="FY25"/>
    <m/>
    <m/>
    <m/>
    <m/>
    <m/>
    <m/>
    <m/>
    <m/>
    <m/>
    <m/>
    <m/>
    <m/>
    <m/>
    <m/>
    <m/>
    <m/>
    <m/>
  </r>
  <r>
    <d v="2024-08-30T00:00:00"/>
    <x v="20"/>
    <m/>
    <s v="FY25"/>
    <m/>
    <m/>
    <m/>
    <m/>
    <m/>
    <m/>
    <m/>
    <m/>
    <m/>
    <m/>
    <m/>
    <m/>
    <m/>
    <m/>
    <m/>
    <m/>
    <m/>
  </r>
  <r>
    <d v="2024-08-31T00:00:00"/>
    <x v="20"/>
    <m/>
    <s v="FY25"/>
    <m/>
    <m/>
    <m/>
    <m/>
    <m/>
    <m/>
    <m/>
    <m/>
    <m/>
    <m/>
    <m/>
    <m/>
    <m/>
    <m/>
    <m/>
    <m/>
    <m/>
  </r>
  <r>
    <d v="2024-09-01T00:00:00"/>
    <x v="20"/>
    <m/>
    <s v="FY25"/>
    <m/>
    <m/>
    <m/>
    <m/>
    <m/>
    <m/>
    <m/>
    <m/>
    <m/>
    <m/>
    <m/>
    <m/>
    <m/>
    <m/>
    <m/>
    <m/>
    <m/>
  </r>
  <r>
    <d v="2024-09-02T00:00:00"/>
    <x v="20"/>
    <m/>
    <s v="FY25"/>
    <m/>
    <m/>
    <m/>
    <m/>
    <m/>
    <m/>
    <m/>
    <m/>
    <m/>
    <m/>
    <m/>
    <m/>
    <m/>
    <m/>
    <m/>
    <m/>
    <m/>
  </r>
  <r>
    <d v="2024-09-03T00:00:00"/>
    <x v="20"/>
    <m/>
    <s v="FY25"/>
    <m/>
    <m/>
    <m/>
    <m/>
    <m/>
    <m/>
    <m/>
    <m/>
    <m/>
    <m/>
    <m/>
    <m/>
    <m/>
    <m/>
    <m/>
    <m/>
    <m/>
  </r>
  <r>
    <d v="2024-09-04T00:00:00"/>
    <x v="20"/>
    <m/>
    <s v="FY25"/>
    <m/>
    <m/>
    <m/>
    <m/>
    <m/>
    <m/>
    <m/>
    <m/>
    <m/>
    <m/>
    <m/>
    <m/>
    <m/>
    <m/>
    <m/>
    <m/>
    <m/>
  </r>
  <r>
    <d v="2024-09-05T00:00:00"/>
    <x v="20"/>
    <m/>
    <s v="FY25"/>
    <m/>
    <m/>
    <m/>
    <m/>
    <m/>
    <m/>
    <m/>
    <m/>
    <m/>
    <m/>
    <m/>
    <m/>
    <m/>
    <m/>
    <m/>
    <m/>
    <m/>
  </r>
  <r>
    <d v="2024-09-06T00:00:00"/>
    <x v="20"/>
    <m/>
    <s v="FY25"/>
    <m/>
    <m/>
    <m/>
    <m/>
    <m/>
    <m/>
    <m/>
    <m/>
    <m/>
    <m/>
    <m/>
    <m/>
    <m/>
    <m/>
    <m/>
    <m/>
    <m/>
  </r>
  <r>
    <d v="2024-09-07T00:00:00"/>
    <x v="20"/>
    <m/>
    <s v="FY25"/>
    <m/>
    <m/>
    <m/>
    <m/>
    <m/>
    <m/>
    <m/>
    <m/>
    <m/>
    <m/>
    <m/>
    <m/>
    <m/>
    <m/>
    <m/>
    <m/>
    <m/>
  </r>
  <r>
    <d v="2024-09-08T00:00:00"/>
    <x v="20"/>
    <m/>
    <s v="FY25"/>
    <m/>
    <m/>
    <m/>
    <m/>
    <m/>
    <m/>
    <m/>
    <m/>
    <m/>
    <m/>
    <m/>
    <m/>
    <m/>
    <m/>
    <m/>
    <m/>
    <m/>
  </r>
  <r>
    <d v="2024-09-09T00:00:00"/>
    <x v="20"/>
    <m/>
    <s v="FY25"/>
    <m/>
    <m/>
    <m/>
    <m/>
    <m/>
    <m/>
    <m/>
    <m/>
    <m/>
    <m/>
    <m/>
    <m/>
    <m/>
    <m/>
    <m/>
    <m/>
    <m/>
  </r>
  <r>
    <d v="2024-09-10T00:00:00"/>
    <x v="20"/>
    <m/>
    <s v="FY25"/>
    <m/>
    <m/>
    <m/>
    <m/>
    <m/>
    <m/>
    <m/>
    <m/>
    <m/>
    <m/>
    <m/>
    <m/>
    <m/>
    <m/>
    <m/>
    <m/>
    <m/>
  </r>
  <r>
    <d v="2024-09-11T00:00:00"/>
    <x v="20"/>
    <m/>
    <s v="FY25"/>
    <m/>
    <m/>
    <m/>
    <m/>
    <m/>
    <m/>
    <m/>
    <m/>
    <m/>
    <m/>
    <m/>
    <m/>
    <m/>
    <m/>
    <m/>
    <m/>
    <m/>
  </r>
  <r>
    <d v="2024-09-12T00:00:00"/>
    <x v="20"/>
    <m/>
    <s v="FY25"/>
    <m/>
    <m/>
    <m/>
    <m/>
    <m/>
    <m/>
    <m/>
    <m/>
    <m/>
    <m/>
    <m/>
    <m/>
    <m/>
    <m/>
    <m/>
    <m/>
    <m/>
  </r>
  <r>
    <d v="2024-09-13T00:00:00"/>
    <x v="20"/>
    <m/>
    <s v="FY25"/>
    <m/>
    <m/>
    <m/>
    <m/>
    <m/>
    <m/>
    <m/>
    <m/>
    <m/>
    <m/>
    <m/>
    <m/>
    <m/>
    <m/>
    <m/>
    <m/>
    <m/>
  </r>
  <r>
    <d v="2024-09-14T00:00:00"/>
    <x v="20"/>
    <m/>
    <s v="FY25"/>
    <m/>
    <m/>
    <m/>
    <m/>
    <m/>
    <m/>
    <m/>
    <m/>
    <m/>
    <m/>
    <m/>
    <m/>
    <m/>
    <m/>
    <m/>
    <m/>
    <m/>
  </r>
  <r>
    <d v="2024-09-15T00:00:00"/>
    <x v="20"/>
    <m/>
    <s v="FY25"/>
    <m/>
    <m/>
    <m/>
    <m/>
    <m/>
    <m/>
    <m/>
    <m/>
    <m/>
    <m/>
    <m/>
    <m/>
    <m/>
    <m/>
    <m/>
    <m/>
    <m/>
  </r>
  <r>
    <d v="2024-09-16T00:00:00"/>
    <x v="20"/>
    <m/>
    <s v="FY25"/>
    <m/>
    <m/>
    <m/>
    <m/>
    <m/>
    <m/>
    <m/>
    <m/>
    <m/>
    <m/>
    <m/>
    <m/>
    <m/>
    <m/>
    <m/>
    <m/>
    <m/>
  </r>
  <r>
    <d v="2024-09-17T00:00:00"/>
    <x v="20"/>
    <m/>
    <s v="FY25"/>
    <m/>
    <m/>
    <m/>
    <m/>
    <m/>
    <m/>
    <m/>
    <m/>
    <m/>
    <m/>
    <m/>
    <m/>
    <m/>
    <m/>
    <m/>
    <m/>
    <m/>
  </r>
  <r>
    <d v="2024-09-18T00:00:00"/>
    <x v="20"/>
    <m/>
    <s v="FY25"/>
    <m/>
    <m/>
    <m/>
    <m/>
    <m/>
    <m/>
    <m/>
    <m/>
    <m/>
    <m/>
    <m/>
    <m/>
    <m/>
    <m/>
    <m/>
    <m/>
    <m/>
  </r>
  <r>
    <d v="2024-09-19T00:00:00"/>
    <x v="20"/>
    <m/>
    <s v="FY25"/>
    <m/>
    <m/>
    <m/>
    <m/>
    <m/>
    <m/>
    <m/>
    <m/>
    <m/>
    <m/>
    <m/>
    <m/>
    <m/>
    <m/>
    <m/>
    <m/>
    <m/>
  </r>
  <r>
    <d v="2024-09-20T00:00:00"/>
    <x v="20"/>
    <m/>
    <s v="FY25"/>
    <m/>
    <m/>
    <m/>
    <m/>
    <m/>
    <m/>
    <m/>
    <m/>
    <m/>
    <m/>
    <m/>
    <m/>
    <m/>
    <m/>
    <m/>
    <m/>
    <m/>
  </r>
  <r>
    <d v="2024-09-21T00:00:00"/>
    <x v="20"/>
    <m/>
    <s v="FY25"/>
    <m/>
    <m/>
    <m/>
    <m/>
    <m/>
    <m/>
    <m/>
    <m/>
    <m/>
    <m/>
    <m/>
    <m/>
    <m/>
    <m/>
    <m/>
    <m/>
    <m/>
  </r>
  <r>
    <d v="2024-09-22T00:00:00"/>
    <x v="20"/>
    <m/>
    <s v="FY25"/>
    <m/>
    <m/>
    <m/>
    <m/>
    <m/>
    <m/>
    <m/>
    <m/>
    <m/>
    <m/>
    <m/>
    <m/>
    <m/>
    <m/>
    <m/>
    <m/>
    <m/>
  </r>
  <r>
    <d v="2024-09-23T00:00:00"/>
    <x v="20"/>
    <m/>
    <s v="FY25"/>
    <m/>
    <m/>
    <m/>
    <m/>
    <m/>
    <m/>
    <m/>
    <m/>
    <m/>
    <m/>
    <m/>
    <m/>
    <m/>
    <m/>
    <m/>
    <m/>
    <m/>
  </r>
  <r>
    <d v="2024-09-24T00:00:00"/>
    <x v="20"/>
    <m/>
    <s v="FY25"/>
    <m/>
    <m/>
    <m/>
    <m/>
    <m/>
    <m/>
    <m/>
    <m/>
    <m/>
    <m/>
    <m/>
    <m/>
    <m/>
    <m/>
    <m/>
    <m/>
    <m/>
  </r>
  <r>
    <d v="2024-09-25T00:00:00"/>
    <x v="20"/>
    <m/>
    <s v="FY25"/>
    <m/>
    <m/>
    <m/>
    <m/>
    <m/>
    <m/>
    <m/>
    <m/>
    <m/>
    <m/>
    <m/>
    <m/>
    <m/>
    <m/>
    <m/>
    <m/>
    <m/>
  </r>
  <r>
    <d v="2024-09-26T00:00:00"/>
    <x v="20"/>
    <m/>
    <s v="FY25"/>
    <m/>
    <m/>
    <m/>
    <m/>
    <m/>
    <m/>
    <m/>
    <m/>
    <m/>
    <m/>
    <m/>
    <m/>
    <m/>
    <m/>
    <m/>
    <m/>
    <m/>
  </r>
  <r>
    <d v="2024-09-27T00:00:00"/>
    <x v="20"/>
    <m/>
    <s v="FY25"/>
    <m/>
    <m/>
    <m/>
    <m/>
    <m/>
    <m/>
    <m/>
    <m/>
    <m/>
    <m/>
    <m/>
    <m/>
    <m/>
    <m/>
    <m/>
    <m/>
    <m/>
  </r>
  <r>
    <d v="2024-09-28T00:00:00"/>
    <x v="20"/>
    <m/>
    <s v="FY25"/>
    <m/>
    <m/>
    <m/>
    <m/>
    <m/>
    <m/>
    <m/>
    <m/>
    <m/>
    <m/>
    <m/>
    <m/>
    <m/>
    <m/>
    <m/>
    <m/>
    <m/>
  </r>
  <r>
    <d v="2024-09-29T00:00:00"/>
    <x v="20"/>
    <m/>
    <s v="FY25"/>
    <m/>
    <m/>
    <m/>
    <m/>
    <m/>
    <m/>
    <m/>
    <m/>
    <m/>
    <m/>
    <m/>
    <m/>
    <m/>
    <m/>
    <m/>
    <m/>
    <m/>
  </r>
  <r>
    <d v="2024-09-30T00:00:00"/>
    <x v="20"/>
    <m/>
    <s v="FY25"/>
    <m/>
    <m/>
    <m/>
    <m/>
    <m/>
    <m/>
    <m/>
    <m/>
    <m/>
    <m/>
    <m/>
    <m/>
    <m/>
    <m/>
    <m/>
    <m/>
    <m/>
  </r>
  <r>
    <d v="2024-10-01T00:00:00"/>
    <x v="20"/>
    <m/>
    <s v="FY25"/>
    <m/>
    <m/>
    <m/>
    <m/>
    <m/>
    <m/>
    <m/>
    <m/>
    <m/>
    <m/>
    <m/>
    <m/>
    <m/>
    <m/>
    <m/>
    <m/>
    <m/>
  </r>
  <r>
    <d v="2024-10-02T00:00:00"/>
    <x v="20"/>
    <m/>
    <s v="FY25"/>
    <m/>
    <m/>
    <m/>
    <m/>
    <m/>
    <m/>
    <m/>
    <m/>
    <m/>
    <m/>
    <m/>
    <m/>
    <m/>
    <m/>
    <m/>
    <m/>
    <m/>
  </r>
  <r>
    <d v="2024-10-03T00:00:00"/>
    <x v="20"/>
    <m/>
    <s v="FY25"/>
    <m/>
    <m/>
    <m/>
    <m/>
    <m/>
    <m/>
    <m/>
    <m/>
    <m/>
    <m/>
    <m/>
    <m/>
    <m/>
    <m/>
    <m/>
    <m/>
    <m/>
  </r>
  <r>
    <d v="2024-10-04T00:00:00"/>
    <x v="20"/>
    <m/>
    <s v="FY25"/>
    <m/>
    <m/>
    <m/>
    <m/>
    <m/>
    <m/>
    <m/>
    <m/>
    <m/>
    <m/>
    <m/>
    <m/>
    <m/>
    <m/>
    <m/>
    <m/>
    <m/>
  </r>
  <r>
    <d v="2024-10-05T00:00:00"/>
    <x v="20"/>
    <m/>
    <s v="FY25"/>
    <m/>
    <m/>
    <m/>
    <m/>
    <m/>
    <m/>
    <m/>
    <m/>
    <m/>
    <m/>
    <m/>
    <m/>
    <m/>
    <m/>
    <m/>
    <m/>
    <m/>
  </r>
  <r>
    <d v="2024-10-06T00:00:00"/>
    <x v="20"/>
    <m/>
    <s v="FY25"/>
    <m/>
    <m/>
    <m/>
    <m/>
    <m/>
    <m/>
    <m/>
    <m/>
    <m/>
    <m/>
    <m/>
    <m/>
    <m/>
    <m/>
    <m/>
    <m/>
    <m/>
  </r>
  <r>
    <d v="2024-10-07T00:00:00"/>
    <x v="20"/>
    <m/>
    <s v="FY25"/>
    <m/>
    <m/>
    <m/>
    <m/>
    <m/>
    <m/>
    <m/>
    <m/>
    <m/>
    <m/>
    <m/>
    <m/>
    <m/>
    <m/>
    <m/>
    <m/>
    <m/>
  </r>
  <r>
    <d v="2024-10-08T00:00:00"/>
    <x v="20"/>
    <m/>
    <s v="FY25"/>
    <m/>
    <m/>
    <m/>
    <m/>
    <m/>
    <m/>
    <m/>
    <m/>
    <m/>
    <m/>
    <m/>
    <m/>
    <m/>
    <m/>
    <m/>
    <m/>
    <m/>
  </r>
  <r>
    <d v="2024-10-09T00:00:00"/>
    <x v="20"/>
    <m/>
    <s v="FY25"/>
    <m/>
    <m/>
    <m/>
    <m/>
    <m/>
    <m/>
    <m/>
    <m/>
    <m/>
    <m/>
    <m/>
    <m/>
    <m/>
    <m/>
    <m/>
    <m/>
    <m/>
  </r>
  <r>
    <d v="2024-10-10T00:00:00"/>
    <x v="20"/>
    <m/>
    <s v="FY25"/>
    <m/>
    <m/>
    <m/>
    <m/>
    <m/>
    <m/>
    <m/>
    <m/>
    <m/>
    <m/>
    <m/>
    <m/>
    <m/>
    <m/>
    <m/>
    <m/>
    <m/>
  </r>
  <r>
    <d v="2024-10-11T00:00:00"/>
    <x v="20"/>
    <m/>
    <s v="FY25"/>
    <m/>
    <m/>
    <m/>
    <m/>
    <m/>
    <m/>
    <m/>
    <m/>
    <m/>
    <m/>
    <m/>
    <m/>
    <m/>
    <m/>
    <m/>
    <m/>
    <m/>
  </r>
  <r>
    <d v="2024-10-12T00:00:00"/>
    <x v="20"/>
    <m/>
    <s v="FY25"/>
    <m/>
    <m/>
    <m/>
    <m/>
    <m/>
    <m/>
    <m/>
    <m/>
    <m/>
    <m/>
    <m/>
    <m/>
    <m/>
    <m/>
    <m/>
    <m/>
    <m/>
  </r>
  <r>
    <d v="2024-10-13T00:00:00"/>
    <x v="20"/>
    <m/>
    <s v="FY25"/>
    <m/>
    <m/>
    <m/>
    <m/>
    <m/>
    <m/>
    <m/>
    <m/>
    <m/>
    <m/>
    <m/>
    <m/>
    <m/>
    <m/>
    <m/>
    <m/>
    <m/>
  </r>
  <r>
    <d v="2024-10-14T00:00:00"/>
    <x v="20"/>
    <m/>
    <s v="FY25"/>
    <m/>
    <m/>
    <m/>
    <m/>
    <m/>
    <m/>
    <m/>
    <m/>
    <m/>
    <m/>
    <m/>
    <m/>
    <m/>
    <m/>
    <m/>
    <m/>
    <m/>
  </r>
  <r>
    <d v="2024-10-15T00:00:00"/>
    <x v="20"/>
    <m/>
    <s v="FY25"/>
    <m/>
    <m/>
    <m/>
    <m/>
    <m/>
    <m/>
    <m/>
    <m/>
    <m/>
    <m/>
    <m/>
    <m/>
    <m/>
    <m/>
    <m/>
    <m/>
    <m/>
  </r>
  <r>
    <d v="2024-10-16T00:00:00"/>
    <x v="20"/>
    <m/>
    <s v="FY25"/>
    <m/>
    <m/>
    <m/>
    <m/>
    <m/>
    <m/>
    <m/>
    <m/>
    <m/>
    <m/>
    <m/>
    <m/>
    <m/>
    <m/>
    <m/>
    <m/>
    <m/>
  </r>
  <r>
    <d v="2024-10-17T00:00:00"/>
    <x v="20"/>
    <m/>
    <s v="FY25"/>
    <m/>
    <m/>
    <m/>
    <m/>
    <m/>
    <m/>
    <m/>
    <m/>
    <m/>
    <m/>
    <m/>
    <m/>
    <m/>
    <m/>
    <m/>
    <m/>
    <m/>
  </r>
  <r>
    <d v="2024-10-18T00:00:00"/>
    <x v="20"/>
    <m/>
    <s v="FY25"/>
    <m/>
    <m/>
    <m/>
    <m/>
    <m/>
    <m/>
    <m/>
    <m/>
    <m/>
    <m/>
    <m/>
    <m/>
    <m/>
    <m/>
    <m/>
    <m/>
    <m/>
  </r>
  <r>
    <d v="2024-10-19T00:00:00"/>
    <x v="20"/>
    <m/>
    <s v="FY25"/>
    <m/>
    <m/>
    <m/>
    <m/>
    <m/>
    <m/>
    <m/>
    <m/>
    <m/>
    <m/>
    <m/>
    <m/>
    <m/>
    <m/>
    <m/>
    <m/>
    <m/>
  </r>
  <r>
    <d v="2024-10-20T00:00:00"/>
    <x v="20"/>
    <m/>
    <s v="FY25"/>
    <m/>
    <m/>
    <m/>
    <m/>
    <m/>
    <m/>
    <m/>
    <m/>
    <m/>
    <m/>
    <m/>
    <m/>
    <m/>
    <m/>
    <m/>
    <m/>
    <m/>
  </r>
  <r>
    <d v="2024-10-21T00:00:00"/>
    <x v="20"/>
    <m/>
    <s v="FY25"/>
    <m/>
    <m/>
    <m/>
    <m/>
    <m/>
    <m/>
    <m/>
    <m/>
    <m/>
    <m/>
    <m/>
    <m/>
    <m/>
    <m/>
    <m/>
    <m/>
    <m/>
  </r>
  <r>
    <d v="2024-10-22T00:00:00"/>
    <x v="20"/>
    <m/>
    <s v="FY25"/>
    <m/>
    <m/>
    <m/>
    <m/>
    <m/>
    <m/>
    <m/>
    <m/>
    <m/>
    <m/>
    <m/>
    <m/>
    <m/>
    <m/>
    <m/>
    <m/>
    <m/>
  </r>
  <r>
    <d v="2024-10-23T00:00:00"/>
    <x v="20"/>
    <m/>
    <s v="FY25"/>
    <m/>
    <m/>
    <m/>
    <m/>
    <m/>
    <m/>
    <m/>
    <m/>
    <m/>
    <m/>
    <m/>
    <m/>
    <m/>
    <m/>
    <m/>
    <m/>
    <m/>
  </r>
  <r>
    <d v="2024-10-24T00:00:00"/>
    <x v="20"/>
    <m/>
    <s v="FY25"/>
    <m/>
    <m/>
    <m/>
    <m/>
    <m/>
    <m/>
    <m/>
    <m/>
    <m/>
    <m/>
    <m/>
    <m/>
    <m/>
    <m/>
    <m/>
    <m/>
    <m/>
  </r>
  <r>
    <d v="2024-10-25T00:00:00"/>
    <x v="20"/>
    <m/>
    <s v="FY25"/>
    <m/>
    <m/>
    <m/>
    <m/>
    <m/>
    <m/>
    <m/>
    <m/>
    <m/>
    <m/>
    <m/>
    <m/>
    <m/>
    <m/>
    <m/>
    <m/>
    <m/>
  </r>
  <r>
    <d v="2024-10-26T00:00:00"/>
    <x v="20"/>
    <m/>
    <s v="FY25"/>
    <m/>
    <m/>
    <m/>
    <m/>
    <m/>
    <m/>
    <m/>
    <m/>
    <m/>
    <m/>
    <m/>
    <m/>
    <m/>
    <m/>
    <m/>
    <m/>
    <m/>
  </r>
  <r>
    <d v="2024-10-27T00:00:00"/>
    <x v="20"/>
    <m/>
    <s v="FY25"/>
    <m/>
    <m/>
    <m/>
    <m/>
    <m/>
    <m/>
    <m/>
    <m/>
    <m/>
    <m/>
    <m/>
    <m/>
    <m/>
    <m/>
    <m/>
    <m/>
    <m/>
  </r>
  <r>
    <d v="2024-10-28T00:00:00"/>
    <x v="20"/>
    <m/>
    <s v="FY25"/>
    <m/>
    <m/>
    <m/>
    <m/>
    <m/>
    <m/>
    <m/>
    <m/>
    <m/>
    <m/>
    <m/>
    <m/>
    <m/>
    <m/>
    <m/>
    <m/>
    <m/>
  </r>
  <r>
    <d v="2024-10-29T00:00:00"/>
    <x v="20"/>
    <m/>
    <s v="FY25"/>
    <m/>
    <m/>
    <m/>
    <m/>
    <m/>
    <m/>
    <m/>
    <m/>
    <m/>
    <m/>
    <m/>
    <m/>
    <m/>
    <m/>
    <m/>
    <m/>
    <m/>
  </r>
  <r>
    <d v="2024-10-30T00:00:00"/>
    <x v="20"/>
    <m/>
    <s v="FY25"/>
    <m/>
    <m/>
    <m/>
    <m/>
    <m/>
    <m/>
    <m/>
    <m/>
    <m/>
    <m/>
    <m/>
    <m/>
    <m/>
    <m/>
    <m/>
    <m/>
    <m/>
  </r>
  <r>
    <d v="2024-10-31T00:00:00"/>
    <x v="20"/>
    <m/>
    <s v="FY25"/>
    <m/>
    <m/>
    <m/>
    <m/>
    <m/>
    <m/>
    <m/>
    <m/>
    <m/>
    <m/>
    <m/>
    <m/>
    <m/>
    <m/>
    <m/>
    <m/>
    <m/>
  </r>
  <r>
    <d v="2024-11-01T00:00:00"/>
    <x v="20"/>
    <m/>
    <s v="FY25"/>
    <m/>
    <m/>
    <m/>
    <m/>
    <m/>
    <m/>
    <m/>
    <m/>
    <m/>
    <m/>
    <m/>
    <m/>
    <m/>
    <m/>
    <m/>
    <m/>
    <m/>
  </r>
  <r>
    <d v="2024-11-02T00:00:00"/>
    <x v="20"/>
    <m/>
    <s v="FY25"/>
    <m/>
    <m/>
    <m/>
    <m/>
    <m/>
    <m/>
    <m/>
    <m/>
    <m/>
    <m/>
    <m/>
    <m/>
    <m/>
    <m/>
    <m/>
    <m/>
    <m/>
  </r>
  <r>
    <d v="2024-11-03T00:00:00"/>
    <x v="20"/>
    <m/>
    <s v="FY25"/>
    <m/>
    <m/>
    <m/>
    <m/>
    <m/>
    <m/>
    <m/>
    <m/>
    <m/>
    <m/>
    <m/>
    <m/>
    <m/>
    <m/>
    <m/>
    <m/>
    <m/>
  </r>
  <r>
    <d v="2024-11-04T00:00:00"/>
    <x v="20"/>
    <m/>
    <s v="FY25"/>
    <m/>
    <m/>
    <m/>
    <m/>
    <m/>
    <m/>
    <m/>
    <m/>
    <m/>
    <m/>
    <m/>
    <m/>
    <m/>
    <m/>
    <m/>
    <m/>
    <m/>
  </r>
  <r>
    <d v="2024-11-05T00:00:00"/>
    <x v="20"/>
    <m/>
    <s v="FY25"/>
    <m/>
    <m/>
    <m/>
    <m/>
    <m/>
    <m/>
    <m/>
    <m/>
    <m/>
    <m/>
    <m/>
    <m/>
    <m/>
    <m/>
    <m/>
    <m/>
    <m/>
  </r>
  <r>
    <d v="2024-11-06T00:00:00"/>
    <x v="20"/>
    <m/>
    <s v="FY25"/>
    <m/>
    <m/>
    <m/>
    <m/>
    <m/>
    <m/>
    <m/>
    <m/>
    <m/>
    <m/>
    <m/>
    <m/>
    <m/>
    <m/>
    <m/>
    <m/>
    <m/>
  </r>
  <r>
    <d v="2024-11-07T00:00:00"/>
    <x v="20"/>
    <m/>
    <s v="FY25"/>
    <m/>
    <m/>
    <m/>
    <m/>
    <m/>
    <m/>
    <m/>
    <m/>
    <m/>
    <m/>
    <m/>
    <m/>
    <m/>
    <m/>
    <m/>
    <m/>
    <m/>
  </r>
  <r>
    <d v="2024-11-08T00:00:00"/>
    <x v="20"/>
    <m/>
    <s v="FY25"/>
    <m/>
    <m/>
    <m/>
    <m/>
    <m/>
    <m/>
    <m/>
    <m/>
    <m/>
    <m/>
    <m/>
    <m/>
    <m/>
    <m/>
    <m/>
    <m/>
    <m/>
  </r>
  <r>
    <d v="2024-11-09T00:00:00"/>
    <x v="20"/>
    <m/>
    <s v="FY25"/>
    <m/>
    <m/>
    <m/>
    <m/>
    <m/>
    <m/>
    <m/>
    <m/>
    <m/>
    <m/>
    <m/>
    <m/>
    <m/>
    <m/>
    <m/>
    <m/>
    <m/>
  </r>
  <r>
    <d v="2024-11-10T00:00:00"/>
    <x v="20"/>
    <m/>
    <s v="FY25"/>
    <m/>
    <m/>
    <m/>
    <m/>
    <m/>
    <m/>
    <m/>
    <m/>
    <m/>
    <m/>
    <m/>
    <m/>
    <m/>
    <m/>
    <m/>
    <m/>
    <m/>
  </r>
  <r>
    <d v="2024-11-11T00:00:00"/>
    <x v="20"/>
    <m/>
    <s v="FY25"/>
    <m/>
    <m/>
    <m/>
    <m/>
    <m/>
    <m/>
    <m/>
    <m/>
    <m/>
    <m/>
    <m/>
    <m/>
    <m/>
    <m/>
    <m/>
    <m/>
    <m/>
  </r>
  <r>
    <d v="2024-11-12T00:00:00"/>
    <x v="20"/>
    <m/>
    <s v="FY25"/>
    <m/>
    <m/>
    <m/>
    <m/>
    <m/>
    <m/>
    <m/>
    <m/>
    <m/>
    <m/>
    <m/>
    <m/>
    <m/>
    <m/>
    <m/>
    <m/>
    <m/>
  </r>
  <r>
    <d v="2024-11-13T00:00:00"/>
    <x v="20"/>
    <m/>
    <s v="FY25"/>
    <m/>
    <m/>
    <m/>
    <m/>
    <m/>
    <m/>
    <m/>
    <m/>
    <m/>
    <m/>
    <m/>
    <m/>
    <m/>
    <m/>
    <m/>
    <m/>
    <m/>
  </r>
  <r>
    <d v="2024-11-14T00:00:00"/>
    <x v="20"/>
    <m/>
    <s v="FY25"/>
    <m/>
    <m/>
    <m/>
    <m/>
    <m/>
    <m/>
    <m/>
    <m/>
    <m/>
    <m/>
    <m/>
    <m/>
    <m/>
    <m/>
    <m/>
    <m/>
    <m/>
  </r>
  <r>
    <d v="2024-11-15T00:00:00"/>
    <x v="20"/>
    <m/>
    <s v="FY25"/>
    <m/>
    <m/>
    <m/>
    <m/>
    <m/>
    <m/>
    <m/>
    <m/>
    <m/>
    <m/>
    <m/>
    <m/>
    <m/>
    <m/>
    <m/>
    <m/>
    <m/>
  </r>
  <r>
    <d v="2024-11-16T00:00:00"/>
    <x v="20"/>
    <m/>
    <s v="FY25"/>
    <m/>
    <m/>
    <m/>
    <m/>
    <m/>
    <m/>
    <m/>
    <m/>
    <m/>
    <m/>
    <m/>
    <m/>
    <m/>
    <m/>
    <m/>
    <m/>
    <m/>
  </r>
  <r>
    <d v="2024-11-17T00:00:00"/>
    <x v="20"/>
    <m/>
    <s v="FY25"/>
    <m/>
    <m/>
    <m/>
    <m/>
    <m/>
    <m/>
    <m/>
    <m/>
    <m/>
    <m/>
    <m/>
    <m/>
    <m/>
    <m/>
    <m/>
    <m/>
    <m/>
  </r>
  <r>
    <d v="2024-11-18T00:00:00"/>
    <x v="20"/>
    <m/>
    <s v="FY25"/>
    <m/>
    <m/>
    <m/>
    <m/>
    <m/>
    <m/>
    <m/>
    <m/>
    <m/>
    <m/>
    <m/>
    <m/>
    <m/>
    <m/>
    <m/>
    <m/>
    <m/>
  </r>
  <r>
    <d v="2024-11-19T00:00:00"/>
    <x v="20"/>
    <m/>
    <s v="FY25"/>
    <m/>
    <m/>
    <m/>
    <m/>
    <m/>
    <m/>
    <m/>
    <m/>
    <m/>
    <m/>
    <m/>
    <m/>
    <m/>
    <m/>
    <m/>
    <m/>
    <m/>
  </r>
  <r>
    <d v="2024-11-20T00:00:00"/>
    <x v="20"/>
    <m/>
    <s v="FY25"/>
    <m/>
    <m/>
    <m/>
    <m/>
    <m/>
    <m/>
    <m/>
    <m/>
    <m/>
    <m/>
    <m/>
    <m/>
    <m/>
    <m/>
    <m/>
    <m/>
    <m/>
  </r>
  <r>
    <d v="2024-11-21T00:00:00"/>
    <x v="20"/>
    <m/>
    <s v="FY25"/>
    <m/>
    <m/>
    <m/>
    <m/>
    <m/>
    <m/>
    <m/>
    <m/>
    <m/>
    <m/>
    <m/>
    <m/>
    <m/>
    <m/>
    <m/>
    <m/>
    <m/>
  </r>
  <r>
    <d v="2024-11-22T00:00:00"/>
    <x v="20"/>
    <m/>
    <s v="FY25"/>
    <m/>
    <m/>
    <m/>
    <m/>
    <m/>
    <m/>
    <m/>
    <m/>
    <m/>
    <m/>
    <m/>
    <m/>
    <m/>
    <m/>
    <m/>
    <m/>
    <m/>
  </r>
  <r>
    <d v="2024-11-23T00:00:00"/>
    <x v="20"/>
    <m/>
    <s v="FY25"/>
    <m/>
    <m/>
    <m/>
    <m/>
    <m/>
    <m/>
    <m/>
    <m/>
    <m/>
    <m/>
    <m/>
    <m/>
    <m/>
    <m/>
    <m/>
    <m/>
    <m/>
  </r>
  <r>
    <d v="2024-11-24T00:00:00"/>
    <x v="20"/>
    <m/>
    <s v="FY25"/>
    <m/>
    <m/>
    <m/>
    <m/>
    <m/>
    <m/>
    <m/>
    <m/>
    <m/>
    <m/>
    <m/>
    <m/>
    <m/>
    <m/>
    <m/>
    <m/>
    <m/>
  </r>
  <r>
    <d v="2024-11-25T00:00:00"/>
    <x v="20"/>
    <m/>
    <s v="FY25"/>
    <m/>
    <m/>
    <m/>
    <m/>
    <m/>
    <m/>
    <m/>
    <m/>
    <m/>
    <m/>
    <m/>
    <m/>
    <m/>
    <m/>
    <m/>
    <m/>
    <m/>
  </r>
  <r>
    <d v="2024-11-26T00:00:00"/>
    <x v="20"/>
    <m/>
    <s v="FY25"/>
    <m/>
    <m/>
    <m/>
    <m/>
    <m/>
    <m/>
    <m/>
    <m/>
    <m/>
    <m/>
    <m/>
    <m/>
    <m/>
    <m/>
    <m/>
    <m/>
    <m/>
  </r>
  <r>
    <d v="2024-11-27T00:00:00"/>
    <x v="20"/>
    <m/>
    <s v="FY25"/>
    <m/>
    <m/>
    <m/>
    <m/>
    <m/>
    <m/>
    <m/>
    <m/>
    <m/>
    <m/>
    <m/>
    <m/>
    <m/>
    <m/>
    <m/>
    <m/>
    <m/>
  </r>
  <r>
    <d v="2024-11-28T00:00:00"/>
    <x v="20"/>
    <m/>
    <s v="FY25"/>
    <m/>
    <m/>
    <m/>
    <m/>
    <m/>
    <m/>
    <m/>
    <m/>
    <m/>
    <m/>
    <m/>
    <m/>
    <m/>
    <m/>
    <m/>
    <m/>
    <m/>
  </r>
  <r>
    <d v="2024-11-29T00:00:00"/>
    <x v="20"/>
    <m/>
    <s v="FY25"/>
    <m/>
    <m/>
    <m/>
    <m/>
    <m/>
    <m/>
    <m/>
    <m/>
    <m/>
    <m/>
    <m/>
    <m/>
    <m/>
    <m/>
    <m/>
    <m/>
    <m/>
  </r>
  <r>
    <d v="2024-11-30T00:00:00"/>
    <x v="20"/>
    <m/>
    <s v="FY25"/>
    <m/>
    <m/>
    <m/>
    <m/>
    <m/>
    <m/>
    <m/>
    <m/>
    <m/>
    <m/>
    <m/>
    <m/>
    <m/>
    <m/>
    <m/>
    <m/>
    <m/>
  </r>
  <r>
    <d v="2024-12-01T00:00:00"/>
    <x v="20"/>
    <m/>
    <s v="FY25"/>
    <m/>
    <m/>
    <m/>
    <m/>
    <m/>
    <m/>
    <m/>
    <m/>
    <m/>
    <m/>
    <m/>
    <m/>
    <m/>
    <m/>
    <m/>
    <m/>
    <m/>
  </r>
  <r>
    <d v="2024-12-02T00:00:00"/>
    <x v="20"/>
    <m/>
    <s v="FY25"/>
    <m/>
    <m/>
    <m/>
    <m/>
    <m/>
    <m/>
    <m/>
    <m/>
    <m/>
    <m/>
    <m/>
    <m/>
    <m/>
    <m/>
    <m/>
    <m/>
    <m/>
  </r>
  <r>
    <d v="2024-12-03T00:00:00"/>
    <x v="20"/>
    <m/>
    <s v="FY25"/>
    <m/>
    <m/>
    <m/>
    <m/>
    <m/>
    <m/>
    <m/>
    <m/>
    <m/>
    <m/>
    <m/>
    <m/>
    <m/>
    <m/>
    <m/>
    <m/>
    <m/>
  </r>
  <r>
    <d v="2024-12-04T00:00:00"/>
    <x v="20"/>
    <m/>
    <s v="FY25"/>
    <m/>
    <m/>
    <m/>
    <m/>
    <m/>
    <m/>
    <m/>
    <m/>
    <m/>
    <m/>
    <m/>
    <m/>
    <m/>
    <m/>
    <m/>
    <m/>
    <m/>
  </r>
  <r>
    <d v="2024-12-05T00:00:00"/>
    <x v="20"/>
    <m/>
    <s v="FY25"/>
    <m/>
    <m/>
    <m/>
    <m/>
    <m/>
    <m/>
    <m/>
    <m/>
    <m/>
    <m/>
    <m/>
    <m/>
    <m/>
    <m/>
    <m/>
    <m/>
    <m/>
  </r>
  <r>
    <d v="2024-12-06T00:00:00"/>
    <x v="20"/>
    <m/>
    <s v="FY25"/>
    <m/>
    <m/>
    <m/>
    <m/>
    <m/>
    <m/>
    <m/>
    <m/>
    <m/>
    <m/>
    <m/>
    <m/>
    <m/>
    <m/>
    <m/>
    <m/>
    <m/>
  </r>
  <r>
    <d v="2024-12-07T00:00:00"/>
    <x v="20"/>
    <m/>
    <s v="FY25"/>
    <m/>
    <m/>
    <m/>
    <m/>
    <m/>
    <m/>
    <m/>
    <m/>
    <m/>
    <m/>
    <m/>
    <m/>
    <m/>
    <m/>
    <m/>
    <m/>
    <m/>
  </r>
  <r>
    <d v="2024-12-08T00:00:00"/>
    <x v="20"/>
    <m/>
    <s v="FY25"/>
    <m/>
    <m/>
    <m/>
    <m/>
    <m/>
    <m/>
    <m/>
    <m/>
    <m/>
    <m/>
    <m/>
    <m/>
    <m/>
    <m/>
    <m/>
    <m/>
    <m/>
  </r>
  <r>
    <d v="2024-12-09T00:00:00"/>
    <x v="20"/>
    <m/>
    <s v="FY25"/>
    <m/>
    <m/>
    <m/>
    <m/>
    <m/>
    <m/>
    <m/>
    <m/>
    <m/>
    <m/>
    <m/>
    <m/>
    <m/>
    <m/>
    <m/>
    <m/>
    <m/>
  </r>
  <r>
    <d v="2024-12-10T00:00:00"/>
    <x v="20"/>
    <m/>
    <s v="FY25"/>
    <m/>
    <m/>
    <m/>
    <m/>
    <m/>
    <m/>
    <m/>
    <m/>
    <m/>
    <m/>
    <m/>
    <m/>
    <m/>
    <m/>
    <m/>
    <m/>
    <m/>
  </r>
  <r>
    <d v="2024-12-11T00:00:00"/>
    <x v="20"/>
    <m/>
    <s v="FY25"/>
    <m/>
    <m/>
    <m/>
    <m/>
    <m/>
    <m/>
    <m/>
    <m/>
    <m/>
    <m/>
    <m/>
    <m/>
    <m/>
    <m/>
    <m/>
    <m/>
    <m/>
  </r>
  <r>
    <d v="2024-12-12T00:00:00"/>
    <x v="20"/>
    <m/>
    <s v="FY25"/>
    <m/>
    <m/>
    <m/>
    <m/>
    <m/>
    <m/>
    <m/>
    <m/>
    <m/>
    <m/>
    <m/>
    <m/>
    <m/>
    <m/>
    <m/>
    <m/>
    <m/>
  </r>
  <r>
    <d v="2024-12-13T00:00:00"/>
    <x v="20"/>
    <m/>
    <s v="FY25"/>
    <m/>
    <m/>
    <m/>
    <m/>
    <m/>
    <m/>
    <m/>
    <m/>
    <m/>
    <m/>
    <m/>
    <m/>
    <m/>
    <m/>
    <m/>
    <m/>
    <m/>
  </r>
  <r>
    <d v="2024-12-14T00:00:00"/>
    <x v="20"/>
    <m/>
    <s v="FY25"/>
    <m/>
    <m/>
    <m/>
    <m/>
    <m/>
    <m/>
    <m/>
    <m/>
    <m/>
    <m/>
    <m/>
    <m/>
    <m/>
    <m/>
    <m/>
    <m/>
    <m/>
  </r>
  <r>
    <d v="2024-12-15T00:00:00"/>
    <x v="20"/>
    <m/>
    <s v="FY25"/>
    <m/>
    <m/>
    <m/>
    <m/>
    <m/>
    <m/>
    <m/>
    <m/>
    <m/>
    <m/>
    <m/>
    <m/>
    <m/>
    <m/>
    <m/>
    <m/>
    <m/>
  </r>
  <r>
    <d v="2024-12-16T00:00:00"/>
    <x v="20"/>
    <m/>
    <s v="FY25"/>
    <m/>
    <m/>
    <m/>
    <m/>
    <m/>
    <m/>
    <m/>
    <m/>
    <m/>
    <m/>
    <m/>
    <m/>
    <m/>
    <m/>
    <m/>
    <m/>
    <m/>
  </r>
  <r>
    <d v="2024-12-17T00:00:00"/>
    <x v="20"/>
    <m/>
    <s v="FY25"/>
    <m/>
    <m/>
    <m/>
    <m/>
    <m/>
    <m/>
    <m/>
    <m/>
    <m/>
    <m/>
    <m/>
    <m/>
    <m/>
    <m/>
    <m/>
    <m/>
    <m/>
  </r>
  <r>
    <d v="2024-12-18T00:00:00"/>
    <x v="20"/>
    <m/>
    <s v="FY25"/>
    <m/>
    <m/>
    <m/>
    <m/>
    <m/>
    <m/>
    <m/>
    <m/>
    <m/>
    <m/>
    <m/>
    <m/>
    <m/>
    <m/>
    <m/>
    <m/>
    <m/>
  </r>
  <r>
    <d v="2024-12-19T00:00:00"/>
    <x v="20"/>
    <m/>
    <s v="FY25"/>
    <m/>
    <m/>
    <m/>
    <m/>
    <m/>
    <m/>
    <m/>
    <m/>
    <m/>
    <m/>
    <m/>
    <m/>
    <m/>
    <m/>
    <m/>
    <m/>
    <m/>
  </r>
  <r>
    <d v="2024-12-20T00:00:00"/>
    <x v="20"/>
    <m/>
    <s v="FY25"/>
    <m/>
    <m/>
    <m/>
    <m/>
    <m/>
    <m/>
    <m/>
    <m/>
    <m/>
    <m/>
    <m/>
    <m/>
    <m/>
    <m/>
    <m/>
    <m/>
    <m/>
  </r>
  <r>
    <d v="2024-12-21T00:00:00"/>
    <x v="20"/>
    <m/>
    <s v="FY25"/>
    <m/>
    <m/>
    <m/>
    <m/>
    <m/>
    <m/>
    <m/>
    <m/>
    <m/>
    <m/>
    <m/>
    <m/>
    <m/>
    <m/>
    <m/>
    <m/>
    <m/>
  </r>
  <r>
    <d v="2024-12-22T00:00:00"/>
    <x v="20"/>
    <m/>
    <s v="FY25"/>
    <m/>
    <m/>
    <m/>
    <m/>
    <m/>
    <m/>
    <m/>
    <m/>
    <m/>
    <m/>
    <m/>
    <m/>
    <m/>
    <m/>
    <m/>
    <m/>
    <m/>
  </r>
  <r>
    <d v="2024-12-23T00:00:00"/>
    <x v="20"/>
    <m/>
    <s v="FY25"/>
    <m/>
    <m/>
    <m/>
    <m/>
    <m/>
    <m/>
    <m/>
    <m/>
    <m/>
    <m/>
    <m/>
    <m/>
    <m/>
    <m/>
    <m/>
    <m/>
    <m/>
  </r>
  <r>
    <d v="2024-12-24T00:00:00"/>
    <x v="20"/>
    <m/>
    <s v="FY25"/>
    <m/>
    <m/>
    <m/>
    <m/>
    <m/>
    <m/>
    <m/>
    <m/>
    <m/>
    <m/>
    <m/>
    <m/>
    <m/>
    <m/>
    <m/>
    <m/>
    <m/>
  </r>
  <r>
    <d v="2024-12-25T00:00:00"/>
    <x v="20"/>
    <m/>
    <s v="FY25"/>
    <m/>
    <m/>
    <m/>
    <m/>
    <m/>
    <m/>
    <m/>
    <m/>
    <m/>
    <m/>
    <m/>
    <m/>
    <m/>
    <m/>
    <m/>
    <m/>
    <m/>
  </r>
  <r>
    <d v="2024-12-26T00:00:00"/>
    <x v="20"/>
    <m/>
    <s v="FY25"/>
    <m/>
    <m/>
    <m/>
    <m/>
    <m/>
    <m/>
    <m/>
    <m/>
    <m/>
    <m/>
    <m/>
    <m/>
    <m/>
    <m/>
    <m/>
    <m/>
    <m/>
  </r>
  <r>
    <d v="2024-12-27T00:00:00"/>
    <x v="20"/>
    <m/>
    <s v="FY25"/>
    <m/>
    <m/>
    <m/>
    <m/>
    <m/>
    <m/>
    <m/>
    <m/>
    <m/>
    <m/>
    <m/>
    <m/>
    <m/>
    <m/>
    <m/>
    <m/>
    <m/>
  </r>
  <r>
    <d v="2024-12-28T00:00:00"/>
    <x v="20"/>
    <m/>
    <s v="FY25"/>
    <m/>
    <m/>
    <m/>
    <m/>
    <m/>
    <m/>
    <m/>
    <m/>
    <m/>
    <m/>
    <m/>
    <m/>
    <m/>
    <m/>
    <m/>
    <m/>
    <m/>
  </r>
  <r>
    <d v="2024-12-29T00:00:00"/>
    <x v="20"/>
    <m/>
    <s v="FY25"/>
    <m/>
    <m/>
    <m/>
    <m/>
    <m/>
    <m/>
    <m/>
    <m/>
    <m/>
    <m/>
    <m/>
    <m/>
    <m/>
    <m/>
    <m/>
    <m/>
    <m/>
  </r>
  <r>
    <d v="2024-12-30T00:00:00"/>
    <x v="20"/>
    <m/>
    <s v="FY25"/>
    <m/>
    <m/>
    <m/>
    <m/>
    <m/>
    <m/>
    <m/>
    <m/>
    <m/>
    <m/>
    <m/>
    <m/>
    <m/>
    <m/>
    <m/>
    <m/>
    <m/>
  </r>
  <r>
    <d v="2024-12-31T00:00:00"/>
    <x v="20"/>
    <m/>
    <s v="FY25"/>
    <m/>
    <m/>
    <m/>
    <m/>
    <m/>
    <m/>
    <m/>
    <m/>
    <m/>
    <m/>
    <m/>
    <m/>
    <m/>
    <m/>
    <m/>
    <m/>
    <m/>
  </r>
  <r>
    <d v="2025-01-01T00:00:00"/>
    <x v="20"/>
    <m/>
    <s v="FY25"/>
    <m/>
    <m/>
    <m/>
    <m/>
    <m/>
    <m/>
    <m/>
    <m/>
    <m/>
    <m/>
    <m/>
    <m/>
    <m/>
    <m/>
    <m/>
    <m/>
    <m/>
  </r>
  <r>
    <d v="2025-01-02T00:00:00"/>
    <x v="20"/>
    <m/>
    <s v="FY25"/>
    <m/>
    <m/>
    <m/>
    <m/>
    <m/>
    <m/>
    <m/>
    <m/>
    <m/>
    <m/>
    <m/>
    <m/>
    <m/>
    <m/>
    <m/>
    <m/>
    <m/>
  </r>
  <r>
    <d v="2025-01-03T00:00:00"/>
    <x v="20"/>
    <m/>
    <s v="FY25"/>
    <m/>
    <m/>
    <m/>
    <m/>
    <m/>
    <m/>
    <m/>
    <m/>
    <m/>
    <m/>
    <m/>
    <m/>
    <m/>
    <m/>
    <m/>
    <m/>
    <m/>
  </r>
  <r>
    <d v="2025-01-04T00:00:00"/>
    <x v="20"/>
    <m/>
    <s v="FY25"/>
    <m/>
    <m/>
    <m/>
    <m/>
    <m/>
    <m/>
    <m/>
    <m/>
    <m/>
    <m/>
    <m/>
    <m/>
    <m/>
    <m/>
    <m/>
    <m/>
    <m/>
  </r>
  <r>
    <d v="2025-01-05T00:00:00"/>
    <x v="20"/>
    <m/>
    <s v="FY25"/>
    <m/>
    <m/>
    <m/>
    <m/>
    <m/>
    <m/>
    <m/>
    <m/>
    <m/>
    <m/>
    <m/>
    <m/>
    <m/>
    <m/>
    <m/>
    <m/>
    <m/>
  </r>
  <r>
    <d v="2025-01-06T00:00:00"/>
    <x v="20"/>
    <m/>
    <s v="FY25"/>
    <m/>
    <m/>
    <m/>
    <m/>
    <m/>
    <m/>
    <m/>
    <m/>
    <m/>
    <m/>
    <m/>
    <m/>
    <m/>
    <m/>
    <m/>
    <m/>
    <m/>
  </r>
  <r>
    <d v="2025-01-07T00:00:00"/>
    <x v="20"/>
    <m/>
    <s v="FY25"/>
    <m/>
    <m/>
    <m/>
    <m/>
    <m/>
    <m/>
    <m/>
    <m/>
    <m/>
    <m/>
    <m/>
    <m/>
    <m/>
    <m/>
    <m/>
    <m/>
    <m/>
  </r>
  <r>
    <d v="2025-01-08T00:00:00"/>
    <x v="20"/>
    <m/>
    <s v="FY25"/>
    <m/>
    <m/>
    <m/>
    <m/>
    <m/>
    <m/>
    <m/>
    <m/>
    <m/>
    <m/>
    <m/>
    <m/>
    <m/>
    <m/>
    <m/>
    <m/>
    <m/>
  </r>
  <r>
    <d v="2025-01-09T00:00:00"/>
    <x v="20"/>
    <m/>
    <s v="FY25"/>
    <m/>
    <m/>
    <m/>
    <m/>
    <m/>
    <m/>
    <m/>
    <m/>
    <m/>
    <m/>
    <m/>
    <m/>
    <m/>
    <m/>
    <m/>
    <m/>
    <m/>
  </r>
  <r>
    <d v="2025-01-10T00:00:00"/>
    <x v="20"/>
    <m/>
    <s v="FY25"/>
    <m/>
    <m/>
    <m/>
    <m/>
    <m/>
    <m/>
    <m/>
    <m/>
    <m/>
    <m/>
    <m/>
    <m/>
    <m/>
    <m/>
    <m/>
    <m/>
    <m/>
  </r>
  <r>
    <d v="2025-01-11T00:00:00"/>
    <x v="20"/>
    <m/>
    <s v="FY25"/>
    <m/>
    <m/>
    <m/>
    <m/>
    <m/>
    <m/>
    <m/>
    <m/>
    <m/>
    <m/>
    <m/>
    <m/>
    <m/>
    <m/>
    <m/>
    <m/>
    <m/>
  </r>
  <r>
    <d v="2025-01-12T00:00:00"/>
    <x v="20"/>
    <m/>
    <s v="FY25"/>
    <m/>
    <m/>
    <m/>
    <m/>
    <m/>
    <m/>
    <m/>
    <m/>
    <m/>
    <m/>
    <m/>
    <m/>
    <m/>
    <m/>
    <m/>
    <m/>
    <m/>
  </r>
  <r>
    <d v="2025-01-13T00:00:00"/>
    <x v="20"/>
    <m/>
    <s v="FY25"/>
    <m/>
    <m/>
    <m/>
    <m/>
    <m/>
    <m/>
    <m/>
    <m/>
    <m/>
    <m/>
    <m/>
    <m/>
    <m/>
    <m/>
    <m/>
    <m/>
    <m/>
  </r>
  <r>
    <d v="2025-01-14T00:00:00"/>
    <x v="20"/>
    <m/>
    <s v="FY25"/>
    <m/>
    <m/>
    <m/>
    <m/>
    <m/>
    <m/>
    <m/>
    <m/>
    <m/>
    <m/>
    <m/>
    <m/>
    <m/>
    <m/>
    <m/>
    <m/>
    <m/>
  </r>
  <r>
    <d v="2025-01-15T00:00:00"/>
    <x v="20"/>
    <m/>
    <s v="FY25"/>
    <m/>
    <m/>
    <m/>
    <m/>
    <m/>
    <m/>
    <m/>
    <m/>
    <m/>
    <m/>
    <m/>
    <m/>
    <m/>
    <m/>
    <m/>
    <m/>
    <m/>
  </r>
  <r>
    <d v="2025-01-16T00:00:00"/>
    <x v="20"/>
    <m/>
    <s v="FY25"/>
    <m/>
    <m/>
    <m/>
    <m/>
    <m/>
    <m/>
    <m/>
    <m/>
    <m/>
    <m/>
    <m/>
    <m/>
    <m/>
    <m/>
    <m/>
    <m/>
    <m/>
  </r>
  <r>
    <d v="2025-01-17T00:00:00"/>
    <x v="20"/>
    <m/>
    <s v="FY25"/>
    <m/>
    <m/>
    <m/>
    <m/>
    <m/>
    <m/>
    <m/>
    <m/>
    <m/>
    <m/>
    <m/>
    <m/>
    <m/>
    <m/>
    <m/>
    <m/>
    <m/>
  </r>
  <r>
    <d v="2025-01-18T00:00:00"/>
    <x v="20"/>
    <m/>
    <s v="FY25"/>
    <m/>
    <m/>
    <m/>
    <m/>
    <m/>
    <m/>
    <m/>
    <m/>
    <m/>
    <m/>
    <m/>
    <m/>
    <m/>
    <m/>
    <m/>
    <m/>
    <m/>
  </r>
  <r>
    <d v="2025-01-19T00:00:00"/>
    <x v="20"/>
    <m/>
    <s v="FY25"/>
    <m/>
    <m/>
    <m/>
    <m/>
    <m/>
    <m/>
    <m/>
    <m/>
    <m/>
    <m/>
    <m/>
    <m/>
    <m/>
    <m/>
    <m/>
    <m/>
    <m/>
  </r>
  <r>
    <d v="2025-01-20T00:00:00"/>
    <x v="20"/>
    <m/>
    <s v="FY25"/>
    <m/>
    <m/>
    <m/>
    <m/>
    <m/>
    <m/>
    <m/>
    <m/>
    <m/>
    <m/>
    <m/>
    <m/>
    <m/>
    <m/>
    <m/>
    <m/>
    <m/>
  </r>
  <r>
    <d v="2025-01-21T00:00:00"/>
    <x v="20"/>
    <m/>
    <s v="FY25"/>
    <m/>
    <m/>
    <m/>
    <m/>
    <m/>
    <m/>
    <m/>
    <m/>
    <m/>
    <m/>
    <m/>
    <m/>
    <m/>
    <m/>
    <m/>
    <m/>
    <m/>
  </r>
  <r>
    <d v="2025-01-22T00:00:00"/>
    <x v="20"/>
    <m/>
    <s v="FY25"/>
    <m/>
    <m/>
    <m/>
    <m/>
    <m/>
    <m/>
    <m/>
    <m/>
    <m/>
    <m/>
    <m/>
    <m/>
    <m/>
    <m/>
    <m/>
    <m/>
    <m/>
  </r>
  <r>
    <d v="2025-01-23T00:00:00"/>
    <x v="20"/>
    <m/>
    <s v="FY25"/>
    <m/>
    <m/>
    <m/>
    <m/>
    <m/>
    <m/>
    <m/>
    <m/>
    <m/>
    <m/>
    <m/>
    <m/>
    <m/>
    <m/>
    <m/>
    <m/>
    <m/>
  </r>
  <r>
    <d v="2025-01-24T00:00:00"/>
    <x v="20"/>
    <m/>
    <s v="FY25"/>
    <m/>
    <m/>
    <m/>
    <m/>
    <m/>
    <m/>
    <m/>
    <m/>
    <m/>
    <m/>
    <m/>
    <m/>
    <m/>
    <m/>
    <m/>
    <m/>
    <m/>
  </r>
  <r>
    <d v="2025-01-25T00:00:00"/>
    <x v="20"/>
    <m/>
    <s v="FY25"/>
    <m/>
    <m/>
    <m/>
    <m/>
    <m/>
    <m/>
    <m/>
    <m/>
    <m/>
    <m/>
    <m/>
    <m/>
    <m/>
    <m/>
    <m/>
    <m/>
    <m/>
  </r>
  <r>
    <d v="2025-01-26T00:00:00"/>
    <x v="20"/>
    <m/>
    <s v="FY25"/>
    <m/>
    <m/>
    <m/>
    <m/>
    <m/>
    <m/>
    <m/>
    <m/>
    <m/>
    <m/>
    <m/>
    <m/>
    <m/>
    <m/>
    <m/>
    <m/>
    <m/>
  </r>
  <r>
    <d v="2025-01-27T00:00:00"/>
    <x v="20"/>
    <m/>
    <s v="FY25"/>
    <m/>
    <m/>
    <m/>
    <m/>
    <m/>
    <m/>
    <m/>
    <m/>
    <m/>
    <m/>
    <m/>
    <m/>
    <m/>
    <m/>
    <m/>
    <m/>
    <m/>
  </r>
  <r>
    <d v="2025-01-28T00:00:00"/>
    <x v="20"/>
    <m/>
    <s v="FY25"/>
    <m/>
    <m/>
    <m/>
    <m/>
    <m/>
    <m/>
    <m/>
    <m/>
    <m/>
    <m/>
    <m/>
    <m/>
    <m/>
    <m/>
    <m/>
    <m/>
    <m/>
  </r>
  <r>
    <d v="2025-01-29T00:00:00"/>
    <x v="20"/>
    <m/>
    <s v="FY25"/>
    <m/>
    <m/>
    <m/>
    <m/>
    <m/>
    <m/>
    <m/>
    <m/>
    <m/>
    <m/>
    <m/>
    <m/>
    <m/>
    <m/>
    <m/>
    <m/>
    <m/>
  </r>
  <r>
    <d v="2025-01-30T00:00:00"/>
    <x v="20"/>
    <m/>
    <s v="FY25"/>
    <m/>
    <m/>
    <m/>
    <m/>
    <m/>
    <m/>
    <m/>
    <m/>
    <m/>
    <m/>
    <m/>
    <m/>
    <m/>
    <m/>
    <m/>
    <m/>
    <m/>
  </r>
  <r>
    <d v="2025-01-31T00:00:00"/>
    <x v="20"/>
    <m/>
    <s v="FY25"/>
    <m/>
    <m/>
    <m/>
    <m/>
    <m/>
    <m/>
    <m/>
    <m/>
    <m/>
    <m/>
    <m/>
    <m/>
    <m/>
    <m/>
    <m/>
    <m/>
    <m/>
  </r>
  <r>
    <d v="2025-02-01T00:00:00"/>
    <x v="20"/>
    <m/>
    <s v="FY25"/>
    <m/>
    <m/>
    <m/>
    <m/>
    <m/>
    <m/>
    <m/>
    <m/>
    <m/>
    <m/>
    <m/>
    <m/>
    <m/>
    <m/>
    <m/>
    <m/>
    <m/>
  </r>
  <r>
    <d v="2025-02-02T00:00:00"/>
    <x v="20"/>
    <m/>
    <s v="FY25"/>
    <m/>
    <m/>
    <m/>
    <m/>
    <m/>
    <m/>
    <m/>
    <m/>
    <m/>
    <m/>
    <m/>
    <m/>
    <m/>
    <m/>
    <m/>
    <m/>
    <m/>
  </r>
  <r>
    <d v="2025-02-03T00:00:00"/>
    <x v="20"/>
    <m/>
    <s v="FY25"/>
    <m/>
    <m/>
    <m/>
    <m/>
    <m/>
    <m/>
    <m/>
    <m/>
    <m/>
    <m/>
    <m/>
    <m/>
    <m/>
    <m/>
    <m/>
    <m/>
    <m/>
  </r>
  <r>
    <d v="2025-02-04T00:00:00"/>
    <x v="20"/>
    <m/>
    <s v="FY25"/>
    <m/>
    <m/>
    <m/>
    <m/>
    <m/>
    <m/>
    <m/>
    <m/>
    <m/>
    <m/>
    <m/>
    <m/>
    <m/>
    <m/>
    <m/>
    <m/>
    <m/>
  </r>
  <r>
    <d v="2025-02-05T00:00:00"/>
    <x v="20"/>
    <m/>
    <s v="FY25"/>
    <m/>
    <m/>
    <m/>
    <m/>
    <m/>
    <m/>
    <m/>
    <m/>
    <m/>
    <m/>
    <m/>
    <m/>
    <m/>
    <m/>
    <m/>
    <m/>
    <m/>
  </r>
  <r>
    <d v="2025-02-06T00:00:00"/>
    <x v="20"/>
    <m/>
    <s v="FY25"/>
    <m/>
    <m/>
    <m/>
    <m/>
    <m/>
    <m/>
    <m/>
    <m/>
    <m/>
    <m/>
    <m/>
    <m/>
    <m/>
    <m/>
    <m/>
    <m/>
    <m/>
  </r>
  <r>
    <d v="2025-02-07T00:00:00"/>
    <x v="20"/>
    <m/>
    <s v="FY25"/>
    <m/>
    <m/>
    <m/>
    <m/>
    <m/>
    <m/>
    <m/>
    <m/>
    <m/>
    <m/>
    <m/>
    <m/>
    <m/>
    <m/>
    <m/>
    <m/>
    <m/>
  </r>
  <r>
    <d v="2025-02-08T00:00:00"/>
    <x v="20"/>
    <m/>
    <s v="FY25"/>
    <m/>
    <m/>
    <m/>
    <m/>
    <m/>
    <m/>
    <m/>
    <m/>
    <m/>
    <m/>
    <m/>
    <m/>
    <m/>
    <m/>
    <m/>
    <m/>
    <m/>
  </r>
  <r>
    <d v="2025-02-09T00:00:00"/>
    <x v="20"/>
    <m/>
    <s v="FY25"/>
    <m/>
    <m/>
    <m/>
    <m/>
    <m/>
    <m/>
    <m/>
    <m/>
    <m/>
    <m/>
    <m/>
    <m/>
    <m/>
    <m/>
    <m/>
    <m/>
    <m/>
  </r>
  <r>
    <d v="2025-02-10T00:00:00"/>
    <x v="20"/>
    <m/>
    <s v="FY25"/>
    <m/>
    <m/>
    <m/>
    <m/>
    <m/>
    <m/>
    <m/>
    <m/>
    <m/>
    <m/>
    <m/>
    <m/>
    <m/>
    <m/>
    <m/>
    <m/>
    <m/>
  </r>
  <r>
    <d v="2025-02-11T00:00:00"/>
    <x v="20"/>
    <m/>
    <s v="FY25"/>
    <m/>
    <m/>
    <m/>
    <m/>
    <m/>
    <m/>
    <m/>
    <m/>
    <m/>
    <m/>
    <m/>
    <m/>
    <m/>
    <m/>
    <m/>
    <m/>
    <m/>
  </r>
  <r>
    <d v="2025-02-12T00:00:00"/>
    <x v="20"/>
    <m/>
    <s v="FY25"/>
    <m/>
    <m/>
    <m/>
    <m/>
    <m/>
    <m/>
    <m/>
    <m/>
    <m/>
    <m/>
    <m/>
    <m/>
    <m/>
    <m/>
    <m/>
    <m/>
    <m/>
  </r>
  <r>
    <d v="2025-02-13T00:00:00"/>
    <x v="20"/>
    <m/>
    <s v="FY25"/>
    <m/>
    <m/>
    <m/>
    <m/>
    <m/>
    <m/>
    <m/>
    <m/>
    <m/>
    <m/>
    <m/>
    <m/>
    <m/>
    <m/>
    <m/>
    <m/>
    <m/>
  </r>
  <r>
    <d v="2025-02-14T00:00:00"/>
    <x v="20"/>
    <m/>
    <s v="FY25"/>
    <m/>
    <m/>
    <m/>
    <m/>
    <m/>
    <m/>
    <m/>
    <m/>
    <m/>
    <m/>
    <m/>
    <m/>
    <m/>
    <m/>
    <m/>
    <m/>
    <m/>
  </r>
  <r>
    <d v="2025-02-15T00:00:00"/>
    <x v="20"/>
    <m/>
    <s v="FY25"/>
    <m/>
    <m/>
    <m/>
    <m/>
    <m/>
    <m/>
    <m/>
    <m/>
    <m/>
    <m/>
    <m/>
    <m/>
    <m/>
    <m/>
    <m/>
    <m/>
    <m/>
  </r>
  <r>
    <d v="2025-02-16T00:00:00"/>
    <x v="20"/>
    <m/>
    <s v="FY25"/>
    <m/>
    <m/>
    <m/>
    <m/>
    <m/>
    <m/>
    <m/>
    <m/>
    <m/>
    <m/>
    <m/>
    <m/>
    <m/>
    <m/>
    <m/>
    <m/>
    <m/>
  </r>
  <r>
    <d v="2025-02-17T00:00:00"/>
    <x v="20"/>
    <m/>
    <s v="FY25"/>
    <m/>
    <m/>
    <m/>
    <m/>
    <m/>
    <m/>
    <m/>
    <m/>
    <m/>
    <m/>
    <m/>
    <m/>
    <m/>
    <m/>
    <m/>
    <m/>
    <m/>
  </r>
  <r>
    <d v="2025-02-18T00:00:00"/>
    <x v="20"/>
    <m/>
    <s v="FY25"/>
    <m/>
    <m/>
    <m/>
    <m/>
    <m/>
    <m/>
    <m/>
    <m/>
    <m/>
    <m/>
    <m/>
    <m/>
    <m/>
    <m/>
    <m/>
    <m/>
    <m/>
  </r>
  <r>
    <d v="2025-02-19T00:00:00"/>
    <x v="20"/>
    <m/>
    <s v="FY25"/>
    <m/>
    <m/>
    <m/>
    <m/>
    <m/>
    <m/>
    <m/>
    <m/>
    <m/>
    <m/>
    <m/>
    <m/>
    <m/>
    <m/>
    <m/>
    <m/>
    <m/>
  </r>
  <r>
    <d v="2025-02-20T00:00:00"/>
    <x v="20"/>
    <m/>
    <s v="FY25"/>
    <m/>
    <m/>
    <m/>
    <m/>
    <m/>
    <m/>
    <m/>
    <m/>
    <m/>
    <m/>
    <m/>
    <m/>
    <m/>
    <m/>
    <m/>
    <m/>
    <m/>
  </r>
  <r>
    <d v="2025-02-21T00:00:00"/>
    <x v="20"/>
    <m/>
    <s v="FY25"/>
    <m/>
    <m/>
    <m/>
    <m/>
    <m/>
    <m/>
    <m/>
    <m/>
    <m/>
    <m/>
    <m/>
    <m/>
    <m/>
    <m/>
    <m/>
    <m/>
    <m/>
  </r>
  <r>
    <d v="2025-02-22T00:00:00"/>
    <x v="20"/>
    <m/>
    <s v="FY25"/>
    <m/>
    <m/>
    <m/>
    <m/>
    <m/>
    <m/>
    <m/>
    <m/>
    <m/>
    <m/>
    <m/>
    <m/>
    <m/>
    <m/>
    <m/>
    <m/>
    <m/>
  </r>
  <r>
    <d v="2025-02-23T00:00:00"/>
    <x v="20"/>
    <m/>
    <s v="FY25"/>
    <m/>
    <m/>
    <m/>
    <m/>
    <m/>
    <m/>
    <m/>
    <m/>
    <m/>
    <m/>
    <m/>
    <m/>
    <m/>
    <m/>
    <m/>
    <m/>
    <m/>
  </r>
  <r>
    <d v="2025-02-24T00:00:00"/>
    <x v="20"/>
    <m/>
    <s v="FY25"/>
    <m/>
    <m/>
    <m/>
    <m/>
    <m/>
    <m/>
    <m/>
    <m/>
    <m/>
    <m/>
    <m/>
    <m/>
    <m/>
    <m/>
    <m/>
    <m/>
    <m/>
  </r>
  <r>
    <d v="2025-02-25T00:00:00"/>
    <x v="20"/>
    <m/>
    <s v="FY25"/>
    <m/>
    <m/>
    <m/>
    <m/>
    <m/>
    <m/>
    <m/>
    <m/>
    <m/>
    <m/>
    <m/>
    <m/>
    <m/>
    <m/>
    <m/>
    <m/>
    <m/>
  </r>
  <r>
    <d v="2025-02-26T00:00:00"/>
    <x v="20"/>
    <m/>
    <s v="FY25"/>
    <m/>
    <m/>
    <m/>
    <m/>
    <m/>
    <m/>
    <m/>
    <m/>
    <m/>
    <m/>
    <m/>
    <m/>
    <m/>
    <m/>
    <m/>
    <m/>
    <m/>
  </r>
  <r>
    <d v="2025-02-27T00:00:00"/>
    <x v="20"/>
    <m/>
    <s v="FY25"/>
    <m/>
    <m/>
    <m/>
    <m/>
    <m/>
    <m/>
    <m/>
    <m/>
    <m/>
    <m/>
    <m/>
    <m/>
    <m/>
    <m/>
    <m/>
    <m/>
    <m/>
  </r>
  <r>
    <d v="2025-02-28T00:00:00"/>
    <x v="20"/>
    <m/>
    <s v="FY25"/>
    <m/>
    <m/>
    <m/>
    <m/>
    <m/>
    <m/>
    <m/>
    <m/>
    <m/>
    <m/>
    <m/>
    <m/>
    <m/>
    <m/>
    <m/>
    <m/>
    <m/>
  </r>
  <r>
    <d v="2025-03-01T00:00:00"/>
    <x v="20"/>
    <m/>
    <s v="FY25"/>
    <m/>
    <m/>
    <m/>
    <m/>
    <m/>
    <m/>
    <m/>
    <m/>
    <m/>
    <m/>
    <m/>
    <m/>
    <m/>
    <m/>
    <m/>
    <m/>
    <m/>
  </r>
  <r>
    <d v="2025-03-02T00:00:00"/>
    <x v="20"/>
    <m/>
    <s v="FY25"/>
    <m/>
    <m/>
    <m/>
    <m/>
    <m/>
    <m/>
    <m/>
    <m/>
    <m/>
    <m/>
    <m/>
    <m/>
    <m/>
    <m/>
    <m/>
    <m/>
    <m/>
  </r>
  <r>
    <d v="2025-03-03T00:00:00"/>
    <x v="20"/>
    <m/>
    <s v="FY25"/>
    <m/>
    <m/>
    <m/>
    <m/>
    <m/>
    <m/>
    <m/>
    <m/>
    <m/>
    <m/>
    <m/>
    <m/>
    <m/>
    <m/>
    <m/>
    <m/>
    <m/>
  </r>
  <r>
    <d v="2025-03-04T00:00:00"/>
    <x v="20"/>
    <m/>
    <s v="FY25"/>
    <m/>
    <m/>
    <m/>
    <m/>
    <m/>
    <m/>
    <m/>
    <m/>
    <m/>
    <m/>
    <m/>
    <m/>
    <m/>
    <m/>
    <m/>
    <m/>
    <m/>
  </r>
  <r>
    <d v="2025-03-05T00:00:00"/>
    <x v="20"/>
    <m/>
    <s v="FY25"/>
    <m/>
    <m/>
    <m/>
    <m/>
    <m/>
    <m/>
    <m/>
    <m/>
    <m/>
    <m/>
    <m/>
    <m/>
    <m/>
    <m/>
    <m/>
    <m/>
    <m/>
  </r>
  <r>
    <d v="2025-03-06T00:00:00"/>
    <x v="20"/>
    <m/>
    <s v="FY25"/>
    <m/>
    <m/>
    <m/>
    <m/>
    <m/>
    <m/>
    <m/>
    <m/>
    <m/>
    <m/>
    <m/>
    <m/>
    <m/>
    <m/>
    <m/>
    <m/>
    <m/>
  </r>
  <r>
    <d v="2025-03-07T00:00:00"/>
    <x v="20"/>
    <m/>
    <s v="FY25"/>
    <m/>
    <m/>
    <m/>
    <m/>
    <m/>
    <m/>
    <m/>
    <m/>
    <m/>
    <m/>
    <m/>
    <m/>
    <m/>
    <m/>
    <m/>
    <m/>
    <m/>
  </r>
  <r>
    <d v="2025-03-08T00:00:00"/>
    <x v="20"/>
    <m/>
    <s v="FY25"/>
    <m/>
    <m/>
    <m/>
    <m/>
    <m/>
    <m/>
    <m/>
    <m/>
    <m/>
    <m/>
    <m/>
    <m/>
    <m/>
    <m/>
    <m/>
    <m/>
    <m/>
  </r>
  <r>
    <d v="2025-03-09T00:00:00"/>
    <x v="20"/>
    <m/>
    <s v="FY25"/>
    <m/>
    <m/>
    <m/>
    <m/>
    <m/>
    <m/>
    <m/>
    <m/>
    <m/>
    <m/>
    <m/>
    <m/>
    <m/>
    <m/>
    <m/>
    <m/>
    <m/>
  </r>
  <r>
    <d v="2025-03-10T00:00:00"/>
    <x v="20"/>
    <m/>
    <s v="FY25"/>
    <m/>
    <m/>
    <m/>
    <m/>
    <m/>
    <m/>
    <m/>
    <m/>
    <m/>
    <m/>
    <m/>
    <m/>
    <m/>
    <m/>
    <m/>
    <m/>
    <m/>
  </r>
  <r>
    <d v="2025-03-11T00:00:00"/>
    <x v="20"/>
    <m/>
    <s v="FY25"/>
    <m/>
    <m/>
    <m/>
    <m/>
    <m/>
    <m/>
    <m/>
    <m/>
    <m/>
    <m/>
    <m/>
    <m/>
    <m/>
    <m/>
    <m/>
    <m/>
    <m/>
  </r>
  <r>
    <d v="2025-03-12T00:00:00"/>
    <x v="20"/>
    <m/>
    <s v="FY25"/>
    <m/>
    <m/>
    <m/>
    <m/>
    <m/>
    <m/>
    <m/>
    <m/>
    <m/>
    <m/>
    <m/>
    <m/>
    <m/>
    <m/>
    <m/>
    <m/>
    <m/>
  </r>
  <r>
    <d v="2025-03-13T00:00:00"/>
    <x v="20"/>
    <m/>
    <s v="FY25"/>
    <m/>
    <m/>
    <m/>
    <m/>
    <m/>
    <m/>
    <m/>
    <m/>
    <m/>
    <m/>
    <m/>
    <m/>
    <m/>
    <m/>
    <m/>
    <m/>
    <m/>
  </r>
  <r>
    <d v="2025-03-14T00:00:00"/>
    <x v="20"/>
    <m/>
    <s v="FY25"/>
    <m/>
    <m/>
    <m/>
    <m/>
    <m/>
    <m/>
    <m/>
    <m/>
    <m/>
    <m/>
    <m/>
    <m/>
    <m/>
    <m/>
    <m/>
    <m/>
    <m/>
  </r>
  <r>
    <d v="2025-03-15T00:00:00"/>
    <x v="20"/>
    <m/>
    <s v="FY25"/>
    <m/>
    <m/>
    <m/>
    <m/>
    <m/>
    <m/>
    <m/>
    <m/>
    <m/>
    <m/>
    <m/>
    <m/>
    <m/>
    <m/>
    <m/>
    <m/>
    <m/>
  </r>
  <r>
    <d v="2025-03-16T00:00:00"/>
    <x v="20"/>
    <m/>
    <s v="FY25"/>
    <m/>
    <m/>
    <m/>
    <m/>
    <m/>
    <m/>
    <m/>
    <m/>
    <m/>
    <m/>
    <m/>
    <m/>
    <m/>
    <m/>
    <m/>
    <m/>
    <m/>
  </r>
  <r>
    <d v="2025-03-17T00:00:00"/>
    <x v="20"/>
    <m/>
    <s v="FY25"/>
    <m/>
    <m/>
    <m/>
    <m/>
    <m/>
    <m/>
    <m/>
    <m/>
    <m/>
    <m/>
    <m/>
    <m/>
    <m/>
    <m/>
    <m/>
    <m/>
    <m/>
  </r>
  <r>
    <d v="2025-03-18T00:00:00"/>
    <x v="20"/>
    <m/>
    <s v="FY25"/>
    <m/>
    <m/>
    <m/>
    <m/>
    <m/>
    <m/>
    <m/>
    <m/>
    <m/>
    <m/>
    <m/>
    <m/>
    <m/>
    <m/>
    <m/>
    <m/>
    <m/>
  </r>
  <r>
    <d v="2025-03-19T00:00:00"/>
    <x v="20"/>
    <m/>
    <s v="FY25"/>
    <m/>
    <m/>
    <m/>
    <m/>
    <m/>
    <m/>
    <m/>
    <m/>
    <m/>
    <m/>
    <m/>
    <m/>
    <m/>
    <m/>
    <m/>
    <m/>
    <m/>
  </r>
  <r>
    <d v="2025-03-20T00:00:00"/>
    <x v="20"/>
    <m/>
    <s v="FY25"/>
    <m/>
    <m/>
    <m/>
    <m/>
    <m/>
    <m/>
    <m/>
    <m/>
    <m/>
    <m/>
    <m/>
    <m/>
    <m/>
    <m/>
    <m/>
    <m/>
    <m/>
  </r>
  <r>
    <d v="2025-03-21T00:00:00"/>
    <x v="20"/>
    <m/>
    <s v="FY25"/>
    <m/>
    <m/>
    <m/>
    <m/>
    <m/>
    <m/>
    <m/>
    <m/>
    <m/>
    <m/>
    <m/>
    <m/>
    <m/>
    <m/>
    <m/>
    <m/>
    <m/>
  </r>
  <r>
    <d v="2025-03-22T00:00:00"/>
    <x v="20"/>
    <m/>
    <s v="FY25"/>
    <m/>
    <m/>
    <m/>
    <m/>
    <m/>
    <m/>
    <m/>
    <m/>
    <m/>
    <m/>
    <m/>
    <m/>
    <m/>
    <m/>
    <m/>
    <m/>
    <m/>
  </r>
  <r>
    <d v="2025-03-23T00:00:00"/>
    <x v="20"/>
    <m/>
    <s v="FY25"/>
    <m/>
    <m/>
    <m/>
    <m/>
    <m/>
    <m/>
    <m/>
    <m/>
    <m/>
    <m/>
    <m/>
    <m/>
    <m/>
    <m/>
    <m/>
    <m/>
    <m/>
  </r>
  <r>
    <d v="2025-03-24T00:00:00"/>
    <x v="20"/>
    <m/>
    <s v="FY25"/>
    <m/>
    <m/>
    <m/>
    <m/>
    <m/>
    <m/>
    <m/>
    <m/>
    <m/>
    <m/>
    <m/>
    <m/>
    <m/>
    <m/>
    <m/>
    <m/>
    <m/>
  </r>
  <r>
    <d v="2025-03-25T00:00:00"/>
    <x v="20"/>
    <m/>
    <s v="FY25"/>
    <m/>
    <m/>
    <m/>
    <m/>
    <m/>
    <m/>
    <m/>
    <m/>
    <m/>
    <m/>
    <m/>
    <m/>
    <m/>
    <m/>
    <m/>
    <m/>
    <m/>
  </r>
  <r>
    <d v="2025-03-26T00:00:00"/>
    <x v="20"/>
    <m/>
    <s v="FY25"/>
    <m/>
    <m/>
    <m/>
    <m/>
    <m/>
    <m/>
    <m/>
    <m/>
    <m/>
    <m/>
    <m/>
    <m/>
    <m/>
    <m/>
    <m/>
    <m/>
    <m/>
  </r>
  <r>
    <d v="2025-03-27T00:00:00"/>
    <x v="20"/>
    <m/>
    <s v="FY25"/>
    <m/>
    <m/>
    <m/>
    <m/>
    <m/>
    <m/>
    <m/>
    <m/>
    <m/>
    <m/>
    <m/>
    <m/>
    <m/>
    <m/>
    <m/>
    <m/>
    <m/>
  </r>
  <r>
    <d v="2025-03-28T00:00:00"/>
    <x v="20"/>
    <m/>
    <s v="FY25"/>
    <m/>
    <m/>
    <m/>
    <m/>
    <m/>
    <m/>
    <m/>
    <m/>
    <m/>
    <m/>
    <m/>
    <m/>
    <m/>
    <m/>
    <m/>
    <m/>
    <m/>
  </r>
  <r>
    <d v="2025-03-29T00:00:00"/>
    <x v="20"/>
    <m/>
    <s v="FY25"/>
    <m/>
    <m/>
    <m/>
    <m/>
    <m/>
    <m/>
    <m/>
    <m/>
    <m/>
    <m/>
    <m/>
    <m/>
    <m/>
    <m/>
    <m/>
    <m/>
    <m/>
  </r>
  <r>
    <d v="2025-03-30T00:00:00"/>
    <x v="20"/>
    <m/>
    <s v="FY25"/>
    <m/>
    <m/>
    <m/>
    <m/>
    <m/>
    <m/>
    <m/>
    <m/>
    <m/>
    <m/>
    <m/>
    <m/>
    <m/>
    <m/>
    <m/>
    <m/>
    <m/>
  </r>
  <r>
    <d v="2025-03-31T00:00:00"/>
    <x v="20"/>
    <m/>
    <s v="FY25"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2T00:00:00"/>
    <x v="0"/>
    <s v="T"/>
    <s v="FY25"/>
    <n v="560"/>
    <n v="503"/>
    <n v="-0.24119241192411925"/>
    <n v="-9.6947935368043081E-2"/>
    <n v="560"/>
    <n v="503"/>
    <n v="0.56000000000000005"/>
    <n v="0.1"/>
    <n v="0.9"/>
    <n v="0.65"/>
    <n v="1"/>
    <n v="210"/>
    <n v="5"/>
    <s v="Normal"/>
    <s v="Normal"/>
    <n v="-0.24119241192411925"/>
    <n v="-9.6947935368043081E-2"/>
  </r>
  <r>
    <d v="2024-04-03T00:00:00"/>
    <x v="0"/>
    <s v="W"/>
    <s v="FY25"/>
    <n v="684"/>
    <n v="540"/>
    <n v="-3.9325842696629212E-2"/>
    <n v="-4.9295774647887321E-2"/>
    <n v="1244"/>
    <n v="1043"/>
    <n v="0.8"/>
    <n v="0.21"/>
    <n v="0.79"/>
    <n v="0.8"/>
    <n v="1"/>
    <n v="219"/>
    <n v="4"/>
    <s v="Normal"/>
    <s v="Normal"/>
    <n v="-3.9325842696629212E-2"/>
    <n v="-4.9295774647887321E-2"/>
  </r>
  <r>
    <d v="2024-04-04T00:00:00"/>
    <x v="0"/>
    <s v="R"/>
    <s v="FY25"/>
    <n v="546"/>
    <n v="445"/>
    <n v="-0.18507462686567164"/>
    <n v="-0.29699842022116901"/>
    <n v="1790"/>
    <n v="1488"/>
    <n v="0.78"/>
    <n v="0.19"/>
    <n v="0.81"/>
    <n v="0.66"/>
    <n v="1"/>
    <n v="248"/>
    <n v="4"/>
    <s v="Normal"/>
    <s v="Normal"/>
    <n v="-0.18507462686567164"/>
    <n v="-0.29699842022116901"/>
  </r>
  <r>
    <d v="2024-04-05T00:00:00"/>
    <x v="0"/>
    <s v="F"/>
    <s v="FY25"/>
    <n v="577"/>
    <n v="484"/>
    <n v="0"/>
    <n v="0"/>
    <n v="2367"/>
    <n v="1972"/>
    <n v="0.78"/>
    <n v="0.16"/>
    <n v="0.84"/>
    <n v="0.68"/>
    <n v="1"/>
    <n v="121"/>
    <n v="4"/>
    <s v="Normal"/>
    <s v="Normal"/>
    <n v="0"/>
    <n v="0"/>
  </r>
  <r>
    <d v="2024-04-06T00:00:00"/>
    <x v="0"/>
    <s v="S"/>
    <s v="FY25"/>
    <n v="354"/>
    <n v="310"/>
    <n v="-0.32313575525812621"/>
    <n v="-0.37373737373737376"/>
    <n v="2721"/>
    <n v="2282"/>
    <n v="0.6"/>
    <n v="0.12"/>
    <n v="0.88"/>
    <n v="0.59"/>
    <n v="1"/>
    <n v="95"/>
    <n v="3"/>
    <s v="Normal"/>
    <s v="Outlier"/>
    <n v="-0.32313575525812621"/>
    <n v="-0.37373737373737376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8T00:00:00"/>
    <x v="1"/>
    <s v="M"/>
    <s v="FY25"/>
    <n v="656"/>
    <n v="552"/>
    <n v="0"/>
    <n v="0"/>
    <n v="3377"/>
    <n v="2834"/>
    <n v="0.74"/>
    <n v="0.16"/>
    <n v="0.84"/>
    <n v="0.77"/>
    <n v="1"/>
    <n v="98"/>
    <n v="4"/>
    <s v="Normal"/>
    <s v="Normal"/>
    <n v="0"/>
    <n v="0"/>
  </r>
  <r>
    <d v="2024-04-09T00:00:00"/>
    <x v="1"/>
    <s v="T"/>
    <s v="FY25"/>
    <n v="586"/>
    <n v="483"/>
    <n v="4.642857142857143E-2"/>
    <n v="-3.9761431411530816E-2"/>
    <n v="3963"/>
    <n v="3317"/>
    <n v="0.68"/>
    <n v="0.18"/>
    <n v="0.82"/>
    <n v="0.65"/>
    <n v="1"/>
    <n v="96"/>
    <n v="4"/>
    <s v="Normal"/>
    <s v="Normal"/>
    <n v="4.642857142857143E-2"/>
    <n v="-3.9761431411530816E-2"/>
  </r>
  <r>
    <d v="2024-04-10T00:00:00"/>
    <x v="1"/>
    <s v="W"/>
    <s v="FY25"/>
    <n v="530"/>
    <n v="461"/>
    <n v="-0.22514619883040934"/>
    <n v="-0.14629629629629629"/>
    <n v="4493"/>
    <n v="3778"/>
    <n v="0.78"/>
    <n v="0.13"/>
    <n v="0.87"/>
    <n v="0.64"/>
    <n v="1"/>
    <n v="94"/>
    <n v="4"/>
    <s v="Normal"/>
    <s v="Normal"/>
    <n v="-0.22514619883040934"/>
    <n v="-0.14629629629629629"/>
  </r>
  <r>
    <d v="2024-04-11T00:00:00"/>
    <x v="1"/>
    <s v="R"/>
    <s v="FY25"/>
    <n v="637"/>
    <n v="518"/>
    <n v="0.16666666666666666"/>
    <n v="0.16404494382022472"/>
    <n v="5130"/>
    <n v="4296"/>
    <n v="0.53"/>
    <n v="0.18"/>
    <n v="0.82"/>
    <n v="0.69"/>
    <n v="1"/>
    <n v="133"/>
    <n v="4"/>
    <s v="Normal"/>
    <s v="Normal"/>
    <n v="0.16666666666666666"/>
    <n v="0.16404494382022472"/>
  </r>
  <r>
    <d v="2024-04-12T00:00:00"/>
    <x v="1"/>
    <s v="F"/>
    <s v="FY25"/>
    <n v="504"/>
    <n v="437"/>
    <n v="-0.1265164644714038"/>
    <n v="-9.7107438016528921E-2"/>
    <n v="5634"/>
    <n v="4733"/>
    <n v="0.63"/>
    <n v="0.13"/>
    <n v="0.87"/>
    <n v="0.6"/>
    <n v="0.99"/>
    <n v="137"/>
    <n v="4"/>
    <s v="Normal"/>
    <s v="Normal"/>
    <n v="-0.1265164644714038"/>
    <n v="-9.7107438016528921E-2"/>
  </r>
  <r>
    <d v="2024-04-13T00:00:00"/>
    <x v="1"/>
    <s v="S"/>
    <s v="FY25"/>
    <n v="483"/>
    <n v="359"/>
    <n v="0.36440677966101692"/>
    <n v="0.15806451612903225"/>
    <n v="6117"/>
    <n v="5092"/>
    <n v="0.45"/>
    <n v="0.26"/>
    <n v="0.74"/>
    <n v="0.5"/>
    <n v="1"/>
    <n v="109"/>
    <n v="4"/>
    <s v="Normal"/>
    <s v="Normal"/>
    <n v="0.36440677966101692"/>
    <n v="0.15806451612903225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15T00:00:00"/>
    <x v="2"/>
    <s v="M"/>
    <s v="FY25"/>
    <n v="529"/>
    <n v="484"/>
    <n v="-0.19359756097560976"/>
    <n v="-0.12318840579710146"/>
    <n v="6646"/>
    <n v="5576"/>
    <n v="0.85"/>
    <n v="0.09"/>
    <n v="0.91"/>
    <n v="0.55000000000000004"/>
    <n v="1"/>
    <n v="146"/>
    <n v="5"/>
    <s v="Normal"/>
    <s v="Normal"/>
    <n v="-0.19359756097560976"/>
    <n v="-0.12318840579710146"/>
  </r>
  <r>
    <d v="2024-04-16T00:00:00"/>
    <x v="2"/>
    <s v="T"/>
    <s v="FY25"/>
    <n v="530"/>
    <n v="474"/>
    <n v="-9.556313993174062E-2"/>
    <n v="-1.8633540372670808E-2"/>
    <n v="7176"/>
    <n v="6050"/>
    <n v="0.79"/>
    <n v="0.11"/>
    <n v="0.89"/>
    <n v="0.6"/>
    <n v="1"/>
    <n v="130"/>
    <n v="4"/>
    <s v="Normal"/>
    <s v="Normal"/>
    <n v="-9.556313993174062E-2"/>
    <n v="-1.8633540372670808E-2"/>
  </r>
  <r>
    <d v="2024-04-17T00:00:00"/>
    <x v="2"/>
    <s v="W"/>
    <s v="FY25"/>
    <n v="474"/>
    <n v="422"/>
    <n v="-0.10566037735849057"/>
    <n v="-8.4598698481561818E-2"/>
    <n v="7650"/>
    <n v="6472"/>
    <n v="0.85"/>
    <n v="0.11"/>
    <n v="0.89"/>
    <n v="0.56999999999999995"/>
    <n v="1"/>
    <n v="101"/>
    <n v="4"/>
    <s v="Normal"/>
    <s v="Normal"/>
    <n v="-0.10566037735849057"/>
    <n v="-8.4598698481561818E-2"/>
  </r>
  <r>
    <d v="2024-04-18T00:00:00"/>
    <x v="2"/>
    <s v="R"/>
    <s v="FY25"/>
    <n v="549"/>
    <n v="443"/>
    <n v="-0.13814756671899528"/>
    <n v="-0.14478764478764478"/>
    <n v="8199"/>
    <n v="6915"/>
    <n v="0.88"/>
    <n v="0.19"/>
    <n v="0.81"/>
    <n v="0.65"/>
    <n v="1"/>
    <n v="140"/>
    <n v="4"/>
    <s v="Normal"/>
    <s v="Normal"/>
    <n v="-0.13814756671899528"/>
    <n v="-0.14478764478764478"/>
  </r>
  <r>
    <d v="2024-04-19T00:00:00"/>
    <x v="2"/>
    <s v="F"/>
    <s v="FY25"/>
    <n v="485"/>
    <n v="435"/>
    <n v="-3.7698412698412696E-2"/>
    <n v="-4.5766590389016018E-3"/>
    <n v="8684"/>
    <n v="7350"/>
    <n v="0.89"/>
    <n v="0.1"/>
    <n v="0.9"/>
    <n v="0.59"/>
    <n v="0.99"/>
    <n v="113"/>
    <n v="4"/>
    <s v="Normal"/>
    <s v="Normal"/>
    <n v="-3.7698412698412696E-2"/>
    <n v="-4.5766590389016018E-3"/>
  </r>
  <r>
    <d v="2024-04-20T00:00:00"/>
    <x v="2"/>
    <s v="S"/>
    <s v="FY25"/>
    <n v="336"/>
    <n v="304"/>
    <n v="-0.30434782608695654"/>
    <n v="-0.15320334261838439"/>
    <n v="9020"/>
    <n v="7654"/>
    <n v="0.81"/>
    <n v="0.1"/>
    <n v="0.9"/>
    <n v="0.45"/>
    <n v="1"/>
    <n v="232"/>
    <n v="4"/>
    <s v="Normal"/>
    <s v="Normal"/>
    <n v="-0.30434782608695654"/>
    <n v="-0.15320334261838439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2T00:00:00"/>
    <x v="3"/>
    <s v="M"/>
    <s v="FY25"/>
    <n v="597"/>
    <n v="540"/>
    <n v="0.12854442344045369"/>
    <n v="0.11570247933884298"/>
    <n v="9617"/>
    <n v="8194"/>
    <n v="0.79"/>
    <n v="0.1"/>
    <n v="0.9"/>
    <n v="0.65"/>
    <n v="1"/>
    <n v="91"/>
    <n v="5"/>
    <s v="Normal"/>
    <s v="Normal"/>
    <n v="0.12854442344045369"/>
    <n v="0.11570247933884298"/>
  </r>
  <r>
    <d v="2024-04-23T00:00:00"/>
    <x v="3"/>
    <s v="T"/>
    <s v="FY25"/>
    <n v="457"/>
    <n v="415"/>
    <n v="-0.13773584905660377"/>
    <n v="-0.12447257383966245"/>
    <n v="10074"/>
    <n v="8609"/>
    <n v="0.92"/>
    <n v="0.09"/>
    <n v="0.91"/>
    <n v="0.65"/>
    <n v="0.99"/>
    <n v="120"/>
    <n v="4"/>
    <s v="Normal"/>
    <s v="Normal"/>
    <n v="-0.13773584905660377"/>
    <n v="-0.12447257383966245"/>
  </r>
  <r>
    <d v="2024-04-24T00:00:00"/>
    <x v="3"/>
    <s v="W"/>
    <s v="FY25"/>
    <n v="615"/>
    <n v="519"/>
    <n v="0.29746835443037972"/>
    <n v="0.22985781990521326"/>
    <n v="10689"/>
    <n v="9128"/>
    <n v="0.76"/>
    <n v="0.16"/>
    <n v="0.84"/>
    <n v="0.67"/>
    <n v="1"/>
    <n v="114"/>
    <n v="4"/>
    <s v="Normal"/>
    <s v="Normal"/>
    <n v="0.29746835443037972"/>
    <n v="0.22985781990521326"/>
  </r>
  <r>
    <d v="2024-04-25T00:00:00"/>
    <x v="3"/>
    <s v="R"/>
    <s v="FY25"/>
    <n v="534"/>
    <n v="480"/>
    <n v="-2.7322404371584699E-2"/>
    <n v="8.35214446952596E-2"/>
    <n v="11223"/>
    <n v="9608"/>
    <n v="0.76"/>
    <n v="0.1"/>
    <n v="0.9"/>
    <n v="0.66"/>
    <n v="1"/>
    <n v="122"/>
    <n v="4"/>
    <s v="Normal"/>
    <s v="Normal"/>
    <n v="-2.7322404371584699E-2"/>
    <n v="8.35214446952596E-2"/>
  </r>
  <r>
    <d v="2024-04-26T00:00:00"/>
    <x v="3"/>
    <s v="F"/>
    <s v="FY25"/>
    <n v="517"/>
    <n v="424"/>
    <n v="6.5979381443298971E-2"/>
    <n v="-2.528735632183908E-2"/>
    <n v="11740"/>
    <n v="10032"/>
    <n v="0.54"/>
    <n v="0.18"/>
    <n v="0.82"/>
    <n v="0.65"/>
    <n v="1"/>
    <n v="105"/>
    <n v="4"/>
    <s v="Normal"/>
    <s v="Normal"/>
    <n v="6.5979381443298971E-2"/>
    <n v="-2.528735632183908E-2"/>
  </r>
  <r>
    <d v="2024-04-27T00:00:00"/>
    <x v="3"/>
    <s v="S"/>
    <s v="FY25"/>
    <n v="396"/>
    <n v="380"/>
    <n v="0.17857142857142858"/>
    <n v="0.25"/>
    <n v="12136"/>
    <n v="10412"/>
    <n v="0.88"/>
    <n v="0.04"/>
    <n v="0.96"/>
    <n v="0.62"/>
    <n v="1"/>
    <n v="93"/>
    <n v="4"/>
    <s v="Normal"/>
    <s v="Normal"/>
    <n v="0.17857142857142858"/>
    <n v="0.25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9T00:00:00"/>
    <x v="4"/>
    <s v="M"/>
    <s v="FY25"/>
    <n v="706"/>
    <n v="571"/>
    <n v="0.18257956448911222"/>
    <n v="5.7407407407407407E-2"/>
    <n v="12842"/>
    <n v="10983"/>
    <n v="0.54"/>
    <n v="0.19"/>
    <n v="0.81"/>
    <n v="0.79"/>
    <n v="0.99"/>
    <n v="89"/>
    <n v="4"/>
    <s v="Normal"/>
    <s v="Normal"/>
    <n v="0.18257956448911222"/>
    <n v="5.7407407407407407E-2"/>
  </r>
  <r>
    <d v="2024-04-30T00:00:00"/>
    <x v="4"/>
    <s v="T"/>
    <s v="FY25"/>
    <n v="802"/>
    <n v="629"/>
    <n v="0.75492341356673964"/>
    <n v="0.51566265060240968"/>
    <n v="13644"/>
    <n v="11612"/>
    <n v="0.26"/>
    <n v="0.22"/>
    <n v="0.78"/>
    <n v="0.77"/>
    <n v="1"/>
    <n v="98"/>
    <n v="4"/>
    <s v="Outlier"/>
    <s v="Outlier"/>
    <n v="0.75492341356673964"/>
    <n v="0.51566265060240968"/>
  </r>
  <r>
    <d v="2024-05-01T00:00:00"/>
    <x v="4"/>
    <s v="W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2T00:00:00"/>
    <x v="4"/>
    <s v="R"/>
    <s v="FY25"/>
    <n v="689"/>
    <n v="503"/>
    <n v="0.29026217228464418"/>
    <n v="4.791666666666667E-2"/>
    <n v="14333"/>
    <n v="12115"/>
    <n v="0.25"/>
    <n v="0.27"/>
    <n v="0.73"/>
    <n v="0.66"/>
    <n v="0.96"/>
    <n v="219"/>
    <n v="4"/>
    <s v="Normal"/>
    <s v="Normal"/>
    <n v="0.29026217228464418"/>
    <n v="4.791666666666667E-2"/>
  </r>
  <r>
    <d v="2024-05-03T00:00:00"/>
    <x v="4"/>
    <s v="F"/>
    <s v="FY25"/>
    <n v="554"/>
    <n v="381"/>
    <n v="7.1566731141199227E-2"/>
    <n v="-0.10141509433962265"/>
    <n v="14887"/>
    <n v="12496"/>
    <n v="0.52"/>
    <n v="0.28999999999999998"/>
    <n v="0.71"/>
    <n v="0.48"/>
    <n v="0.99"/>
    <n v="93"/>
    <n v="3"/>
    <s v="Normal"/>
    <s v="Normal"/>
    <n v="7.1566731141199227E-2"/>
    <n v="-0.10141509433962265"/>
  </r>
  <r>
    <d v="2024-05-04T00:00:00"/>
    <x v="4"/>
    <s v="S"/>
    <s v="FY25"/>
    <n v="497"/>
    <n v="408"/>
    <n v="0.25505050505050503"/>
    <n v="7.3684210526315783E-2"/>
    <n v="15384"/>
    <n v="12904"/>
    <n v="0.49"/>
    <n v="0.18"/>
    <n v="0.82"/>
    <n v="0.49"/>
    <n v="0.99"/>
    <n v="99"/>
    <n v="4"/>
    <s v="Normal"/>
    <s v="Normal"/>
    <n v="0.25505050505050503"/>
    <n v="7.3684210526315783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6T00:00:00"/>
    <x v="5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7T00:00:00"/>
    <x v="5"/>
    <s v="T"/>
    <s v="FY25"/>
    <n v="850"/>
    <n v="545"/>
    <n v="5.9850374064837904E-2"/>
    <n v="-0.13354531001589826"/>
    <n v="16234"/>
    <n v="13449"/>
    <n v="0.4"/>
    <n v="0.36"/>
    <n v="0.64"/>
    <n v="0.79"/>
    <n v="0.99"/>
    <n v="190"/>
    <n v="4"/>
    <s v="Normal"/>
    <s v="Normal"/>
    <n v="5.9850374064837904E-2"/>
    <n v="-0.13354531001589826"/>
  </r>
  <r>
    <d v="2024-05-08T00:00:00"/>
    <x v="5"/>
    <s v="W"/>
    <s v="FY25"/>
    <n v="707"/>
    <n v="535"/>
    <n v="0"/>
    <n v="0"/>
    <n v="16941"/>
    <n v="13984"/>
    <n v="0.77"/>
    <n v="0.24"/>
    <n v="0.76"/>
    <n v="0.68"/>
    <n v="0.99"/>
    <n v="117"/>
    <n v="4"/>
    <s v="Normal"/>
    <s v="Normal"/>
    <n v="0"/>
    <n v="0"/>
  </r>
  <r>
    <d v="2024-05-09T00:00:00"/>
    <x v="5"/>
    <s v="R"/>
    <s v="FY25"/>
    <n v="777"/>
    <n v="558"/>
    <n v="0.12772133526850507"/>
    <n v="0.10934393638170974"/>
    <n v="17718"/>
    <n v="14542"/>
    <n v="0.3"/>
    <n v="0.28000000000000003"/>
    <n v="0.72"/>
    <n v="0.68"/>
    <n v="1"/>
    <n v="633"/>
    <n v="4"/>
    <s v="Normal"/>
    <s v="Normal"/>
    <n v="0.12772133526850507"/>
    <n v="0.10934393638170974"/>
  </r>
  <r>
    <d v="2024-05-10T00:00:00"/>
    <x v="5"/>
    <s v="F"/>
    <s v="FY25"/>
    <n v="683"/>
    <n v="553"/>
    <n v="0.23285198555956679"/>
    <n v="0.45144356955380577"/>
    <n v="18401"/>
    <n v="15095"/>
    <n v="0.48"/>
    <n v="0.19"/>
    <n v="0.81"/>
    <n v="0.77"/>
    <n v="1"/>
    <n v="110"/>
    <n v="4"/>
    <s v="Normal"/>
    <s v="Outlier"/>
    <n v="0.23285198555956679"/>
    <n v="0.45144356955380577"/>
  </r>
  <r>
    <d v="2024-05-11T00:00:00"/>
    <x v="5"/>
    <s v="S"/>
    <s v="FY25"/>
    <n v="573"/>
    <n v="468"/>
    <n v="0.15291750503018109"/>
    <n v="0.14705882352941177"/>
    <n v="18974"/>
    <n v="15563"/>
    <n v="0.72"/>
    <n v="0.18"/>
    <n v="0.82"/>
    <n v="0.69"/>
    <n v="1"/>
    <n v="110"/>
    <n v="4"/>
    <s v="Normal"/>
    <s v="Normal"/>
    <n v="0.15291750503018109"/>
    <n v="0.14705882352941177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13T00:00:00"/>
    <x v="6"/>
    <s v="M"/>
    <s v="FY25"/>
    <n v="837"/>
    <n v="632"/>
    <n v="0"/>
    <n v="0"/>
    <n v="0"/>
    <n v="0"/>
    <n v="0.39"/>
    <n v="0.24"/>
    <n v="0.76"/>
    <n v="0.84"/>
    <n v="1"/>
    <n v="152"/>
    <n v="4"/>
    <s v="Normal"/>
    <s v="Normal"/>
    <n v="0"/>
    <n v="0"/>
  </r>
  <r>
    <d v="2024-05-14T00:00:00"/>
    <x v="6"/>
    <s v="T"/>
    <s v="FY25"/>
    <n v="685"/>
    <n v="550"/>
    <n v="-0.19411764705882353"/>
    <n v="9.1743119266055051E-3"/>
    <n v="19659"/>
    <n v="16113"/>
    <n v="0.3"/>
    <n v="0.2"/>
    <n v="0.8"/>
    <n v="0.71"/>
    <n v="1"/>
    <n v="107"/>
    <n v="4"/>
    <s v="Normal"/>
    <s v="Normal"/>
    <n v="-0.19411764705882353"/>
    <n v="9.1743119266055051E-3"/>
  </r>
  <r>
    <d v="2024-05-15T00:00:00"/>
    <x v="6"/>
    <s v="W"/>
    <s v="FY25"/>
    <n v="720"/>
    <n v="560"/>
    <n v="1.8387553041018388E-2"/>
    <n v="4.6728971962616821E-2"/>
    <n v="20379"/>
    <n v="16673"/>
    <n v="0.69"/>
    <n v="0.22"/>
    <n v="0.78"/>
    <n v="0.73"/>
    <n v="1"/>
    <n v="131"/>
    <n v="4"/>
    <s v="Normal"/>
    <s v="Normal"/>
    <n v="1.8387553041018388E-2"/>
    <n v="4.6728971962616821E-2"/>
  </r>
  <r>
    <d v="2024-05-16T00:00:00"/>
    <x v="6"/>
    <s v="R"/>
    <s v="FY25"/>
    <n v="903"/>
    <n v="540"/>
    <n v="0.16216216216216217"/>
    <n v="-3.2258064516129031E-2"/>
    <n v="20562"/>
    <n v="16653"/>
    <n v="7.0000000000000007E-2"/>
    <n v="0.4"/>
    <n v="0.6"/>
    <n v="0.79"/>
    <n v="0.98"/>
    <n v="55"/>
    <n v="3"/>
    <s v="Normal"/>
    <s v="Normal"/>
    <n v="0.16216216216216217"/>
    <n v="-3.2258064516129031E-2"/>
  </r>
  <r>
    <d v="2024-05-17T00:00:00"/>
    <x v="6"/>
    <s v="F"/>
    <s v="FY25"/>
    <n v="599"/>
    <n v="497"/>
    <n v="-0.12298682284040996"/>
    <n v="-0.10126582278481013"/>
    <n v="21161"/>
    <n v="17150"/>
    <n v="0.66"/>
    <n v="0.17"/>
    <n v="0.83"/>
    <n v="0.61"/>
    <n v="0.99"/>
    <n v="150"/>
    <n v="4"/>
    <s v="Normal"/>
    <s v="Normal"/>
    <n v="-0.12298682284040996"/>
    <n v="-0.10126582278481013"/>
  </r>
  <r>
    <d v="2024-05-18T00:00:00"/>
    <x v="6"/>
    <s v="S"/>
    <s v="FY25"/>
    <n v="484"/>
    <n v="397"/>
    <n v="-0.15532286212914484"/>
    <n v="-0.1517094017094017"/>
    <n v="21645"/>
    <n v="17547"/>
    <n v="0.42"/>
    <n v="0.18"/>
    <n v="0.82"/>
    <n v="0.6"/>
    <n v="0.99"/>
    <n v="76"/>
    <n v="4"/>
    <s v="Normal"/>
    <s v="Normal"/>
    <n v="-0.15532286212914484"/>
    <n v="-0.1517094017094017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0T00:00:00"/>
    <x v="7"/>
    <s v="M"/>
    <s v="FY25"/>
    <n v="779"/>
    <n v="540"/>
    <n v="-6.9295101553166066E-2"/>
    <n v="-0.14556962025316456"/>
    <n v="22424"/>
    <n v="18087"/>
    <n v="0.28000000000000003"/>
    <n v="0.31"/>
    <n v="0.69"/>
    <n v="0.75"/>
    <n v="1"/>
    <n v="121"/>
    <n v="3"/>
    <s v="Normal"/>
    <s v="Normal"/>
    <n v="-6.9295101553166066E-2"/>
    <n v="-0.14556962025316456"/>
  </r>
  <r>
    <d v="2024-05-21T00:00:00"/>
    <x v="7"/>
    <s v="T"/>
    <s v="FY25"/>
    <n v="708"/>
    <n v="525"/>
    <n v="3.3576642335766425E-2"/>
    <n v="-4.5454545454545456E-2"/>
    <n v="23132"/>
    <n v="18612"/>
    <n v="0.18"/>
    <n v="0.26"/>
    <n v="0.74"/>
    <n v="0.69"/>
    <n v="0.99"/>
    <n v="105"/>
    <n v="4"/>
    <s v="Normal"/>
    <s v="Normal"/>
    <n v="3.3576642335766425E-2"/>
    <n v="-4.5454545454545456E-2"/>
  </r>
  <r>
    <d v="2024-05-22T00:00:00"/>
    <x v="7"/>
    <s v="W"/>
    <s v="FY25"/>
    <n v="656"/>
    <n v="422"/>
    <n v="-8.8888888888888892E-2"/>
    <n v="-0.24642857142857144"/>
    <n v="23788"/>
    <n v="19034"/>
    <n v="0.38"/>
    <n v="0.36"/>
    <n v="0.64"/>
    <n v="0.73"/>
    <n v="1"/>
    <n v="101"/>
    <n v="3"/>
    <s v="Normal"/>
    <s v="Normal"/>
    <n v="-8.8888888888888892E-2"/>
    <n v="-0.24642857142857144"/>
  </r>
  <r>
    <d v="2024-05-23T00:00:00"/>
    <x v="7"/>
    <s v="R"/>
    <s v="FY25"/>
    <n v="704"/>
    <n v="394"/>
    <n v="-0.22037652270210409"/>
    <n v="-0.27037037037037037"/>
    <n v="24492"/>
    <n v="19428"/>
    <n v="0.24"/>
    <n v="0.44"/>
    <n v="0.56000000000000005"/>
    <n v="0.75"/>
    <n v="0.99"/>
    <n v="101"/>
    <n v="3"/>
    <s v="Normal"/>
    <s v="Normal"/>
    <n v="-0.22037652270210409"/>
    <n v="-0.27037037037037037"/>
  </r>
  <r>
    <d v="2024-05-24T00:00:00"/>
    <x v="7"/>
    <s v="F"/>
    <s v="FY25"/>
    <n v="594"/>
    <n v="426"/>
    <n v="-8.3472454090150246E-3"/>
    <n v="-0.14285714285714285"/>
    <n v="25086"/>
    <n v="19854"/>
    <n v="0.31"/>
    <n v="0.28000000000000003"/>
    <n v="0.72"/>
    <n v="0.68"/>
    <n v="1"/>
    <n v="102"/>
    <n v="3"/>
    <s v="Normal"/>
    <s v="Normal"/>
    <n v="-8.3472454090150246E-3"/>
    <n v="-0.14285714285714285"/>
  </r>
  <r>
    <d v="2024-05-25T00:00:00"/>
    <x v="7"/>
    <s v="S"/>
    <s v="FY25"/>
    <n v="426"/>
    <n v="334"/>
    <n v="-0.11983471074380166"/>
    <n v="-0.15869017632241814"/>
    <n v="25512"/>
    <n v="20188"/>
    <n v="0.59"/>
    <n v="0.22"/>
    <n v="0.78"/>
    <n v="0.23"/>
    <n v="1"/>
    <n v="152"/>
    <n v="3"/>
    <s v="Normal"/>
    <s v="Normal"/>
    <n v="-0.11983471074380166"/>
    <n v="-0.15869017632241814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7T00:00:00"/>
    <x v="8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8T00:00:00"/>
    <x v="8"/>
    <s v="T"/>
    <s v="FY25"/>
    <n v="929"/>
    <n v="649"/>
    <n v="0.31214689265536721"/>
    <n v="0.2361904761904762"/>
    <n v="26441"/>
    <n v="20837"/>
    <n v="0.34"/>
    <n v="0.3"/>
    <n v="0.7"/>
    <n v="0.71"/>
    <n v="1"/>
    <n v="83"/>
    <n v="4"/>
    <s v="Normal"/>
    <s v="Normal"/>
    <n v="0.31214689265536721"/>
    <n v="0.2361904761904762"/>
  </r>
  <r>
    <d v="2024-05-29T00:00:00"/>
    <x v="8"/>
    <s v="W"/>
    <s v="FY25"/>
    <n v="863"/>
    <n v="513"/>
    <n v="0.31554878048780488"/>
    <n v="0.21563981042654029"/>
    <n v="27304"/>
    <n v="21350"/>
    <n v="0.19"/>
    <n v="0.41"/>
    <n v="0.59"/>
    <n v="0.76"/>
    <n v="0.99"/>
    <n v="86"/>
    <n v="3"/>
    <s v="Normal"/>
    <s v="Normal"/>
    <n v="0.31554878048780488"/>
    <n v="0.21563981042654029"/>
  </r>
  <r>
    <d v="2024-05-30T00:00:00"/>
    <x v="8"/>
    <s v="R"/>
    <s v="FY25"/>
    <n v="600"/>
    <n v="382"/>
    <n v="-0.14772727272727273"/>
    <n v="-3.0456852791878174E-2"/>
    <n v="27904"/>
    <n v="21732"/>
    <n v="0.11"/>
    <n v="0.36"/>
    <n v="0.64"/>
    <n v="0.74"/>
    <n v="1"/>
    <n v="135"/>
    <n v="3"/>
    <s v="Normal"/>
    <s v="Normal"/>
    <n v="-0.14772727272727273"/>
    <n v="-3.0456852791878174E-2"/>
  </r>
  <r>
    <d v="2024-05-31T00:00:00"/>
    <x v="8"/>
    <s v="F"/>
    <s v="FY25"/>
    <n v="660"/>
    <n v="446"/>
    <n v="0.1111111111111111"/>
    <n v="4.6948356807511735E-2"/>
    <n v="28564"/>
    <n v="22178"/>
    <n v="0.74"/>
    <n v="0.32"/>
    <n v="0.68"/>
    <n v="0.77"/>
    <n v="1"/>
    <n v="142"/>
    <n v="3"/>
    <s v="Normal"/>
    <s v="Normal"/>
    <n v="0.1111111111111111"/>
    <n v="4.6948356807511735E-2"/>
  </r>
  <r>
    <d v="2024-06-01T00:00:00"/>
    <x v="8"/>
    <s v="S"/>
    <s v="FY25"/>
    <n v="335"/>
    <n v="247"/>
    <n v="-0.21361502347417841"/>
    <n v="-0.26047904191616766"/>
    <n v="28899"/>
    <n v="22425"/>
    <n v="0.56000000000000005"/>
    <n v="0.26"/>
    <n v="0.74"/>
    <n v="0.5"/>
    <n v="0.99"/>
    <n v="82"/>
    <n v="3"/>
    <s v="Normal"/>
    <s v="Normal"/>
    <n v="-0.21361502347417841"/>
    <n v="-0.26047904191616766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03T00:00:00"/>
    <x v="9"/>
    <s v="M"/>
    <s v="FY25"/>
    <n v="719"/>
    <n v="548"/>
    <n v="0"/>
    <n v="0"/>
    <n v="29618"/>
    <n v="22973"/>
    <n v="0.43"/>
    <n v="0.24"/>
    <n v="0.76"/>
    <n v="0.73"/>
    <n v="0.99"/>
    <n v="155"/>
    <n v="3"/>
    <s v="Normal"/>
    <s v="Normal"/>
    <n v="0"/>
    <n v="0"/>
  </r>
  <r>
    <d v="2024-06-04T00:00:00"/>
    <x v="9"/>
    <s v="T"/>
    <s v="FY25"/>
    <n v="705"/>
    <n v="510"/>
    <n v="-0.2411194833153929"/>
    <n v="-0.21417565485362094"/>
    <n v="30323"/>
    <n v="23483"/>
    <n v="0.56999999999999995"/>
    <n v="0.28000000000000003"/>
    <n v="0.72"/>
    <n v="0.67"/>
    <n v="0.99"/>
    <n v="154"/>
    <n v="4"/>
    <s v="Normal"/>
    <s v="Normal"/>
    <n v="-0.2411194833153929"/>
    <n v="-0.21417565485362094"/>
  </r>
  <r>
    <d v="2024-06-05T00:00:00"/>
    <x v="9"/>
    <s v="W"/>
    <s v="FY25"/>
    <n v="698"/>
    <n v="547"/>
    <n v="-0.19119351100811124"/>
    <n v="6.6276803118908378E-2"/>
    <n v="31021"/>
    <n v="24030"/>
    <n v="0.64"/>
    <n v="0.22"/>
    <n v="0.78"/>
    <n v="0.59"/>
    <n v="0.99"/>
    <n v="110"/>
    <n v="4"/>
    <s v="Normal"/>
    <s v="Normal"/>
    <n v="-0.19119351100811124"/>
    <n v="6.6276803118908378E-2"/>
  </r>
  <r>
    <d v="2024-06-06T00:00:00"/>
    <x v="9"/>
    <s v="R"/>
    <s v="FY25"/>
    <n v="707"/>
    <n v="551"/>
    <n v="0.17833333333333334"/>
    <n v="0.44240837696335078"/>
    <n v="31728"/>
    <n v="24581"/>
    <n v="0.42"/>
    <n v="0.22"/>
    <n v="0.78"/>
    <n v="0.31"/>
    <n v="0.99"/>
    <n v="80"/>
    <n v="4"/>
    <s v="Normal"/>
    <s v="Outlier"/>
    <n v="0.17833333333333334"/>
    <n v="0.44240837696335078"/>
  </r>
  <r>
    <d v="2024-06-07T00:00:00"/>
    <x v="9"/>
    <s v="F"/>
    <s v="FY25"/>
    <n v="574"/>
    <n v="455"/>
    <n v="-0.13030303030303031"/>
    <n v="2.0179372197309416E-2"/>
    <n v="30897"/>
    <n v="23938"/>
    <n v="0.69"/>
    <n v="0.21"/>
    <n v="0.79"/>
    <n v="0.6"/>
    <n v="1"/>
    <n v="111"/>
    <n v="4"/>
    <s v="Normal"/>
    <s v="Normal"/>
    <n v="-0.13030303030303031"/>
    <n v="2.0179372197309416E-2"/>
  </r>
  <r>
    <d v="2024-06-08T00:00:00"/>
    <x v="9"/>
    <s v="S"/>
    <s v="FY25"/>
    <n v="392"/>
    <n v="354"/>
    <n v="0.17014925373134329"/>
    <n v="0.4331983805668016"/>
    <n v="31289"/>
    <n v="24292"/>
    <n v="0.95"/>
    <n v="0.1"/>
    <n v="0.9"/>
    <n v="0.5"/>
    <n v="1"/>
    <n v="115"/>
    <n v="4"/>
    <s v="Normal"/>
    <s v="Outlier"/>
    <n v="0.17014925373134329"/>
    <n v="0.4331983805668016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0T00:00:00"/>
    <x v="10"/>
    <s v="M"/>
    <s v="FY25"/>
    <n v="554"/>
    <n v="500"/>
    <n v="-0.22948539638386647"/>
    <n v="-8.7591240875912413E-2"/>
    <n v="31843"/>
    <n v="24792"/>
    <n v="0.67"/>
    <n v="0.1"/>
    <n v="0.9"/>
    <n v="0.6"/>
    <n v="0.99"/>
    <n v="97"/>
    <n v="5"/>
    <s v="Normal"/>
    <s v="Normal"/>
    <n v="-0.22948539638386647"/>
    <n v="-8.7591240875912413E-2"/>
  </r>
  <r>
    <d v="2024-06-11T00:00:00"/>
    <x v="10"/>
    <s v="T"/>
    <s v="FY25"/>
    <n v="530"/>
    <n v="442"/>
    <n v="-0.24822695035460993"/>
    <n v="-0.13333333333333333"/>
    <n v="32373"/>
    <n v="25234"/>
    <n v="0.34"/>
    <n v="0.17"/>
    <n v="0.83"/>
    <n v="0.68"/>
    <n v="0.99"/>
    <n v="132"/>
    <n v="4"/>
    <s v="Normal"/>
    <s v="Normal"/>
    <n v="-0.24822695035460993"/>
    <n v="-0.13333333333333333"/>
  </r>
  <r>
    <d v="2024-06-12T00:00:00"/>
    <x v="10"/>
    <s v="W"/>
    <s v="FY25"/>
    <n v="538"/>
    <n v="497"/>
    <n v="-0.22922636103151864"/>
    <n v="-9.1407678244972576E-2"/>
    <n v="32911"/>
    <n v="25731"/>
    <n v="0.97"/>
    <n v="0.08"/>
    <n v="0.94"/>
    <n v="0.57999999999999996"/>
    <n v="0.99"/>
    <n v="83"/>
    <n v="4"/>
    <s v="Normal"/>
    <s v="Normal"/>
    <n v="-0.22922636103151864"/>
    <n v="-9.1407678244972576E-2"/>
  </r>
  <r>
    <d v="2024-06-13T00:00:00"/>
    <x v="10"/>
    <s v="R"/>
    <s v="FY25"/>
    <n v="529"/>
    <n v="443"/>
    <n v="-0.25176803394625175"/>
    <n v="-0.19600725952813067"/>
    <n v="33440"/>
    <n v="26174"/>
    <n v="0.62"/>
    <n v="0.16"/>
    <n v="0.84"/>
    <n v="0.65"/>
    <n v="1"/>
    <n v="103"/>
    <n v="4"/>
    <s v="Normal"/>
    <s v="Normal"/>
    <n v="-0.25176803394625175"/>
    <n v="-0.19600725952813067"/>
  </r>
  <r>
    <d v="2024-06-14T00:00:00"/>
    <x v="10"/>
    <s v="F"/>
    <s v="FY25"/>
    <n v="653"/>
    <n v="527"/>
    <n v="0.13763066202090593"/>
    <n v="0.15824175824175823"/>
    <n v="34093"/>
    <n v="26701"/>
    <n v="0.45"/>
    <n v="0.19"/>
    <n v="0.81"/>
    <n v="0.67"/>
    <n v="0.99"/>
    <n v="121"/>
    <n v="4"/>
    <s v="Normal"/>
    <s v="Normal"/>
    <n v="0.13763066202090593"/>
    <n v="0.15824175824175823"/>
  </r>
  <r>
    <d v="2024-06-15T00:00:00"/>
    <x v="10"/>
    <s v="S"/>
    <s v="FY25"/>
    <n v="478"/>
    <n v="418"/>
    <n v="0.21938775510204081"/>
    <n v="0.1807909604519774"/>
    <n v="34571"/>
    <n v="27119"/>
    <n v="0.73"/>
    <n v="0.13"/>
    <n v="0.87"/>
    <n v="0.56000000000000005"/>
    <n v="0.99"/>
    <n v="102"/>
    <n v="4"/>
    <s v="Normal"/>
    <s v="Normal"/>
    <n v="0.21938775510204081"/>
    <n v="0.1807909604519774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7T00:00:00"/>
    <x v="11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8T00:00:00"/>
    <x v="11"/>
    <s v="T"/>
    <s v="FY25"/>
    <n v="647"/>
    <n v="496"/>
    <n v="0.22075471698113208"/>
    <n v="0.12217194570135746"/>
    <n v="647"/>
    <n v="496"/>
    <n v="0.7"/>
    <n v="0.23"/>
    <n v="0.77"/>
    <n v="0.76"/>
    <n v="1"/>
    <n v="116"/>
    <n v="4"/>
    <s v="Normal"/>
    <s v="Normal"/>
    <n v="0.22075471698113208"/>
    <n v="0.12217194570135746"/>
  </r>
  <r>
    <d v="2024-06-19T00:00:00"/>
    <x v="11"/>
    <s v="W"/>
    <s v="FY25"/>
    <n v="666"/>
    <n v="520"/>
    <n v="0.23791821561338289"/>
    <n v="4.6277665995975853E-2"/>
    <n v="1313"/>
    <n v="1016"/>
    <n v="0.35"/>
    <n v="0.22"/>
    <n v="0.78"/>
    <n v="0.79"/>
    <n v="1"/>
    <n v="106"/>
    <n v="4"/>
    <s v="Normal"/>
    <s v="Normal"/>
    <n v="0.23791821561338289"/>
    <n v="4.6277665995975853E-2"/>
  </r>
  <r>
    <d v="2024-06-20T00:00:00"/>
    <x v="11"/>
    <s v="R"/>
    <s v="FY25"/>
    <n v="654"/>
    <n v="554"/>
    <n v="0.23629489603024575"/>
    <n v="0.25056433408577877"/>
    <n v="1967"/>
    <n v="1570"/>
    <n v="0.8"/>
    <n v="0.15"/>
    <n v="0.85"/>
    <n v="0.67"/>
    <n v="1"/>
    <n v="135"/>
    <n v="5"/>
    <s v="Normal"/>
    <s v="Normal"/>
    <n v="0.23629489603024575"/>
    <n v="0.25056433408577877"/>
  </r>
  <r>
    <d v="2024-06-21T00:00:00"/>
    <x v="11"/>
    <s v="F"/>
    <s v="FY25"/>
    <n v="581"/>
    <n v="544"/>
    <n v="-0.11026033690658499"/>
    <n v="3.2258064516129031E-2"/>
    <n v="2548"/>
    <n v="2114"/>
    <n v="0.94"/>
    <n v="0.06"/>
    <n v="0.94"/>
    <n v="0.67"/>
    <n v="1"/>
    <n v="82"/>
    <n v="5"/>
    <s v="Normal"/>
    <s v="Normal"/>
    <n v="-0.11026033690658499"/>
    <n v="3.2258064516129031E-2"/>
  </r>
  <r>
    <d v="2024-06-22T00:00:00"/>
    <x v="11"/>
    <s v="S"/>
    <s v="FY25"/>
    <n v="541"/>
    <n v="426"/>
    <n v="0.13179916317991633"/>
    <n v="1.9138755980861243E-2"/>
    <n v="3089"/>
    <n v="2540"/>
    <n v="0.45"/>
    <n v="0.21"/>
    <n v="0.79"/>
    <n v="0.71"/>
    <n v="1"/>
    <n v="85"/>
    <n v="3"/>
    <s v="Normal"/>
    <s v="Normal"/>
    <n v="0.13179916317991633"/>
    <n v="1.9138755980861243E-2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24T00:00:00"/>
    <x v="12"/>
    <s v="M"/>
    <s v="FY25"/>
    <n v="670"/>
    <n v="600"/>
    <n v="0"/>
    <n v="0"/>
    <n v="3759"/>
    <n v="3140"/>
    <n v="0.73"/>
    <n v="0.11"/>
    <n v="0.89"/>
    <n v="0.68"/>
    <n v="1"/>
    <n v="122"/>
    <n v="5"/>
    <s v="Normal"/>
    <s v="Normal"/>
    <n v="0"/>
    <n v="0"/>
  </r>
  <r>
    <d v="2024-06-25T00:00:00"/>
    <x v="12"/>
    <s v="T"/>
    <s v="FY25"/>
    <n v="656"/>
    <n v="532"/>
    <n v="1.3910355486862442E-2"/>
    <n v="7.2580645161290328E-2"/>
    <n v="4415"/>
    <n v="3672"/>
    <n v="0.81"/>
    <n v="0.19"/>
    <n v="0.81"/>
    <n v="0.67"/>
    <n v="0.99"/>
    <n v="74"/>
    <n v="4"/>
    <s v="Normal"/>
    <s v="Normal"/>
    <n v="1.3910355486862442E-2"/>
    <n v="7.2580645161290328E-2"/>
  </r>
  <r>
    <d v="2024-06-26T00:00:00"/>
    <x v="12"/>
    <s v="W"/>
    <s v="FY25"/>
    <n v="642"/>
    <n v="501"/>
    <n v="-3.6036036036036036E-2"/>
    <n v="-3.653846153846154E-2"/>
    <n v="5057"/>
    <n v="4173"/>
    <n v="0.62"/>
    <n v="0.22"/>
    <n v="0.78"/>
    <n v="0.62"/>
    <n v="0.98"/>
    <n v="101"/>
    <n v="5"/>
    <s v="Normal"/>
    <s v="Normal"/>
    <n v="-3.6036036036036036E-2"/>
    <n v="-3.653846153846154E-2"/>
  </r>
  <r>
    <d v="2024-06-27T00:00:00"/>
    <x v="12"/>
    <s v="R"/>
    <s v="FY25"/>
    <n v="544"/>
    <n v="467"/>
    <n v="-0.16819571865443425"/>
    <n v="-0.15703971119133575"/>
    <n v="5601"/>
    <n v="4640"/>
    <n v="0.83"/>
    <n v="0.14000000000000001"/>
    <n v="0.86"/>
    <n v="0.57999999999999996"/>
    <n v="0.96"/>
    <n v="113"/>
    <n v="4"/>
    <s v="Normal"/>
    <s v="Normal"/>
    <n v="-0.16819571865443425"/>
    <n v="-0.15703971119133575"/>
  </r>
  <r>
    <d v="2024-06-28T00:00:00"/>
    <x v="12"/>
    <s v="F"/>
    <s v="FY25"/>
    <n v="765"/>
    <n v="643"/>
    <n v="0.31669535283993117"/>
    <n v="0.18198529411764705"/>
    <n v="6366"/>
    <n v="5283"/>
    <n v="0.46"/>
    <n v="0.16"/>
    <n v="0.84"/>
    <n v="0.7"/>
    <n v="0.92"/>
    <n v="88"/>
    <n v="5"/>
    <s v="Normal"/>
    <s v="Normal"/>
    <n v="0.31669535283993117"/>
    <n v="0.18198529411764705"/>
  </r>
  <r>
    <d v="2024-06-29T00:00:00"/>
    <x v="12"/>
    <s v="S"/>
    <s v="FY25"/>
    <n v="490"/>
    <n v="393"/>
    <n v="-9.4269870609981515E-2"/>
    <n v="-7.746478873239436E-2"/>
    <n v="6856"/>
    <n v="5676"/>
    <n v="0.41"/>
    <n v="0.2"/>
    <n v="0.8"/>
    <n v="0.71"/>
    <n v="0.99"/>
    <n v="121"/>
    <n v="3"/>
    <s v="Normal"/>
    <s v="Normal"/>
    <n v="-9.4269870609981515E-2"/>
    <n v="-7.746478873239436E-2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1T00:00:00"/>
    <x v="13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2T00:00:00"/>
    <x v="13"/>
    <s v="T"/>
    <s v="FY25"/>
    <n v="788"/>
    <n v="556"/>
    <n v="0.20121951219512196"/>
    <n v="4.5112781954887216E-2"/>
    <n v="788"/>
    <n v="556"/>
    <n v="0.15"/>
    <n v="0.28999999999999998"/>
    <n v="0.71"/>
    <n v="0.73"/>
    <n v="1"/>
    <n v="88"/>
    <n v="4"/>
    <s v="Normal"/>
    <s v="Normal"/>
    <n v="0.20121951219512196"/>
    <n v="4.5112781954887216E-2"/>
  </r>
  <r>
    <d v="2024-07-03T00:00:00"/>
    <x v="13"/>
    <s v="W"/>
    <s v="FY25"/>
    <n v="721"/>
    <n v="570"/>
    <n v="0.12305295950155763"/>
    <n v="0.1377245508982036"/>
    <n v="1509"/>
    <n v="1126"/>
    <n v="0.54"/>
    <n v="0.21"/>
    <n v="0.79"/>
    <n v="0.62"/>
    <n v="0.99"/>
    <n v="97"/>
    <n v="4"/>
    <s v="Normal"/>
    <s v="Normal"/>
    <n v="0.12305295950155763"/>
    <n v="0.1377245508982036"/>
  </r>
  <r>
    <d v="2024-07-04T00:00:00"/>
    <x v="13"/>
    <s v="R"/>
    <s v="FY25"/>
    <n v="705"/>
    <n v="542"/>
    <n v="0.29595588235294118"/>
    <n v="0.16059957173447537"/>
    <n v="2214"/>
    <n v="1668"/>
    <n v="0.36"/>
    <n v="0.23"/>
    <n v="0.77"/>
    <n v="0.65"/>
    <n v="1"/>
    <n v="97"/>
    <n v="4"/>
    <s v="Normal"/>
    <s v="Normal"/>
    <n v="0.29595588235294118"/>
    <n v="0.16059957173447537"/>
  </r>
  <r>
    <d v="2024-07-05T00:00:00"/>
    <x v="13"/>
    <s v="F"/>
    <s v="FY25"/>
    <n v="558"/>
    <n v="466"/>
    <n v="-0.27058823529411763"/>
    <n v="-0.27527216174183516"/>
    <n v="2772"/>
    <n v="2134"/>
    <n v="0.56999999999999995"/>
    <n v="0.16"/>
    <n v="0.84"/>
    <n v="0.62"/>
    <n v="1"/>
    <n v="126"/>
    <n v="4"/>
    <s v="Normal"/>
    <s v="Normal"/>
    <n v="-0.27058823529411763"/>
    <n v="-0.27527216174183516"/>
  </r>
  <r>
    <d v="2024-07-06T00:00:00"/>
    <x v="13"/>
    <s v="S"/>
    <s v="FY25"/>
    <n v="387"/>
    <n v="333"/>
    <n v="-0.21020408163265306"/>
    <n v="-0.15267175572519084"/>
    <n v="3159"/>
    <n v="2467"/>
    <n v="0.59"/>
    <n v="0.14000000000000001"/>
    <n v="0.86"/>
    <n v="0.5"/>
    <n v="0.99"/>
    <n v="132"/>
    <n v="4"/>
    <s v="Normal"/>
    <s v="Normal"/>
    <n v="-0.21020408163265306"/>
    <n v="-0.15267175572519084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8T00:00:00"/>
    <x v="14"/>
    <s v="M"/>
    <s v="FY25"/>
    <n v="731"/>
    <n v="632"/>
    <n v="0"/>
    <n v="0"/>
    <n v="3890"/>
    <n v="3099"/>
    <n v="0.7"/>
    <n v="0.14000000000000001"/>
    <n v="0.86"/>
    <n v="0.64"/>
    <n v="1"/>
    <n v="127"/>
    <n v="5"/>
    <s v="Normal"/>
    <s v="Normal"/>
    <n v="0"/>
    <n v="0"/>
  </r>
  <r>
    <d v="2024-07-09T00:00:00"/>
    <x v="14"/>
    <s v="T"/>
    <s v="FY25"/>
    <n v="808"/>
    <n v="538"/>
    <n v="2.5380710659898477E-2"/>
    <n v="-3.237410071942446E-2"/>
    <n v="4698"/>
    <n v="3637"/>
    <n v="0.4"/>
    <n v="0.33"/>
    <n v="0.67"/>
    <n v="0.75"/>
    <n v="1"/>
    <n v="124"/>
    <n v="4"/>
    <s v="Normal"/>
    <s v="Normal"/>
    <n v="2.5380710659898477E-2"/>
    <n v="-3.237410071942446E-2"/>
  </r>
  <r>
    <d v="2024-07-10T00:00:00"/>
    <x v="14"/>
    <s v="W"/>
    <s v="FY25"/>
    <n v="523"/>
    <n v="437"/>
    <n v="-0.27461858529819694"/>
    <n v="-0.23333333333333334"/>
    <n v="5221"/>
    <n v="4074"/>
    <n v="0.68"/>
    <n v="0.16"/>
    <n v="0.84"/>
    <n v="0.55000000000000004"/>
    <n v="1"/>
    <n v="123"/>
    <n v="4"/>
    <s v="Normal"/>
    <s v="Normal"/>
    <n v="-0.27461858529819694"/>
    <n v="-0.23333333333333334"/>
  </r>
  <r>
    <d v="2024-07-11T00:00:00"/>
    <x v="14"/>
    <s v="R"/>
    <s v="FY25"/>
    <n v="526"/>
    <n v="472"/>
    <n v="-0.25390070921985813"/>
    <n v="-0.12915129151291513"/>
    <n v="5747"/>
    <n v="4546"/>
    <n v="0.64"/>
    <n v="0.1"/>
    <n v="0.9"/>
    <n v="0.64"/>
    <n v="1"/>
    <n v="119"/>
    <n v="4"/>
    <s v="Normal"/>
    <s v="Normal"/>
    <n v="-0.25390070921985813"/>
    <n v="-0.12915129151291513"/>
  </r>
  <r>
    <d v="2024-07-12T00:00:00"/>
    <x v="14"/>
    <s v="F"/>
    <s v="FY25"/>
    <n v="537"/>
    <n v="466"/>
    <n v="-3.7634408602150539E-2"/>
    <n v="0"/>
    <n v="6284"/>
    <n v="5012"/>
    <n v="0.84"/>
    <n v="0.13"/>
    <n v="0.87"/>
    <n v="0.5"/>
    <n v="1"/>
    <n v="91"/>
    <n v="4"/>
    <s v="Normal"/>
    <s v="Normal"/>
    <n v="-3.7634408602150539E-2"/>
    <n v="0"/>
  </r>
  <r>
    <d v="2024-07-13T00:00:00"/>
    <x v="14"/>
    <s v="S"/>
    <s v="FY25"/>
    <n v="434"/>
    <n v="359"/>
    <n v="0.12144702842377261"/>
    <n v="7.8078078078078081E-2"/>
    <n v="6718"/>
    <n v="5371"/>
    <n v="0.75"/>
    <n v="0.17"/>
    <n v="0.83"/>
    <n v="0.43"/>
    <n v="1"/>
    <n v="81"/>
    <n v="4"/>
    <s v="Normal"/>
    <s v="Normal"/>
    <n v="0.12144702842377261"/>
    <n v="7.8078078078078081E-2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15T00:00:00"/>
    <x v="15"/>
    <s v="M"/>
    <s v="FY25"/>
    <n v="639"/>
    <n v="575"/>
    <n v="-0.12585499316005472"/>
    <n v="-9.0189873417721514E-2"/>
    <n v="7357"/>
    <n v="5946"/>
    <n v="0.74"/>
    <n v="0.1"/>
    <n v="0.9"/>
    <n v="0.55000000000000004"/>
    <n v="1"/>
    <n v="117"/>
    <n v="5"/>
    <s v="Normal"/>
    <s v="Normal"/>
    <n v="-0.12585499316005472"/>
    <n v="-9.0189873417721514E-2"/>
  </r>
  <r>
    <d v="2024-07-16T00:00:00"/>
    <x v="15"/>
    <s v="T"/>
    <s v="FY25"/>
    <n v="621"/>
    <n v="527"/>
    <n v="-0.23143564356435645"/>
    <n v="-2.0446096654275093E-2"/>
    <n v="7978"/>
    <n v="6473"/>
    <n v="0.87"/>
    <n v="0.15"/>
    <n v="0.85"/>
    <n v="0.28000000000000003"/>
    <n v="0.99"/>
    <n v="83"/>
    <n v="4"/>
    <s v="Normal"/>
    <s v="Normal"/>
    <n v="-0.23143564356435645"/>
    <n v="-2.0446096654275093E-2"/>
  </r>
  <r>
    <d v="2024-07-17T00:00:00"/>
    <x v="15"/>
    <s v="W"/>
    <s v="FY25"/>
    <n v="618"/>
    <n v="518"/>
    <n v="0.18164435946462715"/>
    <n v="0.18535469107551489"/>
    <n v="8596"/>
    <n v="6991"/>
    <n v="0.76"/>
    <n v="0.16"/>
    <n v="0.84"/>
    <n v="0.63"/>
    <n v="0.99"/>
    <n v="97"/>
    <n v="4"/>
    <s v="Normal"/>
    <s v="Normal"/>
    <n v="0.18164435946462715"/>
    <n v="0.18535469107551489"/>
  </r>
  <r>
    <d v="2024-07-18T00:00:00"/>
    <x v="15"/>
    <s v="R"/>
    <s v="FY25"/>
    <n v="556"/>
    <n v="469"/>
    <n v="5.7034220532319393E-2"/>
    <n v="-6.3559322033898309E-3"/>
    <n v="9152"/>
    <n v="7460"/>
    <n v="0.59"/>
    <n v="0.16"/>
    <n v="0.84"/>
    <n v="0.55000000000000004"/>
    <n v="0.98"/>
    <n v="113"/>
    <n v="4"/>
    <s v="Normal"/>
    <s v="Normal"/>
    <n v="5.7034220532319393E-2"/>
    <n v="-6.3559322033898309E-3"/>
  </r>
  <r>
    <d v="2024-07-19T00:00:00"/>
    <x v="15"/>
    <s v="F"/>
    <s v="FY25"/>
    <n v="555"/>
    <n v="421"/>
    <n v="3.3519553072625698E-2"/>
    <n v="-9.6566523605150209E-2"/>
    <n v="9707"/>
    <n v="7881"/>
    <n v="0.66"/>
    <n v="0.24"/>
    <n v="0.76"/>
    <n v="0.56000000000000005"/>
    <n v="0.99"/>
    <n v="113"/>
    <n v="4"/>
    <s v="Normal"/>
    <s v="Normal"/>
    <n v="3.3519553072625698E-2"/>
    <n v="-9.6566523605150209E-2"/>
  </r>
  <r>
    <d v="2024-07-20T00:00:00"/>
    <x v="15"/>
    <s v="S"/>
    <s v="FY25"/>
    <n v="440"/>
    <n v="389"/>
    <n v="1.3824884792626729E-2"/>
    <n v="8.3565459610027856E-2"/>
    <n v="10147"/>
    <n v="8270"/>
    <n v="0.68"/>
    <n v="0.11"/>
    <n v="0.89"/>
    <n v="0.47"/>
    <n v="1"/>
    <n v="82"/>
    <n v="4"/>
    <s v="Normal"/>
    <s v="Normal"/>
    <n v="1.3824884792626729E-2"/>
    <n v="8.3565459610027856E-2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2T00:00:00"/>
    <x v="16"/>
    <s v="M"/>
    <s v="FY25"/>
    <n v="557"/>
    <n v="515"/>
    <n v="-0.12832550860719874"/>
    <n v="-0.10434782608695652"/>
    <n v="10704"/>
    <n v="8785"/>
    <n v="0.87"/>
    <n v="7.0000000000000007E-2"/>
    <n v="0.93"/>
    <n v="0.54"/>
    <n v="1"/>
    <n v="113"/>
    <n v="5"/>
    <s v="Normal"/>
    <s v="Normal"/>
    <n v="-0.12832550860719874"/>
    <n v="-0.10434782608695652"/>
  </r>
  <r>
    <d v="2024-07-23T00:00:00"/>
    <x v="16"/>
    <s v="T"/>
    <s v="FY25"/>
    <n v="595"/>
    <n v="499"/>
    <n v="-4.1867954911433171E-2"/>
    <n v="-5.3130929791271347E-2"/>
    <n v="11299"/>
    <n v="9284"/>
    <n v="0.39"/>
    <n v="0.16"/>
    <n v="0.84"/>
    <n v="0.61"/>
    <n v="1"/>
    <n v="91"/>
    <n v="4"/>
    <s v="Normal"/>
    <s v="Normal"/>
    <n v="-4.1867954911433171E-2"/>
    <n v="-5.3130929791271347E-2"/>
  </r>
  <r>
    <d v="2024-07-24T00:00:00"/>
    <x v="16"/>
    <s v="W"/>
    <s v="FY25"/>
    <n v="713"/>
    <n v="589"/>
    <n v="0.15372168284789645"/>
    <n v="0.13706563706563707"/>
    <n v="12012"/>
    <n v="9873"/>
    <n v="0.6"/>
    <n v="0.17"/>
    <n v="0.83"/>
    <n v="0.34"/>
    <n v="1"/>
    <n v="84"/>
    <n v="4"/>
    <s v="Normal"/>
    <s v="Normal"/>
    <n v="0.15372168284789645"/>
    <n v="0.13706563706563707"/>
  </r>
  <r>
    <d v="2024-07-25T00:00:00"/>
    <x v="16"/>
    <s v="R"/>
    <s v="FY25"/>
    <n v="637"/>
    <n v="521"/>
    <n v="0.14568345323741008"/>
    <n v="0.11087420042643924"/>
    <n v="12649"/>
    <n v="10394"/>
    <n v="0.42"/>
    <n v="0.18"/>
    <n v="0.82"/>
    <n v="0.64"/>
    <n v="1"/>
    <n v="110"/>
    <n v="4"/>
    <s v="Normal"/>
    <s v="Normal"/>
    <n v="0.14568345323741008"/>
    <n v="0.11087420042643924"/>
  </r>
  <r>
    <d v="2024-07-26T00:00:00"/>
    <x v="16"/>
    <s v="F"/>
    <s v="FY25"/>
    <n v="811"/>
    <n v="583"/>
    <n v="0.46126126126126127"/>
    <n v="0.38479809976247031"/>
    <n v="13460"/>
    <n v="10977"/>
    <n v="0.24"/>
    <n v="0.28000000000000003"/>
    <n v="0.82"/>
    <n v="0.35"/>
    <n v="1"/>
    <n v="96"/>
    <n v="4"/>
    <s v="Normal"/>
    <s v="Outlier"/>
    <n v="0.46126126126126127"/>
    <n v="0.38479809976247031"/>
  </r>
  <r>
    <d v="2024-07-27T00:00:00"/>
    <x v="16"/>
    <s v="S"/>
    <s v="FY25"/>
    <n v="496"/>
    <n v="377"/>
    <n v="0.12727272727272726"/>
    <n v="-3.0848329048843187E-2"/>
    <n v="13956"/>
    <n v="11354"/>
    <n v="0.46"/>
    <n v="0.24"/>
    <n v="0.76"/>
    <n v="0.6"/>
    <n v="1"/>
    <n v="87"/>
    <n v="3"/>
    <s v="Normal"/>
    <s v="Normal"/>
    <n v="0.12727272727272726"/>
    <n v="-3.0848329048843187E-2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9T00:00:00"/>
    <x v="17"/>
    <s v="M"/>
    <s v="FY25"/>
    <n v="593"/>
    <n v="490"/>
    <n v="6.4631956912028721E-2"/>
    <n v="-4.8543689320388349E-2"/>
    <n v="14549"/>
    <n v="11844"/>
    <n v="0.45"/>
    <n v="0.17"/>
    <n v="0.83"/>
    <n v="0.71"/>
    <n v="1"/>
    <n v="80"/>
    <n v="4"/>
    <s v="Normal"/>
    <s v="Normal"/>
    <n v="6.4631956912028721E-2"/>
    <n v="-4.8543689320388349E-2"/>
  </r>
  <r>
    <d v="2024-07-30T00:00:00"/>
    <x v="17"/>
    <s v="T"/>
    <s v="FY25"/>
    <n v="527"/>
    <n v="456"/>
    <n v="-0.11428571428571428"/>
    <n v="-8.617234468937876E-2"/>
    <n v="15076"/>
    <n v="12300"/>
    <n v="0.82"/>
    <n v="0.13"/>
    <n v="0.87"/>
    <n v="0.63"/>
    <n v="1"/>
    <n v="114"/>
    <n v="4"/>
    <s v="Normal"/>
    <s v="Normal"/>
    <n v="-0.11428571428571428"/>
    <n v="-8.617234468937876E-2"/>
  </r>
  <r>
    <d v="2024-07-31T00:00:00"/>
    <x v="17"/>
    <s v="W"/>
    <s v="FY25"/>
    <n v="592"/>
    <n v="489"/>
    <n v="-0.1697054698457223"/>
    <n v="-0.1697792869269949"/>
    <n v="15668"/>
    <n v="12789"/>
    <n v="0.43"/>
    <n v="0.17"/>
    <n v="0.83"/>
    <n v="0.6"/>
    <n v="1"/>
    <n v="68"/>
    <n v="4"/>
    <s v="Normal"/>
    <s v="Normal"/>
    <n v="-0.1697054698457223"/>
    <n v="-0.1697792869269949"/>
  </r>
  <r>
    <d v="2024-08-01T00:00:00"/>
    <x v="17"/>
    <s v="R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02T00:00:00"/>
    <x v="17"/>
    <s v="F"/>
    <s v="FY25"/>
    <n v="694"/>
    <n v="509"/>
    <n v="-0.1442663378545006"/>
    <n v="-0.12692967409948541"/>
    <n v="694"/>
    <n v="509"/>
    <n v="0.34"/>
    <n v="0.27"/>
    <n v="0.73"/>
    <n v="0.6"/>
    <n v="1"/>
    <n v="118"/>
    <m/>
    <s v="Normal"/>
    <s v="Normal"/>
    <n v="-0.1442663378545006"/>
    <n v="-0.12692967409948541"/>
  </r>
  <r>
    <d v="2024-08-03T00:00:00"/>
    <x v="17"/>
    <s v="S"/>
    <s v="FY25"/>
    <n v="331"/>
    <n v="304"/>
    <n v="-0.33266129032258063"/>
    <n v="-0.19363395225464192"/>
    <n v="1025"/>
    <n v="813"/>
    <n v="0.95"/>
    <n v="0.08"/>
    <n v="0.92"/>
    <n v="0.54"/>
    <n v="1"/>
    <n v="180"/>
    <m/>
    <s v="Normal"/>
    <s v="Normal"/>
    <n v="-0.33266129032258063"/>
    <n v="-0.19363395225464192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05T00:00:00"/>
    <x v="18"/>
    <s v="M"/>
    <s v="FY25"/>
    <n v="599"/>
    <n v="535"/>
    <n v="1.0118043844856661E-2"/>
    <n v="9.1836734693877556E-2"/>
    <n v="1624"/>
    <n v="1348"/>
    <n v="0.95"/>
    <n v="0.11"/>
    <n v="0.89"/>
    <n v="0.65"/>
    <n v="1"/>
    <n v="126"/>
    <m/>
    <s v="Normal"/>
    <s v="Normal"/>
    <n v="1.0118043844856661E-2"/>
    <n v="9.1836734693877556E-2"/>
  </r>
  <r>
    <d v="2024-08-06T00:00:00"/>
    <x v="18"/>
    <s v="T"/>
    <s v="FY25"/>
    <n v="591"/>
    <n v="503"/>
    <n v="0.12144212523719165"/>
    <n v="0.10307017543859649"/>
    <n v="2215"/>
    <n v="1851"/>
    <n v="0.83"/>
    <n v="0.15"/>
    <n v="0.85"/>
    <n v="0.67"/>
    <n v="1"/>
    <n v="102"/>
    <m/>
    <s v="Normal"/>
    <s v="Normal"/>
    <n v="0.12144212523719165"/>
    <n v="0.10307017543859649"/>
  </r>
  <r>
    <d v="2024-08-07T00:00:00"/>
    <x v="18"/>
    <s v="W"/>
    <s v="FY25"/>
    <n v="549"/>
    <n v="470"/>
    <n v="-7.2635135135135129E-2"/>
    <n v="-3.8854805725971372E-2"/>
    <n v="2764"/>
    <n v="2321"/>
    <n v="0.5"/>
    <n v="0.14000000000000001"/>
    <n v="0.62"/>
    <n v="0.62"/>
    <n v="1"/>
    <n v="168"/>
    <m/>
    <s v="Normal"/>
    <s v="Normal"/>
    <n v="-7.2635135135135129E-2"/>
    <n v="-3.8854805725971372E-2"/>
  </r>
  <r>
    <d v="2024-08-08T00:00:00"/>
    <x v="18"/>
    <s v="R"/>
    <s v="FY25"/>
    <n v="489"/>
    <n v="431"/>
    <n v="0"/>
    <n v="0"/>
    <n v="3253"/>
    <n v="2752"/>
    <n v="0.69"/>
    <n v="0.12"/>
    <n v="0.88"/>
    <n v="0.56000000000000005"/>
    <n v="1"/>
    <n v="149"/>
    <m/>
    <s v="Normal"/>
    <s v="Normal"/>
    <n v="0"/>
    <n v="0"/>
  </r>
  <r>
    <d v="2024-08-09T00:00:00"/>
    <x v="18"/>
    <s v="F"/>
    <s v="FY25"/>
    <n v="489"/>
    <n v="431"/>
    <n v="-0.29538904899135449"/>
    <n v="-0.15324165029469547"/>
    <n v="3742"/>
    <n v="3183"/>
    <n v="0.8"/>
    <n v="0.15"/>
    <n v="0.85"/>
    <n v="0.54"/>
    <n v="1"/>
    <n v="114"/>
    <m/>
    <s v="Normal"/>
    <s v="Normal"/>
    <n v="-0.29538904899135449"/>
    <n v="-0.15324165029469547"/>
  </r>
  <r>
    <d v="2024-08-10T00:00:00"/>
    <x v="18"/>
    <s v="S"/>
    <s v="FY25"/>
    <n v="349"/>
    <n v="311"/>
    <n v="5.4380664652567974E-2"/>
    <n v="2.3026315789473683E-2"/>
    <n v="4091"/>
    <n v="3494"/>
    <n v="0.77"/>
    <n v="0.11"/>
    <n v="0.89"/>
    <n v="0.53"/>
    <n v="1"/>
    <n v="102"/>
    <m/>
    <s v="Normal"/>
    <s v="Normal"/>
    <n v="5.4380664652567974E-2"/>
    <n v="2.3026315789473683E-2"/>
  </r>
  <r>
    <d v="2024-08-11T00:00:00"/>
    <x v="19"/>
    <s v="D"/>
    <s v="FY25"/>
    <m/>
    <m/>
    <m/>
    <m/>
    <m/>
    <m/>
    <m/>
    <m/>
    <m/>
    <m/>
    <m/>
    <m/>
    <m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s v="Normal"/>
    <s v="Normal"/>
    <n v="0"/>
    <n v="0"/>
  </r>
  <r>
    <d v="2024-08-13T00:00:00"/>
    <x v="19"/>
    <m/>
    <m/>
    <m/>
    <m/>
    <m/>
    <m/>
    <m/>
    <m/>
    <m/>
    <m/>
    <m/>
    <m/>
    <m/>
    <m/>
    <m/>
    <s v="Normal"/>
    <s v="Normal"/>
    <n v="0"/>
    <n v="0"/>
  </r>
  <r>
    <d v="2024-08-14T00:00:00"/>
    <x v="19"/>
    <m/>
    <m/>
    <m/>
    <m/>
    <m/>
    <m/>
    <m/>
    <m/>
    <m/>
    <m/>
    <m/>
    <m/>
    <m/>
    <m/>
    <m/>
    <s v="Normal"/>
    <s v="Normal"/>
    <n v="0"/>
    <n v="0"/>
  </r>
  <r>
    <d v="2024-08-15T00:00:00"/>
    <x v="19"/>
    <m/>
    <m/>
    <m/>
    <m/>
    <m/>
    <m/>
    <m/>
    <m/>
    <m/>
    <m/>
    <m/>
    <m/>
    <m/>
    <m/>
    <m/>
    <s v="Normal"/>
    <s v="Normal"/>
    <n v="0"/>
    <n v="0"/>
  </r>
  <r>
    <d v="2024-08-16T00:00:00"/>
    <x v="19"/>
    <m/>
    <m/>
    <m/>
    <m/>
    <m/>
    <m/>
    <m/>
    <m/>
    <m/>
    <m/>
    <m/>
    <m/>
    <m/>
    <m/>
    <m/>
    <s v="Normal"/>
    <s v="Normal"/>
    <n v="0"/>
    <n v="0"/>
  </r>
  <r>
    <d v="2024-08-17T00:00:00"/>
    <x v="19"/>
    <m/>
    <m/>
    <m/>
    <m/>
    <m/>
    <m/>
    <m/>
    <m/>
    <m/>
    <m/>
    <m/>
    <m/>
    <m/>
    <m/>
    <m/>
    <s v="Normal"/>
    <s v="Normal"/>
    <n v="0"/>
    <n v="0"/>
  </r>
  <r>
    <d v="2024-08-18T00:00:00"/>
    <x v="19"/>
    <m/>
    <m/>
    <m/>
    <m/>
    <m/>
    <m/>
    <m/>
    <m/>
    <m/>
    <m/>
    <m/>
    <m/>
    <m/>
    <m/>
    <m/>
    <s v="Normal"/>
    <s v="Normal"/>
    <n v="0"/>
    <n v="0"/>
  </r>
  <r>
    <d v="2024-08-19T00:00:00"/>
    <x v="19"/>
    <m/>
    <m/>
    <m/>
    <m/>
    <m/>
    <m/>
    <m/>
    <m/>
    <m/>
    <m/>
    <m/>
    <m/>
    <m/>
    <m/>
    <m/>
    <s v="Normal"/>
    <s v="Normal"/>
    <n v="0"/>
    <n v="0"/>
  </r>
  <r>
    <d v="2024-08-20T00:00:00"/>
    <x v="19"/>
    <m/>
    <m/>
    <m/>
    <m/>
    <m/>
    <m/>
    <m/>
    <m/>
    <m/>
    <m/>
    <m/>
    <m/>
    <m/>
    <m/>
    <m/>
    <s v="Normal"/>
    <s v="Normal"/>
    <n v="0"/>
    <n v="0"/>
  </r>
  <r>
    <d v="2024-08-21T00:00:00"/>
    <x v="19"/>
    <m/>
    <m/>
    <m/>
    <m/>
    <m/>
    <m/>
    <m/>
    <m/>
    <m/>
    <m/>
    <m/>
    <m/>
    <m/>
    <m/>
    <m/>
    <s v="Normal"/>
    <s v="Normal"/>
    <n v="0"/>
    <n v="0"/>
  </r>
  <r>
    <d v="2024-08-22T00:00:00"/>
    <x v="19"/>
    <m/>
    <m/>
    <m/>
    <m/>
    <m/>
    <m/>
    <m/>
    <m/>
    <m/>
    <m/>
    <m/>
    <m/>
    <m/>
    <m/>
    <m/>
    <s v="Normal"/>
    <s v="Normal"/>
    <n v="0"/>
    <n v="0"/>
  </r>
  <r>
    <d v="2024-08-23T00:00:00"/>
    <x v="19"/>
    <m/>
    <m/>
    <m/>
    <m/>
    <m/>
    <m/>
    <m/>
    <m/>
    <m/>
    <m/>
    <m/>
    <m/>
    <m/>
    <m/>
    <m/>
    <s v="Normal"/>
    <s v="Normal"/>
    <n v="0"/>
    <n v="0"/>
  </r>
  <r>
    <d v="2024-08-24T00:00:00"/>
    <x v="19"/>
    <m/>
    <m/>
    <m/>
    <m/>
    <m/>
    <m/>
    <m/>
    <m/>
    <m/>
    <m/>
    <m/>
    <m/>
    <m/>
    <m/>
    <m/>
    <s v="Normal"/>
    <s v="Normal"/>
    <n v="0"/>
    <n v="0"/>
  </r>
  <r>
    <d v="2024-08-25T00:00:00"/>
    <x v="19"/>
    <m/>
    <m/>
    <m/>
    <m/>
    <m/>
    <m/>
    <m/>
    <m/>
    <m/>
    <m/>
    <m/>
    <m/>
    <m/>
    <m/>
    <m/>
    <s v="Normal"/>
    <s v="Normal"/>
    <n v="0"/>
    <n v="0"/>
  </r>
  <r>
    <d v="2024-08-26T00:00:00"/>
    <x v="19"/>
    <m/>
    <m/>
    <m/>
    <m/>
    <m/>
    <m/>
    <m/>
    <m/>
    <m/>
    <m/>
    <m/>
    <m/>
    <m/>
    <m/>
    <m/>
    <s v="Normal"/>
    <s v="Normal"/>
    <n v="0"/>
    <n v="0"/>
  </r>
  <r>
    <d v="2024-08-27T00:00:00"/>
    <x v="19"/>
    <m/>
    <m/>
    <m/>
    <m/>
    <m/>
    <m/>
    <m/>
    <m/>
    <m/>
    <m/>
    <m/>
    <m/>
    <m/>
    <m/>
    <m/>
    <s v="Normal"/>
    <s v="Normal"/>
    <n v="0"/>
    <n v="0"/>
  </r>
  <r>
    <d v="2024-08-28T00:00:00"/>
    <x v="19"/>
    <m/>
    <m/>
    <m/>
    <m/>
    <m/>
    <m/>
    <m/>
    <m/>
    <m/>
    <m/>
    <m/>
    <m/>
    <m/>
    <m/>
    <m/>
    <s v="Normal"/>
    <s v="Normal"/>
    <n v="0"/>
    <n v="0"/>
  </r>
  <r>
    <d v="2024-08-29T00:00:00"/>
    <x v="19"/>
    <m/>
    <m/>
    <m/>
    <m/>
    <m/>
    <m/>
    <m/>
    <m/>
    <m/>
    <m/>
    <m/>
    <m/>
    <m/>
    <m/>
    <m/>
    <s v="Normal"/>
    <s v="Normal"/>
    <n v="0"/>
    <n v="0"/>
  </r>
  <r>
    <d v="2024-08-30T00:00:00"/>
    <x v="19"/>
    <m/>
    <m/>
    <m/>
    <m/>
    <m/>
    <m/>
    <m/>
    <m/>
    <m/>
    <m/>
    <m/>
    <m/>
    <m/>
    <m/>
    <m/>
    <s v="Normal"/>
    <s v="Normal"/>
    <n v="0"/>
    <n v="0"/>
  </r>
  <r>
    <d v="2024-08-31T00:00:00"/>
    <x v="19"/>
    <m/>
    <m/>
    <m/>
    <m/>
    <m/>
    <m/>
    <m/>
    <m/>
    <m/>
    <m/>
    <m/>
    <m/>
    <m/>
    <m/>
    <m/>
    <s v="Normal"/>
    <s v="Normal"/>
    <n v="0"/>
    <n v="0"/>
  </r>
  <r>
    <d v="2024-09-01T00:00:00"/>
    <x v="19"/>
    <m/>
    <m/>
    <m/>
    <m/>
    <m/>
    <m/>
    <m/>
    <m/>
    <m/>
    <m/>
    <m/>
    <m/>
    <m/>
    <m/>
    <m/>
    <s v="Normal"/>
    <s v="Normal"/>
    <n v="0"/>
    <n v="0"/>
  </r>
  <r>
    <d v="2024-09-02T00:00:00"/>
    <x v="19"/>
    <m/>
    <m/>
    <m/>
    <m/>
    <m/>
    <m/>
    <m/>
    <m/>
    <m/>
    <m/>
    <m/>
    <m/>
    <m/>
    <m/>
    <m/>
    <s v="Normal"/>
    <s v="Normal"/>
    <n v="0"/>
    <n v="0"/>
  </r>
  <r>
    <d v="2024-09-03T00:00:00"/>
    <x v="19"/>
    <m/>
    <m/>
    <m/>
    <m/>
    <m/>
    <m/>
    <m/>
    <m/>
    <m/>
    <m/>
    <m/>
    <m/>
    <m/>
    <m/>
    <m/>
    <s v="Normal"/>
    <s v="Normal"/>
    <n v="0"/>
    <n v="0"/>
  </r>
  <r>
    <d v="2024-09-04T00:00:00"/>
    <x v="19"/>
    <m/>
    <m/>
    <m/>
    <m/>
    <m/>
    <m/>
    <m/>
    <m/>
    <m/>
    <m/>
    <m/>
    <m/>
    <m/>
    <m/>
    <m/>
    <s v="Normal"/>
    <s v="Normal"/>
    <n v="0"/>
    <n v="0"/>
  </r>
  <r>
    <d v="2024-09-05T00:00:00"/>
    <x v="19"/>
    <m/>
    <m/>
    <m/>
    <m/>
    <m/>
    <m/>
    <m/>
    <m/>
    <m/>
    <m/>
    <m/>
    <m/>
    <m/>
    <m/>
    <m/>
    <s v="Normal"/>
    <s v="Normal"/>
    <n v="0"/>
    <n v="0"/>
  </r>
  <r>
    <d v="2024-09-06T00:00:00"/>
    <x v="19"/>
    <m/>
    <m/>
    <m/>
    <m/>
    <m/>
    <m/>
    <m/>
    <m/>
    <m/>
    <m/>
    <m/>
    <m/>
    <m/>
    <m/>
    <m/>
    <s v="Normal"/>
    <s v="Normal"/>
    <n v="0"/>
    <n v="0"/>
  </r>
  <r>
    <d v="2024-09-07T00:00:00"/>
    <x v="19"/>
    <m/>
    <m/>
    <m/>
    <m/>
    <m/>
    <m/>
    <m/>
    <m/>
    <m/>
    <m/>
    <m/>
    <m/>
    <m/>
    <m/>
    <m/>
    <s v="Normal"/>
    <s v="Normal"/>
    <n v="0"/>
    <n v="0"/>
  </r>
  <r>
    <d v="2024-09-08T00:00:00"/>
    <x v="19"/>
    <m/>
    <m/>
    <m/>
    <m/>
    <m/>
    <m/>
    <m/>
    <m/>
    <m/>
    <m/>
    <m/>
    <m/>
    <m/>
    <m/>
    <m/>
    <s v="Normal"/>
    <s v="Normal"/>
    <n v="0"/>
    <n v="0"/>
  </r>
  <r>
    <d v="2024-09-09T00:00:00"/>
    <x v="19"/>
    <m/>
    <m/>
    <m/>
    <m/>
    <m/>
    <m/>
    <m/>
    <m/>
    <m/>
    <m/>
    <m/>
    <m/>
    <m/>
    <m/>
    <m/>
    <s v="Normal"/>
    <s v="Normal"/>
    <n v="0"/>
    <n v="0"/>
  </r>
  <r>
    <d v="2024-09-10T00:00:00"/>
    <x v="19"/>
    <m/>
    <m/>
    <m/>
    <m/>
    <m/>
    <m/>
    <m/>
    <m/>
    <m/>
    <m/>
    <m/>
    <m/>
    <m/>
    <m/>
    <m/>
    <s v="Normal"/>
    <s v="Normal"/>
    <n v="0"/>
    <n v="0"/>
  </r>
  <r>
    <d v="2024-09-11T00:00:00"/>
    <x v="19"/>
    <m/>
    <m/>
    <m/>
    <m/>
    <m/>
    <m/>
    <m/>
    <m/>
    <m/>
    <m/>
    <m/>
    <m/>
    <m/>
    <m/>
    <m/>
    <s v="Normal"/>
    <s v="Normal"/>
    <n v="0"/>
    <n v="0"/>
  </r>
  <r>
    <d v="2024-09-12T00:00:00"/>
    <x v="19"/>
    <m/>
    <m/>
    <m/>
    <m/>
    <m/>
    <m/>
    <m/>
    <m/>
    <m/>
    <m/>
    <m/>
    <m/>
    <m/>
    <m/>
    <m/>
    <s v="Normal"/>
    <s v="Normal"/>
    <n v="0"/>
    <n v="0"/>
  </r>
  <r>
    <d v="2024-09-13T00:00:00"/>
    <x v="19"/>
    <m/>
    <m/>
    <m/>
    <m/>
    <m/>
    <m/>
    <m/>
    <m/>
    <m/>
    <m/>
    <m/>
    <m/>
    <m/>
    <m/>
    <m/>
    <s v="Normal"/>
    <s v="Normal"/>
    <n v="0"/>
    <n v="0"/>
  </r>
  <r>
    <d v="2024-09-14T00:00:00"/>
    <x v="19"/>
    <m/>
    <m/>
    <m/>
    <m/>
    <m/>
    <m/>
    <m/>
    <m/>
    <m/>
    <m/>
    <m/>
    <m/>
    <m/>
    <m/>
    <m/>
    <s v="Normal"/>
    <s v="Normal"/>
    <n v="0"/>
    <n v="0"/>
  </r>
  <r>
    <d v="2024-09-15T00:00:00"/>
    <x v="19"/>
    <m/>
    <m/>
    <m/>
    <m/>
    <m/>
    <m/>
    <m/>
    <m/>
    <m/>
    <m/>
    <m/>
    <m/>
    <m/>
    <m/>
    <m/>
    <s v="Normal"/>
    <s v="Normal"/>
    <n v="0"/>
    <n v="0"/>
  </r>
  <r>
    <d v="2024-09-16T00:00:00"/>
    <x v="19"/>
    <m/>
    <m/>
    <m/>
    <m/>
    <m/>
    <m/>
    <m/>
    <m/>
    <m/>
    <m/>
    <m/>
    <m/>
    <m/>
    <m/>
    <m/>
    <s v="Normal"/>
    <s v="Normal"/>
    <n v="0"/>
    <n v="0"/>
  </r>
  <r>
    <d v="2024-09-17T00:00:00"/>
    <x v="19"/>
    <m/>
    <m/>
    <m/>
    <m/>
    <m/>
    <m/>
    <m/>
    <m/>
    <m/>
    <m/>
    <m/>
    <m/>
    <m/>
    <m/>
    <m/>
    <s v="Normal"/>
    <s v="Normal"/>
    <n v="0"/>
    <n v="0"/>
  </r>
  <r>
    <d v="2024-09-18T00:00:00"/>
    <x v="19"/>
    <m/>
    <m/>
    <m/>
    <m/>
    <m/>
    <m/>
    <m/>
    <m/>
    <m/>
    <m/>
    <m/>
    <m/>
    <m/>
    <m/>
    <m/>
    <s v="Normal"/>
    <s v="Normal"/>
    <n v="0"/>
    <n v="0"/>
  </r>
  <r>
    <d v="2024-09-19T00:00:00"/>
    <x v="19"/>
    <m/>
    <m/>
    <m/>
    <m/>
    <m/>
    <m/>
    <m/>
    <m/>
    <m/>
    <m/>
    <m/>
    <m/>
    <m/>
    <m/>
    <m/>
    <s v="Normal"/>
    <s v="Normal"/>
    <n v="0"/>
    <n v="0"/>
  </r>
  <r>
    <d v="2024-09-20T00:00:00"/>
    <x v="19"/>
    <m/>
    <m/>
    <m/>
    <m/>
    <m/>
    <m/>
    <m/>
    <m/>
    <m/>
    <m/>
    <m/>
    <m/>
    <m/>
    <m/>
    <m/>
    <s v="Normal"/>
    <s v="Normal"/>
    <n v="0"/>
    <n v="0"/>
  </r>
  <r>
    <d v="2024-09-21T00:00:00"/>
    <x v="19"/>
    <m/>
    <m/>
    <m/>
    <m/>
    <m/>
    <m/>
    <m/>
    <m/>
    <m/>
    <m/>
    <m/>
    <m/>
    <m/>
    <m/>
    <m/>
    <s v="Normal"/>
    <s v="Normal"/>
    <n v="0"/>
    <n v="0"/>
  </r>
  <r>
    <d v="2024-09-22T00:00:00"/>
    <x v="19"/>
    <m/>
    <m/>
    <m/>
    <m/>
    <m/>
    <m/>
    <m/>
    <m/>
    <m/>
    <m/>
    <m/>
    <m/>
    <m/>
    <m/>
    <m/>
    <s v="Normal"/>
    <s v="Normal"/>
    <n v="0"/>
    <n v="0"/>
  </r>
  <r>
    <d v="2024-09-23T00:00:00"/>
    <x v="19"/>
    <m/>
    <m/>
    <m/>
    <m/>
    <m/>
    <m/>
    <m/>
    <m/>
    <m/>
    <m/>
    <m/>
    <m/>
    <m/>
    <m/>
    <m/>
    <s v="Normal"/>
    <s v="Normal"/>
    <n v="0"/>
    <n v="0"/>
  </r>
  <r>
    <d v="2024-09-24T00:00:00"/>
    <x v="19"/>
    <m/>
    <m/>
    <m/>
    <m/>
    <m/>
    <m/>
    <m/>
    <m/>
    <m/>
    <m/>
    <m/>
    <m/>
    <m/>
    <m/>
    <m/>
    <s v="Normal"/>
    <s v="Normal"/>
    <n v="0"/>
    <n v="0"/>
  </r>
  <r>
    <d v="2024-09-25T00:00:00"/>
    <x v="19"/>
    <m/>
    <m/>
    <m/>
    <m/>
    <m/>
    <m/>
    <m/>
    <m/>
    <m/>
    <m/>
    <m/>
    <m/>
    <m/>
    <m/>
    <m/>
    <s v="Normal"/>
    <s v="Normal"/>
    <n v="0"/>
    <n v="0"/>
  </r>
  <r>
    <d v="2024-09-26T00:00:00"/>
    <x v="19"/>
    <m/>
    <m/>
    <m/>
    <m/>
    <m/>
    <m/>
    <m/>
    <m/>
    <m/>
    <m/>
    <m/>
    <m/>
    <m/>
    <m/>
    <m/>
    <s v="Normal"/>
    <s v="Normal"/>
    <n v="0"/>
    <n v="0"/>
  </r>
  <r>
    <d v="2024-09-27T00:00:00"/>
    <x v="19"/>
    <m/>
    <m/>
    <m/>
    <m/>
    <m/>
    <m/>
    <m/>
    <m/>
    <m/>
    <m/>
    <m/>
    <m/>
    <m/>
    <m/>
    <m/>
    <s v="Normal"/>
    <s v="Normal"/>
    <n v="0"/>
    <n v="0"/>
  </r>
  <r>
    <d v="2024-09-28T00:00:00"/>
    <x v="19"/>
    <m/>
    <m/>
    <m/>
    <m/>
    <m/>
    <m/>
    <m/>
    <m/>
    <m/>
    <m/>
    <m/>
    <m/>
    <m/>
    <m/>
    <m/>
    <s v="Normal"/>
    <s v="Normal"/>
    <n v="0"/>
    <n v="0"/>
  </r>
  <r>
    <d v="2024-09-29T00:00:00"/>
    <x v="19"/>
    <m/>
    <m/>
    <m/>
    <m/>
    <m/>
    <m/>
    <m/>
    <m/>
    <m/>
    <m/>
    <m/>
    <m/>
    <m/>
    <m/>
    <m/>
    <s v="Normal"/>
    <s v="Normal"/>
    <n v="0"/>
    <n v="0"/>
  </r>
  <r>
    <d v="2024-09-30T00:00:00"/>
    <x v="19"/>
    <m/>
    <m/>
    <m/>
    <m/>
    <m/>
    <m/>
    <m/>
    <m/>
    <m/>
    <m/>
    <m/>
    <m/>
    <m/>
    <m/>
    <m/>
    <s v="Normal"/>
    <s v="Normal"/>
    <n v="0"/>
    <n v="0"/>
  </r>
  <r>
    <d v="2024-10-01T00:00:00"/>
    <x v="19"/>
    <m/>
    <m/>
    <m/>
    <m/>
    <m/>
    <m/>
    <m/>
    <m/>
    <m/>
    <m/>
    <m/>
    <m/>
    <m/>
    <m/>
    <m/>
    <s v="Normal"/>
    <s v="Normal"/>
    <n v="0"/>
    <n v="0"/>
  </r>
  <r>
    <d v="2024-10-02T00:00:00"/>
    <x v="19"/>
    <m/>
    <m/>
    <m/>
    <m/>
    <m/>
    <m/>
    <m/>
    <m/>
    <m/>
    <m/>
    <m/>
    <m/>
    <m/>
    <m/>
    <m/>
    <s v="Normal"/>
    <s v="Normal"/>
    <n v="0"/>
    <n v="0"/>
  </r>
  <r>
    <d v="2024-10-03T00:00:00"/>
    <x v="19"/>
    <m/>
    <m/>
    <m/>
    <m/>
    <m/>
    <m/>
    <m/>
    <m/>
    <m/>
    <m/>
    <m/>
    <m/>
    <m/>
    <m/>
    <m/>
    <s v="Normal"/>
    <s v="Normal"/>
    <n v="0"/>
    <n v="0"/>
  </r>
  <r>
    <d v="2024-10-04T00:00:00"/>
    <x v="19"/>
    <m/>
    <m/>
    <m/>
    <m/>
    <m/>
    <m/>
    <m/>
    <m/>
    <m/>
    <m/>
    <m/>
    <m/>
    <m/>
    <m/>
    <m/>
    <s v="Normal"/>
    <s v="Normal"/>
    <n v="0"/>
    <n v="0"/>
  </r>
  <r>
    <d v="2024-10-05T00:00:00"/>
    <x v="19"/>
    <m/>
    <m/>
    <m/>
    <m/>
    <m/>
    <m/>
    <m/>
    <m/>
    <m/>
    <m/>
    <m/>
    <m/>
    <m/>
    <m/>
    <m/>
    <s v="Normal"/>
    <s v="Normal"/>
    <n v="0"/>
    <n v="0"/>
  </r>
  <r>
    <d v="2024-10-06T00:00:00"/>
    <x v="19"/>
    <m/>
    <m/>
    <m/>
    <m/>
    <m/>
    <m/>
    <m/>
    <m/>
    <m/>
    <m/>
    <m/>
    <m/>
    <m/>
    <m/>
    <m/>
    <s v="Normal"/>
    <s v="Normal"/>
    <n v="0"/>
    <n v="0"/>
  </r>
  <r>
    <d v="2024-10-07T00:00:00"/>
    <x v="19"/>
    <m/>
    <m/>
    <m/>
    <m/>
    <m/>
    <m/>
    <m/>
    <m/>
    <m/>
    <m/>
    <m/>
    <m/>
    <m/>
    <m/>
    <m/>
    <s v="Normal"/>
    <s v="Normal"/>
    <n v="0"/>
    <n v="0"/>
  </r>
  <r>
    <d v="2024-10-08T00:00:00"/>
    <x v="19"/>
    <m/>
    <m/>
    <m/>
    <m/>
    <m/>
    <m/>
    <m/>
    <m/>
    <m/>
    <m/>
    <m/>
    <m/>
    <m/>
    <m/>
    <m/>
    <s v="Normal"/>
    <s v="Normal"/>
    <n v="0"/>
    <n v="0"/>
  </r>
  <r>
    <d v="2024-10-09T00:00:00"/>
    <x v="19"/>
    <m/>
    <m/>
    <m/>
    <m/>
    <m/>
    <m/>
    <m/>
    <m/>
    <m/>
    <m/>
    <m/>
    <m/>
    <m/>
    <m/>
    <m/>
    <s v="Normal"/>
    <s v="Normal"/>
    <n v="0"/>
    <n v="0"/>
  </r>
  <r>
    <d v="2024-10-10T00:00:00"/>
    <x v="19"/>
    <m/>
    <m/>
    <m/>
    <m/>
    <m/>
    <m/>
    <m/>
    <m/>
    <m/>
    <m/>
    <m/>
    <m/>
    <m/>
    <m/>
    <m/>
    <s v="Normal"/>
    <s v="Normal"/>
    <n v="0"/>
    <n v="0"/>
  </r>
  <r>
    <d v="2024-10-11T00:00:00"/>
    <x v="19"/>
    <m/>
    <m/>
    <m/>
    <m/>
    <m/>
    <m/>
    <m/>
    <m/>
    <m/>
    <m/>
    <m/>
    <m/>
    <m/>
    <m/>
    <m/>
    <s v="Normal"/>
    <s v="Normal"/>
    <n v="0"/>
    <n v="0"/>
  </r>
  <r>
    <d v="2024-10-12T00:00:00"/>
    <x v="19"/>
    <m/>
    <m/>
    <m/>
    <m/>
    <m/>
    <m/>
    <m/>
    <m/>
    <m/>
    <m/>
    <m/>
    <m/>
    <m/>
    <m/>
    <m/>
    <s v="Normal"/>
    <s v="Normal"/>
    <n v="0"/>
    <n v="0"/>
  </r>
  <r>
    <d v="2024-10-13T00:00:00"/>
    <x v="19"/>
    <m/>
    <m/>
    <m/>
    <m/>
    <m/>
    <m/>
    <m/>
    <m/>
    <m/>
    <m/>
    <m/>
    <m/>
    <m/>
    <m/>
    <m/>
    <s v="Normal"/>
    <s v="Normal"/>
    <n v="0"/>
    <n v="0"/>
  </r>
  <r>
    <d v="2024-10-14T00:00:00"/>
    <x v="19"/>
    <m/>
    <m/>
    <m/>
    <m/>
    <m/>
    <m/>
    <m/>
    <m/>
    <m/>
    <m/>
    <m/>
    <m/>
    <m/>
    <m/>
    <m/>
    <s v="Normal"/>
    <s v="Normal"/>
    <n v="0"/>
    <n v="0"/>
  </r>
  <r>
    <d v="2024-10-15T00:00:00"/>
    <x v="19"/>
    <m/>
    <m/>
    <m/>
    <m/>
    <m/>
    <m/>
    <m/>
    <m/>
    <m/>
    <m/>
    <m/>
    <m/>
    <m/>
    <m/>
    <m/>
    <s v="Normal"/>
    <s v="Normal"/>
    <n v="0"/>
    <n v="0"/>
  </r>
  <r>
    <d v="2024-10-16T00:00:00"/>
    <x v="19"/>
    <m/>
    <m/>
    <m/>
    <m/>
    <m/>
    <m/>
    <m/>
    <m/>
    <m/>
    <m/>
    <m/>
    <m/>
    <m/>
    <m/>
    <m/>
    <s v="Normal"/>
    <s v="Normal"/>
    <n v="0"/>
    <n v="0"/>
  </r>
  <r>
    <d v="2024-10-17T00:00:00"/>
    <x v="19"/>
    <m/>
    <m/>
    <m/>
    <m/>
    <m/>
    <m/>
    <m/>
    <m/>
    <m/>
    <m/>
    <m/>
    <m/>
    <m/>
    <m/>
    <m/>
    <s v="Normal"/>
    <s v="Normal"/>
    <n v="0"/>
    <n v="0"/>
  </r>
  <r>
    <d v="2024-10-18T00:00:00"/>
    <x v="19"/>
    <m/>
    <m/>
    <m/>
    <m/>
    <m/>
    <m/>
    <m/>
    <m/>
    <m/>
    <m/>
    <m/>
    <m/>
    <m/>
    <m/>
    <m/>
    <s v="Normal"/>
    <s v="Normal"/>
    <n v="0"/>
    <n v="0"/>
  </r>
  <r>
    <d v="2024-10-19T00:00:00"/>
    <x v="19"/>
    <m/>
    <m/>
    <m/>
    <m/>
    <m/>
    <m/>
    <m/>
    <m/>
    <m/>
    <m/>
    <m/>
    <m/>
    <m/>
    <m/>
    <m/>
    <s v="Normal"/>
    <s v="Normal"/>
    <n v="0"/>
    <n v="0"/>
  </r>
  <r>
    <d v="2024-10-20T00:00:00"/>
    <x v="19"/>
    <m/>
    <m/>
    <m/>
    <m/>
    <m/>
    <m/>
    <m/>
    <m/>
    <m/>
    <m/>
    <m/>
    <m/>
    <m/>
    <m/>
    <m/>
    <s v="Normal"/>
    <s v="Normal"/>
    <n v="0"/>
    <n v="0"/>
  </r>
  <r>
    <d v="2024-10-21T00:00:00"/>
    <x v="19"/>
    <m/>
    <m/>
    <m/>
    <m/>
    <m/>
    <m/>
    <m/>
    <m/>
    <m/>
    <m/>
    <m/>
    <m/>
    <m/>
    <m/>
    <m/>
    <s v="Normal"/>
    <s v="Normal"/>
    <n v="0"/>
    <n v="0"/>
  </r>
  <r>
    <d v="2024-10-22T00:00:00"/>
    <x v="19"/>
    <m/>
    <m/>
    <m/>
    <m/>
    <m/>
    <m/>
    <m/>
    <m/>
    <m/>
    <m/>
    <m/>
    <m/>
    <m/>
    <m/>
    <m/>
    <s v="Normal"/>
    <s v="Normal"/>
    <n v="0"/>
    <n v="0"/>
  </r>
  <r>
    <d v="2024-10-23T00:00:00"/>
    <x v="19"/>
    <m/>
    <m/>
    <m/>
    <m/>
    <m/>
    <m/>
    <m/>
    <m/>
    <m/>
    <m/>
    <m/>
    <m/>
    <m/>
    <m/>
    <m/>
    <s v="Normal"/>
    <s v="Normal"/>
    <n v="0"/>
    <n v="0"/>
  </r>
  <r>
    <d v="2024-10-24T00:00:00"/>
    <x v="19"/>
    <m/>
    <m/>
    <m/>
    <m/>
    <m/>
    <m/>
    <m/>
    <m/>
    <m/>
    <m/>
    <m/>
    <m/>
    <m/>
    <m/>
    <m/>
    <s v="Normal"/>
    <s v="Normal"/>
    <n v="0"/>
    <n v="0"/>
  </r>
  <r>
    <d v="2024-10-25T00:00:00"/>
    <x v="19"/>
    <m/>
    <m/>
    <m/>
    <m/>
    <m/>
    <m/>
    <m/>
    <m/>
    <m/>
    <m/>
    <m/>
    <m/>
    <m/>
    <m/>
    <m/>
    <s v="Normal"/>
    <s v="Normal"/>
    <n v="0"/>
    <n v="0"/>
  </r>
  <r>
    <d v="2024-10-26T00:00:00"/>
    <x v="19"/>
    <m/>
    <m/>
    <m/>
    <m/>
    <m/>
    <m/>
    <m/>
    <m/>
    <m/>
    <m/>
    <m/>
    <m/>
    <m/>
    <m/>
    <m/>
    <s v="Normal"/>
    <s v="Normal"/>
    <n v="0"/>
    <n v="0"/>
  </r>
  <r>
    <d v="2024-10-27T00:00:00"/>
    <x v="19"/>
    <m/>
    <m/>
    <m/>
    <m/>
    <m/>
    <m/>
    <m/>
    <m/>
    <m/>
    <m/>
    <m/>
    <m/>
    <m/>
    <m/>
    <m/>
    <s v="Normal"/>
    <s v="Normal"/>
    <n v="0"/>
    <n v="0"/>
  </r>
  <r>
    <d v="2024-10-28T00:00:00"/>
    <x v="19"/>
    <m/>
    <m/>
    <m/>
    <m/>
    <m/>
    <m/>
    <m/>
    <m/>
    <m/>
    <m/>
    <m/>
    <m/>
    <m/>
    <m/>
    <m/>
    <s v="Normal"/>
    <s v="Normal"/>
    <n v="0"/>
    <n v="0"/>
  </r>
  <r>
    <d v="2024-10-29T00:00:00"/>
    <x v="19"/>
    <m/>
    <m/>
    <m/>
    <m/>
    <m/>
    <m/>
    <m/>
    <m/>
    <m/>
    <m/>
    <m/>
    <m/>
    <m/>
    <m/>
    <m/>
    <s v="Normal"/>
    <s v="Normal"/>
    <n v="0"/>
    <n v="0"/>
  </r>
  <r>
    <d v="2024-10-30T00:00:00"/>
    <x v="19"/>
    <m/>
    <m/>
    <m/>
    <m/>
    <m/>
    <m/>
    <m/>
    <m/>
    <m/>
    <m/>
    <m/>
    <m/>
    <m/>
    <m/>
    <m/>
    <s v="Normal"/>
    <s v="Normal"/>
    <n v="0"/>
    <n v="0"/>
  </r>
  <r>
    <d v="2024-10-31T00:00:00"/>
    <x v="19"/>
    <m/>
    <m/>
    <m/>
    <m/>
    <m/>
    <m/>
    <m/>
    <m/>
    <m/>
    <m/>
    <m/>
    <m/>
    <m/>
    <m/>
    <m/>
    <s v="Normal"/>
    <s v="Normal"/>
    <n v="0"/>
    <n v="0"/>
  </r>
  <r>
    <d v="2024-11-01T00:00:00"/>
    <x v="19"/>
    <m/>
    <m/>
    <m/>
    <m/>
    <m/>
    <m/>
    <m/>
    <m/>
    <m/>
    <m/>
    <m/>
    <m/>
    <m/>
    <m/>
    <m/>
    <s v="Normal"/>
    <s v="Normal"/>
    <n v="0"/>
    <n v="0"/>
  </r>
  <r>
    <d v="2024-11-02T00:00:00"/>
    <x v="19"/>
    <m/>
    <m/>
    <m/>
    <m/>
    <m/>
    <m/>
    <m/>
    <m/>
    <m/>
    <m/>
    <m/>
    <m/>
    <m/>
    <m/>
    <m/>
    <s v="Normal"/>
    <s v="Normal"/>
    <n v="0"/>
    <n v="0"/>
  </r>
  <r>
    <d v="2024-11-03T00:00:00"/>
    <x v="19"/>
    <m/>
    <m/>
    <m/>
    <m/>
    <m/>
    <m/>
    <m/>
    <m/>
    <m/>
    <m/>
    <m/>
    <m/>
    <m/>
    <m/>
    <m/>
    <s v="Normal"/>
    <s v="Normal"/>
    <n v="0"/>
    <n v="0"/>
  </r>
  <r>
    <d v="2024-11-04T00:00:00"/>
    <x v="19"/>
    <m/>
    <m/>
    <m/>
    <m/>
    <m/>
    <m/>
    <m/>
    <m/>
    <m/>
    <m/>
    <m/>
    <m/>
    <m/>
    <m/>
    <m/>
    <s v="Normal"/>
    <s v="Normal"/>
    <n v="0"/>
    <n v="0"/>
  </r>
  <r>
    <d v="2024-11-05T00:00:00"/>
    <x v="19"/>
    <m/>
    <m/>
    <m/>
    <m/>
    <m/>
    <m/>
    <m/>
    <m/>
    <m/>
    <m/>
    <m/>
    <m/>
    <m/>
    <m/>
    <m/>
    <s v="Normal"/>
    <s v="Normal"/>
    <n v="0"/>
    <n v="0"/>
  </r>
  <r>
    <d v="2024-11-06T00:00:00"/>
    <x v="19"/>
    <m/>
    <m/>
    <m/>
    <m/>
    <m/>
    <m/>
    <m/>
    <m/>
    <m/>
    <m/>
    <m/>
    <m/>
    <m/>
    <m/>
    <m/>
    <s v="Normal"/>
    <s v="Normal"/>
    <n v="0"/>
    <n v="0"/>
  </r>
  <r>
    <d v="2024-11-07T00:00:00"/>
    <x v="19"/>
    <m/>
    <m/>
    <m/>
    <m/>
    <m/>
    <m/>
    <m/>
    <m/>
    <m/>
    <m/>
    <m/>
    <m/>
    <m/>
    <m/>
    <m/>
    <s v="Normal"/>
    <s v="Normal"/>
    <n v="0"/>
    <n v="0"/>
  </r>
  <r>
    <d v="2024-11-08T00:00:00"/>
    <x v="19"/>
    <m/>
    <m/>
    <m/>
    <m/>
    <m/>
    <m/>
    <m/>
    <m/>
    <m/>
    <m/>
    <m/>
    <m/>
    <m/>
    <m/>
    <m/>
    <s v="Normal"/>
    <s v="Normal"/>
    <n v="0"/>
    <n v="0"/>
  </r>
  <r>
    <d v="2024-11-09T00:00:00"/>
    <x v="19"/>
    <m/>
    <m/>
    <m/>
    <m/>
    <m/>
    <m/>
    <m/>
    <m/>
    <m/>
    <m/>
    <m/>
    <m/>
    <m/>
    <m/>
    <m/>
    <s v="Normal"/>
    <s v="Normal"/>
    <n v="0"/>
    <n v="0"/>
  </r>
  <r>
    <d v="2024-11-10T00:00:00"/>
    <x v="19"/>
    <m/>
    <m/>
    <m/>
    <m/>
    <m/>
    <m/>
    <m/>
    <m/>
    <m/>
    <m/>
    <m/>
    <m/>
    <m/>
    <m/>
    <m/>
    <s v="Normal"/>
    <s v="Normal"/>
    <n v="0"/>
    <n v="0"/>
  </r>
  <r>
    <d v="2024-11-11T00:00:00"/>
    <x v="19"/>
    <m/>
    <m/>
    <m/>
    <m/>
    <m/>
    <m/>
    <m/>
    <m/>
    <m/>
    <m/>
    <m/>
    <m/>
    <m/>
    <m/>
    <m/>
    <s v="Normal"/>
    <s v="Normal"/>
    <n v="0"/>
    <n v="0"/>
  </r>
  <r>
    <d v="2024-11-12T00:00:00"/>
    <x v="19"/>
    <m/>
    <m/>
    <m/>
    <m/>
    <m/>
    <m/>
    <m/>
    <m/>
    <m/>
    <m/>
    <m/>
    <m/>
    <m/>
    <m/>
    <m/>
    <s v="Normal"/>
    <s v="Normal"/>
    <n v="0"/>
    <n v="0"/>
  </r>
  <r>
    <d v="2024-11-13T00:00:00"/>
    <x v="19"/>
    <m/>
    <m/>
    <m/>
    <m/>
    <m/>
    <m/>
    <m/>
    <m/>
    <m/>
    <m/>
    <m/>
    <m/>
    <m/>
    <m/>
    <m/>
    <s v="Normal"/>
    <s v="Normal"/>
    <n v="0"/>
    <n v="0"/>
  </r>
  <r>
    <d v="2024-11-14T00:00:00"/>
    <x v="19"/>
    <m/>
    <m/>
    <m/>
    <m/>
    <m/>
    <m/>
    <m/>
    <m/>
    <m/>
    <m/>
    <m/>
    <m/>
    <m/>
    <m/>
    <m/>
    <s v="Normal"/>
    <s v="Normal"/>
    <n v="0"/>
    <n v="0"/>
  </r>
  <r>
    <d v="2024-11-15T00:00:00"/>
    <x v="19"/>
    <m/>
    <m/>
    <m/>
    <m/>
    <m/>
    <m/>
    <m/>
    <m/>
    <m/>
    <m/>
    <m/>
    <m/>
    <m/>
    <m/>
    <m/>
    <s v="Normal"/>
    <s v="Normal"/>
    <n v="0"/>
    <n v="0"/>
  </r>
  <r>
    <d v="2024-11-16T00:00:00"/>
    <x v="19"/>
    <m/>
    <m/>
    <m/>
    <m/>
    <m/>
    <m/>
    <m/>
    <m/>
    <m/>
    <m/>
    <m/>
    <m/>
    <m/>
    <m/>
    <m/>
    <s v="Normal"/>
    <s v="Normal"/>
    <n v="0"/>
    <n v="0"/>
  </r>
  <r>
    <d v="2024-11-17T00:00:00"/>
    <x v="19"/>
    <m/>
    <m/>
    <m/>
    <m/>
    <m/>
    <m/>
    <m/>
    <m/>
    <m/>
    <m/>
    <m/>
    <m/>
    <m/>
    <m/>
    <m/>
    <s v="Normal"/>
    <s v="Normal"/>
    <n v="0"/>
    <n v="0"/>
  </r>
  <r>
    <d v="2024-11-18T00:00:00"/>
    <x v="19"/>
    <m/>
    <m/>
    <m/>
    <m/>
    <m/>
    <m/>
    <m/>
    <m/>
    <m/>
    <m/>
    <m/>
    <m/>
    <m/>
    <m/>
    <m/>
    <s v="Normal"/>
    <s v="Normal"/>
    <n v="0"/>
    <n v="0"/>
  </r>
  <r>
    <d v="2024-11-19T00:00:00"/>
    <x v="19"/>
    <m/>
    <m/>
    <m/>
    <m/>
    <m/>
    <m/>
    <m/>
    <m/>
    <m/>
    <m/>
    <m/>
    <m/>
    <m/>
    <m/>
    <m/>
    <s v="Normal"/>
    <s v="Normal"/>
    <n v="0"/>
    <n v="0"/>
  </r>
  <r>
    <d v="2024-11-20T00:00:00"/>
    <x v="19"/>
    <m/>
    <m/>
    <m/>
    <m/>
    <m/>
    <m/>
    <m/>
    <m/>
    <m/>
    <m/>
    <m/>
    <m/>
    <m/>
    <m/>
    <m/>
    <s v="Normal"/>
    <s v="Normal"/>
    <n v="0"/>
    <n v="0"/>
  </r>
  <r>
    <d v="2024-11-21T00:00:00"/>
    <x v="19"/>
    <m/>
    <m/>
    <m/>
    <m/>
    <m/>
    <m/>
    <m/>
    <m/>
    <m/>
    <m/>
    <m/>
    <m/>
    <m/>
    <m/>
    <m/>
    <s v="Normal"/>
    <s v="Normal"/>
    <n v="0"/>
    <n v="0"/>
  </r>
  <r>
    <d v="2024-11-22T00:00:00"/>
    <x v="19"/>
    <m/>
    <m/>
    <m/>
    <m/>
    <m/>
    <m/>
    <m/>
    <m/>
    <m/>
    <m/>
    <m/>
    <m/>
    <m/>
    <m/>
    <m/>
    <s v="Normal"/>
    <s v="Normal"/>
    <n v="0"/>
    <n v="0"/>
  </r>
  <r>
    <d v="2024-11-23T00:00:00"/>
    <x v="19"/>
    <m/>
    <m/>
    <m/>
    <m/>
    <m/>
    <m/>
    <m/>
    <m/>
    <m/>
    <m/>
    <m/>
    <m/>
    <m/>
    <m/>
    <m/>
    <s v="Normal"/>
    <s v="Normal"/>
    <n v="0"/>
    <n v="0"/>
  </r>
  <r>
    <d v="2024-11-24T00:00:00"/>
    <x v="19"/>
    <m/>
    <m/>
    <m/>
    <m/>
    <m/>
    <m/>
    <m/>
    <m/>
    <m/>
    <m/>
    <m/>
    <m/>
    <m/>
    <m/>
    <m/>
    <s v="Normal"/>
    <s v="Normal"/>
    <n v="0"/>
    <n v="0"/>
  </r>
  <r>
    <d v="2024-11-25T00:00:00"/>
    <x v="19"/>
    <m/>
    <m/>
    <m/>
    <m/>
    <m/>
    <m/>
    <m/>
    <m/>
    <m/>
    <m/>
    <m/>
    <m/>
    <m/>
    <m/>
    <m/>
    <s v="Normal"/>
    <s v="Normal"/>
    <n v="0"/>
    <n v="0"/>
  </r>
  <r>
    <d v="2024-11-26T00:00:00"/>
    <x v="19"/>
    <m/>
    <m/>
    <m/>
    <m/>
    <m/>
    <m/>
    <m/>
    <m/>
    <m/>
    <m/>
    <m/>
    <m/>
    <m/>
    <m/>
    <m/>
    <s v="Normal"/>
    <s v="Normal"/>
    <n v="0"/>
    <n v="0"/>
  </r>
  <r>
    <d v="2024-11-27T00:00:00"/>
    <x v="19"/>
    <m/>
    <m/>
    <m/>
    <m/>
    <m/>
    <m/>
    <m/>
    <m/>
    <m/>
    <m/>
    <m/>
    <m/>
    <m/>
    <m/>
    <m/>
    <s v="Normal"/>
    <s v="Normal"/>
    <n v="0"/>
    <n v="0"/>
  </r>
  <r>
    <d v="2024-11-28T00:00:00"/>
    <x v="19"/>
    <m/>
    <m/>
    <m/>
    <m/>
    <m/>
    <m/>
    <m/>
    <m/>
    <m/>
    <m/>
    <m/>
    <m/>
    <m/>
    <m/>
    <m/>
    <s v="Normal"/>
    <s v="Normal"/>
    <n v="0"/>
    <n v="0"/>
  </r>
  <r>
    <d v="2024-11-29T00:00:00"/>
    <x v="19"/>
    <m/>
    <m/>
    <m/>
    <m/>
    <m/>
    <m/>
    <m/>
    <m/>
    <m/>
    <m/>
    <m/>
    <m/>
    <m/>
    <m/>
    <m/>
    <s v="Normal"/>
    <s v="Normal"/>
    <n v="0"/>
    <n v="0"/>
  </r>
  <r>
    <d v="2024-11-30T00:00:00"/>
    <x v="19"/>
    <m/>
    <m/>
    <m/>
    <m/>
    <m/>
    <m/>
    <m/>
    <m/>
    <m/>
    <m/>
    <m/>
    <m/>
    <m/>
    <m/>
    <m/>
    <s v="Normal"/>
    <s v="Normal"/>
    <n v="0"/>
    <n v="0"/>
  </r>
  <r>
    <d v="2024-12-01T00:00:00"/>
    <x v="19"/>
    <m/>
    <m/>
    <m/>
    <m/>
    <m/>
    <m/>
    <m/>
    <m/>
    <m/>
    <m/>
    <m/>
    <m/>
    <m/>
    <m/>
    <m/>
    <s v="Normal"/>
    <s v="Normal"/>
    <n v="0"/>
    <n v="0"/>
  </r>
  <r>
    <d v="2024-12-02T00:00:00"/>
    <x v="19"/>
    <m/>
    <m/>
    <m/>
    <m/>
    <m/>
    <m/>
    <m/>
    <m/>
    <m/>
    <m/>
    <m/>
    <m/>
    <m/>
    <m/>
    <m/>
    <s v="Normal"/>
    <s v="Normal"/>
    <n v="0"/>
    <n v="0"/>
  </r>
  <r>
    <d v="2024-12-03T00:00:00"/>
    <x v="19"/>
    <m/>
    <m/>
    <m/>
    <m/>
    <m/>
    <m/>
    <m/>
    <m/>
    <m/>
    <m/>
    <m/>
    <m/>
    <m/>
    <m/>
    <m/>
    <s v="Normal"/>
    <s v="Normal"/>
    <n v="0"/>
    <n v="0"/>
  </r>
  <r>
    <d v="2024-12-04T00:00:00"/>
    <x v="19"/>
    <m/>
    <m/>
    <m/>
    <m/>
    <m/>
    <m/>
    <m/>
    <m/>
    <m/>
    <m/>
    <m/>
    <m/>
    <m/>
    <m/>
    <m/>
    <s v="Normal"/>
    <s v="Normal"/>
    <n v="0"/>
    <n v="0"/>
  </r>
  <r>
    <d v="2024-12-05T00:00:00"/>
    <x v="19"/>
    <m/>
    <m/>
    <m/>
    <m/>
    <m/>
    <m/>
    <m/>
    <m/>
    <m/>
    <m/>
    <m/>
    <m/>
    <m/>
    <m/>
    <m/>
    <s v="Normal"/>
    <s v="Normal"/>
    <n v="0"/>
    <n v="0"/>
  </r>
  <r>
    <d v="2024-12-06T00:00:00"/>
    <x v="19"/>
    <m/>
    <m/>
    <m/>
    <m/>
    <m/>
    <m/>
    <m/>
    <m/>
    <m/>
    <m/>
    <m/>
    <m/>
    <m/>
    <m/>
    <m/>
    <s v="Normal"/>
    <s v="Normal"/>
    <n v="0"/>
    <n v="0"/>
  </r>
  <r>
    <d v="2024-12-07T00:00:00"/>
    <x v="19"/>
    <m/>
    <m/>
    <m/>
    <m/>
    <m/>
    <m/>
    <m/>
    <m/>
    <m/>
    <m/>
    <m/>
    <m/>
    <m/>
    <m/>
    <m/>
    <s v="Normal"/>
    <s v="Normal"/>
    <n v="0"/>
    <n v="0"/>
  </r>
  <r>
    <d v="2024-12-08T00:00:00"/>
    <x v="19"/>
    <m/>
    <m/>
    <m/>
    <m/>
    <m/>
    <m/>
    <m/>
    <m/>
    <m/>
    <m/>
    <m/>
    <m/>
    <m/>
    <m/>
    <m/>
    <s v="Normal"/>
    <s v="Normal"/>
    <n v="0"/>
    <n v="0"/>
  </r>
  <r>
    <d v="2024-12-09T00:00:00"/>
    <x v="19"/>
    <m/>
    <m/>
    <m/>
    <m/>
    <m/>
    <m/>
    <m/>
    <m/>
    <m/>
    <m/>
    <m/>
    <m/>
    <m/>
    <m/>
    <m/>
    <s v="Normal"/>
    <s v="Normal"/>
    <n v="0"/>
    <n v="0"/>
  </r>
  <r>
    <d v="2024-12-10T00:00:00"/>
    <x v="19"/>
    <m/>
    <m/>
    <m/>
    <m/>
    <m/>
    <m/>
    <m/>
    <m/>
    <m/>
    <m/>
    <m/>
    <m/>
    <m/>
    <m/>
    <m/>
    <s v="Normal"/>
    <s v="Normal"/>
    <n v="0"/>
    <n v="0"/>
  </r>
  <r>
    <d v="2024-12-11T00:00:00"/>
    <x v="19"/>
    <m/>
    <m/>
    <m/>
    <m/>
    <m/>
    <m/>
    <m/>
    <m/>
    <m/>
    <m/>
    <m/>
    <m/>
    <m/>
    <m/>
    <m/>
    <s v="Normal"/>
    <s v="Normal"/>
    <n v="0"/>
    <n v="0"/>
  </r>
  <r>
    <d v="2024-12-12T00:00:00"/>
    <x v="19"/>
    <m/>
    <m/>
    <m/>
    <m/>
    <m/>
    <m/>
    <m/>
    <m/>
    <m/>
    <m/>
    <m/>
    <m/>
    <m/>
    <m/>
    <m/>
    <s v="Normal"/>
    <s v="Normal"/>
    <n v="0"/>
    <n v="0"/>
  </r>
  <r>
    <d v="2024-12-13T00:00:00"/>
    <x v="19"/>
    <m/>
    <m/>
    <m/>
    <m/>
    <m/>
    <m/>
    <m/>
    <m/>
    <m/>
    <m/>
    <m/>
    <m/>
    <m/>
    <m/>
    <m/>
    <s v="Normal"/>
    <s v="Normal"/>
    <n v="0"/>
    <n v="0"/>
  </r>
  <r>
    <d v="2024-12-14T00:00:00"/>
    <x v="19"/>
    <m/>
    <m/>
    <m/>
    <m/>
    <m/>
    <m/>
    <m/>
    <m/>
    <m/>
    <m/>
    <m/>
    <m/>
    <m/>
    <m/>
    <m/>
    <s v="Normal"/>
    <s v="Normal"/>
    <n v="0"/>
    <n v="0"/>
  </r>
  <r>
    <d v="2024-12-15T00:00:00"/>
    <x v="19"/>
    <m/>
    <m/>
    <m/>
    <m/>
    <m/>
    <m/>
    <m/>
    <m/>
    <m/>
    <m/>
    <m/>
    <m/>
    <m/>
    <m/>
    <m/>
    <s v="Normal"/>
    <s v="Normal"/>
    <n v="0"/>
    <n v="0"/>
  </r>
  <r>
    <d v="2024-12-16T00:00:00"/>
    <x v="19"/>
    <m/>
    <m/>
    <m/>
    <m/>
    <m/>
    <m/>
    <m/>
    <m/>
    <m/>
    <m/>
    <m/>
    <m/>
    <m/>
    <m/>
    <m/>
    <s v="Normal"/>
    <s v="Normal"/>
    <n v="0"/>
    <n v="0"/>
  </r>
  <r>
    <d v="2024-12-17T00:00:00"/>
    <x v="19"/>
    <m/>
    <m/>
    <m/>
    <m/>
    <m/>
    <m/>
    <m/>
    <m/>
    <m/>
    <m/>
    <m/>
    <m/>
    <m/>
    <m/>
    <m/>
    <s v="Normal"/>
    <s v="Normal"/>
    <n v="0"/>
    <n v="0"/>
  </r>
  <r>
    <d v="2024-12-18T00:00:00"/>
    <x v="19"/>
    <m/>
    <m/>
    <m/>
    <m/>
    <m/>
    <m/>
    <m/>
    <m/>
    <m/>
    <m/>
    <m/>
    <m/>
    <m/>
    <m/>
    <m/>
    <s v="Normal"/>
    <s v="Normal"/>
    <n v="0"/>
    <n v="0"/>
  </r>
  <r>
    <d v="2024-12-19T00:00:00"/>
    <x v="19"/>
    <m/>
    <m/>
    <m/>
    <m/>
    <m/>
    <m/>
    <m/>
    <m/>
    <m/>
    <m/>
    <m/>
    <m/>
    <m/>
    <m/>
    <m/>
    <s v="Normal"/>
    <s v="Normal"/>
    <n v="0"/>
    <n v="0"/>
  </r>
  <r>
    <d v="2024-12-20T00:00:00"/>
    <x v="19"/>
    <m/>
    <m/>
    <m/>
    <m/>
    <m/>
    <m/>
    <m/>
    <m/>
    <m/>
    <m/>
    <m/>
    <m/>
    <m/>
    <m/>
    <m/>
    <s v="Normal"/>
    <s v="Normal"/>
    <n v="0"/>
    <n v="0"/>
  </r>
  <r>
    <d v="2024-12-21T00:00:00"/>
    <x v="19"/>
    <m/>
    <m/>
    <m/>
    <m/>
    <m/>
    <m/>
    <m/>
    <m/>
    <m/>
    <m/>
    <m/>
    <m/>
    <m/>
    <m/>
    <m/>
    <s v="Normal"/>
    <s v="Normal"/>
    <n v="0"/>
    <n v="0"/>
  </r>
  <r>
    <d v="2024-12-22T00:00:00"/>
    <x v="19"/>
    <m/>
    <m/>
    <m/>
    <m/>
    <m/>
    <m/>
    <m/>
    <m/>
    <m/>
    <m/>
    <m/>
    <m/>
    <m/>
    <m/>
    <m/>
    <s v="Normal"/>
    <s v="Normal"/>
    <n v="0"/>
    <n v="0"/>
  </r>
  <r>
    <d v="2024-12-23T00:00:00"/>
    <x v="19"/>
    <m/>
    <m/>
    <m/>
    <m/>
    <m/>
    <m/>
    <m/>
    <m/>
    <m/>
    <m/>
    <m/>
    <m/>
    <m/>
    <m/>
    <m/>
    <s v="Normal"/>
    <s v="Normal"/>
    <n v="0"/>
    <n v="0"/>
  </r>
  <r>
    <d v="2024-12-24T00:00:00"/>
    <x v="19"/>
    <m/>
    <m/>
    <m/>
    <m/>
    <m/>
    <m/>
    <m/>
    <m/>
    <m/>
    <m/>
    <m/>
    <m/>
    <m/>
    <m/>
    <m/>
    <s v="Normal"/>
    <s v="Normal"/>
    <n v="0"/>
    <n v="0"/>
  </r>
  <r>
    <d v="2024-12-25T00:00:00"/>
    <x v="19"/>
    <m/>
    <m/>
    <m/>
    <m/>
    <m/>
    <m/>
    <m/>
    <m/>
    <m/>
    <m/>
    <m/>
    <m/>
    <m/>
    <m/>
    <m/>
    <s v="Normal"/>
    <s v="Normal"/>
    <n v="0"/>
    <n v="0"/>
  </r>
  <r>
    <d v="2024-12-26T00:00:00"/>
    <x v="19"/>
    <m/>
    <m/>
    <m/>
    <m/>
    <m/>
    <m/>
    <m/>
    <m/>
    <m/>
    <m/>
    <m/>
    <m/>
    <m/>
    <m/>
    <m/>
    <s v="Normal"/>
    <s v="Normal"/>
    <n v="0"/>
    <n v="0"/>
  </r>
  <r>
    <d v="2024-12-27T00:00:00"/>
    <x v="19"/>
    <m/>
    <m/>
    <m/>
    <m/>
    <m/>
    <m/>
    <m/>
    <m/>
    <m/>
    <m/>
    <m/>
    <m/>
    <m/>
    <m/>
    <m/>
    <s v="Normal"/>
    <s v="Normal"/>
    <n v="0"/>
    <n v="0"/>
  </r>
  <r>
    <d v="2024-12-28T00:00:00"/>
    <x v="19"/>
    <m/>
    <m/>
    <m/>
    <m/>
    <m/>
    <m/>
    <m/>
    <m/>
    <m/>
    <m/>
    <m/>
    <m/>
    <m/>
    <m/>
    <m/>
    <s v="Normal"/>
    <s v="Normal"/>
    <n v="0"/>
    <n v="0"/>
  </r>
  <r>
    <d v="2024-12-29T00:00:00"/>
    <x v="19"/>
    <m/>
    <m/>
    <m/>
    <m/>
    <m/>
    <m/>
    <m/>
    <m/>
    <m/>
    <m/>
    <m/>
    <m/>
    <m/>
    <m/>
    <m/>
    <s v="Normal"/>
    <s v="Normal"/>
    <n v="0"/>
    <n v="0"/>
  </r>
  <r>
    <d v="2024-12-30T00:00:00"/>
    <x v="19"/>
    <m/>
    <m/>
    <m/>
    <m/>
    <m/>
    <m/>
    <m/>
    <m/>
    <m/>
    <m/>
    <m/>
    <m/>
    <m/>
    <m/>
    <m/>
    <s v="Normal"/>
    <s v="Normal"/>
    <n v="0"/>
    <n v="0"/>
  </r>
  <r>
    <d v="2024-12-31T00:00:00"/>
    <x v="19"/>
    <m/>
    <m/>
    <m/>
    <m/>
    <m/>
    <m/>
    <m/>
    <m/>
    <m/>
    <m/>
    <m/>
    <m/>
    <m/>
    <m/>
    <m/>
    <s v="Normal"/>
    <s v="Normal"/>
    <n v="0"/>
    <n v="0"/>
  </r>
  <r>
    <d v="2025-01-01T00:00:00"/>
    <x v="19"/>
    <m/>
    <m/>
    <m/>
    <m/>
    <m/>
    <m/>
    <m/>
    <m/>
    <m/>
    <m/>
    <m/>
    <m/>
    <m/>
    <m/>
    <m/>
    <s v="Normal"/>
    <s v="Normal"/>
    <n v="0"/>
    <n v="0"/>
  </r>
  <r>
    <d v="2025-01-02T00:00:00"/>
    <x v="19"/>
    <m/>
    <m/>
    <m/>
    <m/>
    <m/>
    <m/>
    <m/>
    <m/>
    <m/>
    <m/>
    <m/>
    <m/>
    <m/>
    <m/>
    <m/>
    <s v="Normal"/>
    <s v="Normal"/>
    <n v="0"/>
    <n v="0"/>
  </r>
  <r>
    <d v="2025-01-03T00:00:00"/>
    <x v="19"/>
    <m/>
    <m/>
    <m/>
    <m/>
    <m/>
    <m/>
    <m/>
    <m/>
    <m/>
    <m/>
    <m/>
    <m/>
    <m/>
    <m/>
    <m/>
    <s v="Normal"/>
    <s v="Normal"/>
    <n v="0"/>
    <n v="0"/>
  </r>
  <r>
    <d v="2025-01-04T00:00:00"/>
    <x v="19"/>
    <m/>
    <m/>
    <m/>
    <m/>
    <m/>
    <m/>
    <m/>
    <m/>
    <m/>
    <m/>
    <m/>
    <m/>
    <m/>
    <m/>
    <m/>
    <s v="Normal"/>
    <s v="Normal"/>
    <n v="0"/>
    <n v="0"/>
  </r>
  <r>
    <d v="2025-01-05T00:00:00"/>
    <x v="19"/>
    <m/>
    <m/>
    <m/>
    <m/>
    <m/>
    <m/>
    <m/>
    <m/>
    <m/>
    <m/>
    <m/>
    <m/>
    <m/>
    <m/>
    <m/>
    <s v="Normal"/>
    <s v="Normal"/>
    <n v="0"/>
    <n v="0"/>
  </r>
  <r>
    <d v="2025-01-06T00:00:00"/>
    <x v="19"/>
    <m/>
    <m/>
    <m/>
    <m/>
    <m/>
    <m/>
    <m/>
    <m/>
    <m/>
    <m/>
    <m/>
    <m/>
    <m/>
    <m/>
    <m/>
    <s v="Normal"/>
    <s v="Normal"/>
    <n v="0"/>
    <n v="0"/>
  </r>
  <r>
    <d v="2025-01-07T00:00:00"/>
    <x v="19"/>
    <m/>
    <m/>
    <m/>
    <m/>
    <m/>
    <m/>
    <m/>
    <m/>
    <m/>
    <m/>
    <m/>
    <m/>
    <m/>
    <m/>
    <m/>
    <s v="Normal"/>
    <s v="Normal"/>
    <n v="0"/>
    <n v="0"/>
  </r>
  <r>
    <d v="2025-01-08T00:00:00"/>
    <x v="19"/>
    <m/>
    <m/>
    <m/>
    <m/>
    <m/>
    <m/>
    <m/>
    <m/>
    <m/>
    <m/>
    <m/>
    <m/>
    <m/>
    <m/>
    <m/>
    <s v="Normal"/>
    <s v="Normal"/>
    <n v="0"/>
    <n v="0"/>
  </r>
  <r>
    <d v="2025-01-09T00:00:00"/>
    <x v="19"/>
    <m/>
    <m/>
    <m/>
    <m/>
    <m/>
    <m/>
    <m/>
    <m/>
    <m/>
    <m/>
    <m/>
    <m/>
    <m/>
    <m/>
    <m/>
    <s v="Normal"/>
    <s v="Normal"/>
    <n v="0"/>
    <n v="0"/>
  </r>
  <r>
    <d v="2025-01-10T00:00:00"/>
    <x v="19"/>
    <m/>
    <m/>
    <m/>
    <m/>
    <m/>
    <m/>
    <m/>
    <m/>
    <m/>
    <m/>
    <m/>
    <m/>
    <m/>
    <m/>
    <m/>
    <s v="Normal"/>
    <s v="Normal"/>
    <n v="0"/>
    <n v="0"/>
  </r>
  <r>
    <d v="2025-01-11T00:00:00"/>
    <x v="19"/>
    <m/>
    <m/>
    <m/>
    <m/>
    <m/>
    <m/>
    <m/>
    <m/>
    <m/>
    <m/>
    <m/>
    <m/>
    <m/>
    <m/>
    <m/>
    <s v="Normal"/>
    <s v="Normal"/>
    <n v="0"/>
    <n v="0"/>
  </r>
  <r>
    <d v="2025-01-12T00:00:00"/>
    <x v="19"/>
    <m/>
    <m/>
    <m/>
    <m/>
    <m/>
    <m/>
    <m/>
    <m/>
    <m/>
    <m/>
    <m/>
    <m/>
    <m/>
    <m/>
    <m/>
    <s v="Normal"/>
    <s v="Normal"/>
    <n v="0"/>
    <n v="0"/>
  </r>
  <r>
    <d v="2025-01-13T00:00:00"/>
    <x v="19"/>
    <m/>
    <m/>
    <m/>
    <m/>
    <m/>
    <m/>
    <m/>
    <m/>
    <m/>
    <m/>
    <m/>
    <m/>
    <m/>
    <m/>
    <m/>
    <s v="Normal"/>
    <s v="Normal"/>
    <n v="0"/>
    <n v="0"/>
  </r>
  <r>
    <d v="2025-01-14T00:00:00"/>
    <x v="19"/>
    <m/>
    <m/>
    <m/>
    <m/>
    <m/>
    <m/>
    <m/>
    <m/>
    <m/>
    <m/>
    <m/>
    <m/>
    <m/>
    <m/>
    <m/>
    <s v="Normal"/>
    <s v="Normal"/>
    <n v="0"/>
    <n v="0"/>
  </r>
  <r>
    <d v="2025-01-15T00:00:00"/>
    <x v="19"/>
    <m/>
    <m/>
    <m/>
    <m/>
    <m/>
    <m/>
    <m/>
    <m/>
    <m/>
    <m/>
    <m/>
    <m/>
    <m/>
    <m/>
    <m/>
    <s v="Normal"/>
    <s v="Normal"/>
    <n v="0"/>
    <n v="0"/>
  </r>
  <r>
    <d v="2025-01-16T00:00:00"/>
    <x v="19"/>
    <m/>
    <m/>
    <m/>
    <m/>
    <m/>
    <m/>
    <m/>
    <m/>
    <m/>
    <m/>
    <m/>
    <m/>
    <m/>
    <m/>
    <m/>
    <s v="Normal"/>
    <s v="Normal"/>
    <n v="0"/>
    <n v="0"/>
  </r>
  <r>
    <d v="2025-01-17T00:00:00"/>
    <x v="19"/>
    <m/>
    <m/>
    <m/>
    <m/>
    <m/>
    <m/>
    <m/>
    <m/>
    <m/>
    <m/>
    <m/>
    <m/>
    <m/>
    <m/>
    <m/>
    <s v="Normal"/>
    <s v="Normal"/>
    <n v="0"/>
    <n v="0"/>
  </r>
  <r>
    <d v="2025-01-18T00:00:00"/>
    <x v="19"/>
    <m/>
    <m/>
    <m/>
    <m/>
    <m/>
    <m/>
    <m/>
    <m/>
    <m/>
    <m/>
    <m/>
    <m/>
    <m/>
    <m/>
    <m/>
    <s v="Normal"/>
    <s v="Normal"/>
    <n v="0"/>
    <n v="0"/>
  </r>
  <r>
    <d v="2025-01-19T00:00:00"/>
    <x v="19"/>
    <m/>
    <m/>
    <m/>
    <m/>
    <m/>
    <m/>
    <m/>
    <m/>
    <m/>
    <m/>
    <m/>
    <m/>
    <m/>
    <m/>
    <m/>
    <s v="Normal"/>
    <s v="Normal"/>
    <n v="0"/>
    <n v="0"/>
  </r>
  <r>
    <d v="2025-01-20T00:00:00"/>
    <x v="19"/>
    <m/>
    <m/>
    <m/>
    <m/>
    <m/>
    <m/>
    <m/>
    <m/>
    <m/>
    <m/>
    <m/>
    <m/>
    <m/>
    <m/>
    <m/>
    <s v="Normal"/>
    <s v="Normal"/>
    <n v="0"/>
    <n v="0"/>
  </r>
  <r>
    <d v="2025-01-21T00:00:00"/>
    <x v="19"/>
    <m/>
    <m/>
    <m/>
    <m/>
    <m/>
    <m/>
    <m/>
    <m/>
    <m/>
    <m/>
    <m/>
    <m/>
    <m/>
    <m/>
    <m/>
    <s v="Normal"/>
    <s v="Normal"/>
    <n v="0"/>
    <n v="0"/>
  </r>
  <r>
    <d v="2025-01-22T00:00:00"/>
    <x v="19"/>
    <m/>
    <m/>
    <m/>
    <m/>
    <m/>
    <m/>
    <m/>
    <m/>
    <m/>
    <m/>
    <m/>
    <m/>
    <m/>
    <m/>
    <m/>
    <s v="Normal"/>
    <s v="Normal"/>
    <n v="0"/>
    <n v="0"/>
  </r>
  <r>
    <d v="2025-01-23T00:00:00"/>
    <x v="19"/>
    <m/>
    <m/>
    <m/>
    <m/>
    <m/>
    <m/>
    <m/>
    <m/>
    <m/>
    <m/>
    <m/>
    <m/>
    <m/>
    <m/>
    <m/>
    <s v="Normal"/>
    <s v="Normal"/>
    <n v="0"/>
    <n v="0"/>
  </r>
  <r>
    <d v="2025-01-24T00:00:00"/>
    <x v="19"/>
    <m/>
    <m/>
    <m/>
    <m/>
    <m/>
    <m/>
    <m/>
    <m/>
    <m/>
    <m/>
    <m/>
    <m/>
    <m/>
    <m/>
    <m/>
    <s v="Normal"/>
    <s v="Normal"/>
    <n v="0"/>
    <n v="0"/>
  </r>
  <r>
    <d v="2025-01-25T00:00:00"/>
    <x v="19"/>
    <m/>
    <m/>
    <m/>
    <m/>
    <m/>
    <m/>
    <m/>
    <m/>
    <m/>
    <m/>
    <m/>
    <m/>
    <m/>
    <m/>
    <m/>
    <s v="Normal"/>
    <s v="Normal"/>
    <n v="0"/>
    <n v="0"/>
  </r>
  <r>
    <d v="2025-01-26T00:00:00"/>
    <x v="19"/>
    <m/>
    <m/>
    <m/>
    <m/>
    <m/>
    <m/>
    <m/>
    <m/>
    <m/>
    <m/>
    <m/>
    <m/>
    <m/>
    <m/>
    <m/>
    <s v="Normal"/>
    <s v="Normal"/>
    <n v="0"/>
    <n v="0"/>
  </r>
  <r>
    <d v="2025-01-27T00:00:00"/>
    <x v="19"/>
    <m/>
    <m/>
    <m/>
    <m/>
    <m/>
    <m/>
    <m/>
    <m/>
    <m/>
    <m/>
    <m/>
    <m/>
    <m/>
    <m/>
    <m/>
    <s v="Normal"/>
    <s v="Normal"/>
    <n v="0"/>
    <n v="0"/>
  </r>
  <r>
    <d v="2025-01-28T00:00:00"/>
    <x v="19"/>
    <m/>
    <m/>
    <m/>
    <m/>
    <m/>
    <m/>
    <m/>
    <m/>
    <m/>
    <m/>
    <m/>
    <m/>
    <m/>
    <m/>
    <m/>
    <s v="Normal"/>
    <s v="Normal"/>
    <n v="0"/>
    <n v="0"/>
  </r>
  <r>
    <d v="2025-01-29T00:00:00"/>
    <x v="19"/>
    <m/>
    <m/>
    <m/>
    <m/>
    <m/>
    <m/>
    <m/>
    <m/>
    <m/>
    <m/>
    <m/>
    <m/>
    <m/>
    <m/>
    <m/>
    <s v="Normal"/>
    <s v="Normal"/>
    <n v="0"/>
    <n v="0"/>
  </r>
  <r>
    <d v="2025-01-30T00:00:00"/>
    <x v="19"/>
    <m/>
    <m/>
    <m/>
    <m/>
    <m/>
    <m/>
    <m/>
    <m/>
    <m/>
    <m/>
    <m/>
    <m/>
    <m/>
    <m/>
    <m/>
    <s v="Normal"/>
    <s v="Normal"/>
    <n v="0"/>
    <n v="0"/>
  </r>
  <r>
    <d v="2025-01-31T00:00:00"/>
    <x v="19"/>
    <m/>
    <m/>
    <m/>
    <m/>
    <m/>
    <m/>
    <m/>
    <m/>
    <m/>
    <m/>
    <m/>
    <m/>
    <m/>
    <m/>
    <m/>
    <s v="Normal"/>
    <s v="Normal"/>
    <n v="0"/>
    <n v="0"/>
  </r>
  <r>
    <d v="2025-02-01T00:00:00"/>
    <x v="19"/>
    <m/>
    <m/>
    <m/>
    <m/>
    <m/>
    <m/>
    <m/>
    <m/>
    <m/>
    <m/>
    <m/>
    <m/>
    <m/>
    <m/>
    <m/>
    <s v="Normal"/>
    <s v="Normal"/>
    <n v="0"/>
    <n v="0"/>
  </r>
  <r>
    <d v="2025-02-02T00:00:00"/>
    <x v="19"/>
    <m/>
    <m/>
    <m/>
    <m/>
    <m/>
    <m/>
    <m/>
    <m/>
    <m/>
    <m/>
    <m/>
    <m/>
    <m/>
    <m/>
    <m/>
    <s v="Normal"/>
    <s v="Normal"/>
    <n v="0"/>
    <n v="0"/>
  </r>
  <r>
    <d v="2025-02-03T00:00:00"/>
    <x v="19"/>
    <m/>
    <m/>
    <m/>
    <m/>
    <m/>
    <m/>
    <m/>
    <m/>
    <m/>
    <m/>
    <m/>
    <m/>
    <m/>
    <m/>
    <m/>
    <s v="Normal"/>
    <s v="Normal"/>
    <n v="0"/>
    <n v="0"/>
  </r>
  <r>
    <d v="2025-02-04T00:00:00"/>
    <x v="19"/>
    <m/>
    <m/>
    <m/>
    <m/>
    <m/>
    <m/>
    <m/>
    <m/>
    <m/>
    <m/>
    <m/>
    <m/>
    <m/>
    <m/>
    <m/>
    <s v="Normal"/>
    <s v="Normal"/>
    <n v="0"/>
    <n v="0"/>
  </r>
  <r>
    <d v="2025-02-05T00:00:00"/>
    <x v="19"/>
    <m/>
    <m/>
    <m/>
    <m/>
    <m/>
    <m/>
    <m/>
    <m/>
    <m/>
    <m/>
    <m/>
    <m/>
    <m/>
    <m/>
    <m/>
    <s v="Normal"/>
    <s v="Normal"/>
    <n v="0"/>
    <n v="0"/>
  </r>
  <r>
    <d v="2025-02-06T00:00:00"/>
    <x v="19"/>
    <m/>
    <m/>
    <m/>
    <m/>
    <m/>
    <m/>
    <m/>
    <m/>
    <m/>
    <m/>
    <m/>
    <m/>
    <m/>
    <m/>
    <m/>
    <s v="Normal"/>
    <s v="Normal"/>
    <n v="0"/>
    <n v="0"/>
  </r>
  <r>
    <d v="2025-02-07T00:00:00"/>
    <x v="19"/>
    <m/>
    <m/>
    <m/>
    <m/>
    <m/>
    <m/>
    <m/>
    <m/>
    <m/>
    <m/>
    <m/>
    <m/>
    <m/>
    <m/>
    <m/>
    <s v="Normal"/>
    <s v="Normal"/>
    <n v="0"/>
    <n v="0"/>
  </r>
  <r>
    <d v="2025-02-08T00:00:00"/>
    <x v="19"/>
    <m/>
    <m/>
    <m/>
    <m/>
    <m/>
    <m/>
    <m/>
    <m/>
    <m/>
    <m/>
    <m/>
    <m/>
    <m/>
    <m/>
    <m/>
    <s v="Normal"/>
    <s v="Normal"/>
    <n v="0"/>
    <n v="0"/>
  </r>
  <r>
    <d v="2025-02-09T00:00:00"/>
    <x v="19"/>
    <m/>
    <m/>
    <m/>
    <m/>
    <m/>
    <m/>
    <m/>
    <m/>
    <m/>
    <m/>
    <m/>
    <m/>
    <m/>
    <m/>
    <m/>
    <s v="Normal"/>
    <s v="Normal"/>
    <n v="0"/>
    <n v="0"/>
  </r>
  <r>
    <d v="2025-02-10T00:00:00"/>
    <x v="19"/>
    <m/>
    <m/>
    <m/>
    <m/>
    <m/>
    <m/>
    <m/>
    <m/>
    <m/>
    <m/>
    <m/>
    <m/>
    <m/>
    <m/>
    <m/>
    <s v="Normal"/>
    <s v="Normal"/>
    <n v="0"/>
    <n v="0"/>
  </r>
  <r>
    <d v="2025-02-11T00:00:00"/>
    <x v="19"/>
    <m/>
    <m/>
    <m/>
    <m/>
    <m/>
    <m/>
    <m/>
    <m/>
    <m/>
    <m/>
    <m/>
    <m/>
    <m/>
    <m/>
    <m/>
    <s v="Normal"/>
    <s v="Normal"/>
    <n v="0"/>
    <n v="0"/>
  </r>
  <r>
    <d v="2025-02-12T00:00:00"/>
    <x v="19"/>
    <m/>
    <m/>
    <m/>
    <m/>
    <m/>
    <m/>
    <m/>
    <m/>
    <m/>
    <m/>
    <m/>
    <m/>
    <m/>
    <m/>
    <m/>
    <s v="Normal"/>
    <s v="Normal"/>
    <n v="0"/>
    <n v="0"/>
  </r>
  <r>
    <d v="2025-02-13T00:00:00"/>
    <x v="19"/>
    <m/>
    <m/>
    <m/>
    <m/>
    <m/>
    <m/>
    <m/>
    <m/>
    <m/>
    <m/>
    <m/>
    <m/>
    <m/>
    <m/>
    <m/>
    <s v="Normal"/>
    <s v="Normal"/>
    <n v="0"/>
    <n v="0"/>
  </r>
  <r>
    <d v="2025-02-14T00:00:00"/>
    <x v="19"/>
    <m/>
    <m/>
    <m/>
    <m/>
    <m/>
    <m/>
    <m/>
    <m/>
    <m/>
    <m/>
    <m/>
    <m/>
    <m/>
    <m/>
    <m/>
    <s v="Normal"/>
    <s v="Normal"/>
    <n v="0"/>
    <n v="0"/>
  </r>
  <r>
    <d v="2025-02-15T00:00:00"/>
    <x v="19"/>
    <m/>
    <m/>
    <m/>
    <m/>
    <m/>
    <m/>
    <m/>
    <m/>
    <m/>
    <m/>
    <m/>
    <m/>
    <m/>
    <m/>
    <m/>
    <s v="Normal"/>
    <s v="Normal"/>
    <n v="0"/>
    <n v="0"/>
  </r>
  <r>
    <d v="2025-02-16T00:00:00"/>
    <x v="19"/>
    <m/>
    <m/>
    <m/>
    <m/>
    <m/>
    <m/>
    <m/>
    <m/>
    <m/>
    <m/>
    <m/>
    <m/>
    <m/>
    <m/>
    <m/>
    <s v="Normal"/>
    <s v="Normal"/>
    <n v="0"/>
    <n v="0"/>
  </r>
  <r>
    <d v="2025-02-17T00:00:00"/>
    <x v="19"/>
    <m/>
    <m/>
    <m/>
    <m/>
    <m/>
    <m/>
    <m/>
    <m/>
    <m/>
    <m/>
    <m/>
    <m/>
    <m/>
    <m/>
    <m/>
    <s v="Normal"/>
    <s v="Normal"/>
    <n v="0"/>
    <n v="0"/>
  </r>
  <r>
    <d v="2025-02-18T00:00:00"/>
    <x v="19"/>
    <m/>
    <m/>
    <m/>
    <m/>
    <m/>
    <m/>
    <m/>
    <m/>
    <m/>
    <m/>
    <m/>
    <m/>
    <m/>
    <m/>
    <m/>
    <s v="Normal"/>
    <s v="Normal"/>
    <n v="0"/>
    <n v="0"/>
  </r>
  <r>
    <d v="2025-02-19T00:00:00"/>
    <x v="19"/>
    <m/>
    <m/>
    <m/>
    <m/>
    <m/>
    <m/>
    <m/>
    <m/>
    <m/>
    <m/>
    <m/>
    <m/>
    <m/>
    <m/>
    <m/>
    <s v="Normal"/>
    <s v="Normal"/>
    <n v="0"/>
    <n v="0"/>
  </r>
  <r>
    <d v="2025-02-20T00:00:00"/>
    <x v="19"/>
    <m/>
    <m/>
    <m/>
    <m/>
    <m/>
    <m/>
    <m/>
    <m/>
    <m/>
    <m/>
    <m/>
    <m/>
    <m/>
    <m/>
    <m/>
    <s v="Normal"/>
    <s v="Normal"/>
    <n v="0"/>
    <n v="0"/>
  </r>
  <r>
    <d v="2025-02-21T00:00:00"/>
    <x v="19"/>
    <m/>
    <m/>
    <m/>
    <m/>
    <m/>
    <m/>
    <m/>
    <m/>
    <m/>
    <m/>
    <m/>
    <m/>
    <m/>
    <m/>
    <m/>
    <s v="Normal"/>
    <s v="Normal"/>
    <n v="0"/>
    <n v="0"/>
  </r>
  <r>
    <d v="2025-02-22T00:00:00"/>
    <x v="19"/>
    <m/>
    <m/>
    <m/>
    <m/>
    <m/>
    <m/>
    <m/>
    <m/>
    <m/>
    <m/>
    <m/>
    <m/>
    <m/>
    <m/>
    <m/>
    <s v="Normal"/>
    <s v="Normal"/>
    <n v="0"/>
    <n v="0"/>
  </r>
  <r>
    <d v="2025-02-23T00:00:00"/>
    <x v="19"/>
    <m/>
    <m/>
    <m/>
    <m/>
    <m/>
    <m/>
    <m/>
    <m/>
    <m/>
    <m/>
    <m/>
    <m/>
    <m/>
    <m/>
    <m/>
    <s v="Normal"/>
    <s v="Normal"/>
    <n v="0"/>
    <n v="0"/>
  </r>
  <r>
    <d v="2025-02-24T00:00:00"/>
    <x v="19"/>
    <m/>
    <m/>
    <m/>
    <m/>
    <m/>
    <m/>
    <m/>
    <m/>
    <m/>
    <m/>
    <m/>
    <m/>
    <m/>
    <m/>
    <m/>
    <s v="Normal"/>
    <s v="Normal"/>
    <n v="0"/>
    <n v="0"/>
  </r>
  <r>
    <d v="2025-02-25T00:00:00"/>
    <x v="19"/>
    <m/>
    <m/>
    <m/>
    <m/>
    <m/>
    <m/>
    <m/>
    <m/>
    <m/>
    <m/>
    <m/>
    <m/>
    <m/>
    <m/>
    <m/>
    <s v="Normal"/>
    <s v="Normal"/>
    <n v="0"/>
    <n v="0"/>
  </r>
  <r>
    <d v="2025-02-26T00:00:00"/>
    <x v="19"/>
    <m/>
    <m/>
    <m/>
    <m/>
    <m/>
    <m/>
    <m/>
    <m/>
    <m/>
    <m/>
    <m/>
    <m/>
    <m/>
    <m/>
    <m/>
    <s v="Normal"/>
    <s v="Normal"/>
    <n v="0"/>
    <n v="0"/>
  </r>
  <r>
    <d v="2025-02-27T00:00:00"/>
    <x v="19"/>
    <m/>
    <m/>
    <m/>
    <m/>
    <m/>
    <m/>
    <m/>
    <m/>
    <m/>
    <m/>
    <m/>
    <m/>
    <m/>
    <m/>
    <m/>
    <s v="Normal"/>
    <s v="Normal"/>
    <n v="0"/>
    <n v="0"/>
  </r>
  <r>
    <d v="2025-02-28T00:00:00"/>
    <x v="19"/>
    <m/>
    <m/>
    <m/>
    <m/>
    <m/>
    <m/>
    <m/>
    <m/>
    <m/>
    <m/>
    <m/>
    <m/>
    <m/>
    <m/>
    <m/>
    <s v="Normal"/>
    <s v="Normal"/>
    <n v="0"/>
    <n v="0"/>
  </r>
  <r>
    <d v="2025-03-01T00:00:00"/>
    <x v="19"/>
    <m/>
    <m/>
    <m/>
    <m/>
    <m/>
    <m/>
    <m/>
    <m/>
    <m/>
    <m/>
    <m/>
    <m/>
    <m/>
    <m/>
    <m/>
    <s v="Normal"/>
    <s v="Normal"/>
    <n v="0"/>
    <n v="0"/>
  </r>
  <r>
    <d v="2025-03-02T00:00:00"/>
    <x v="19"/>
    <m/>
    <m/>
    <m/>
    <m/>
    <m/>
    <m/>
    <m/>
    <m/>
    <m/>
    <m/>
    <m/>
    <m/>
    <m/>
    <m/>
    <m/>
    <s v="Normal"/>
    <s v="Normal"/>
    <n v="0"/>
    <n v="0"/>
  </r>
  <r>
    <d v="2025-03-03T00:00:00"/>
    <x v="19"/>
    <m/>
    <m/>
    <m/>
    <m/>
    <m/>
    <m/>
    <m/>
    <m/>
    <m/>
    <m/>
    <m/>
    <m/>
    <m/>
    <m/>
    <m/>
    <s v="Normal"/>
    <s v="Normal"/>
    <n v="0"/>
    <n v="0"/>
  </r>
  <r>
    <d v="2025-03-04T00:00:00"/>
    <x v="19"/>
    <m/>
    <m/>
    <m/>
    <m/>
    <m/>
    <m/>
    <m/>
    <m/>
    <m/>
    <m/>
    <m/>
    <m/>
    <m/>
    <m/>
    <m/>
    <s v="Normal"/>
    <s v="Normal"/>
    <n v="0"/>
    <n v="0"/>
  </r>
  <r>
    <d v="2025-03-05T00:00:00"/>
    <x v="19"/>
    <m/>
    <m/>
    <m/>
    <m/>
    <m/>
    <m/>
    <m/>
    <m/>
    <m/>
    <m/>
    <m/>
    <m/>
    <m/>
    <m/>
    <m/>
    <s v="Normal"/>
    <s v="Normal"/>
    <n v="0"/>
    <n v="0"/>
  </r>
  <r>
    <d v="2025-03-06T00:00:00"/>
    <x v="19"/>
    <m/>
    <m/>
    <m/>
    <m/>
    <m/>
    <m/>
    <m/>
    <m/>
    <m/>
    <m/>
    <m/>
    <m/>
    <m/>
    <m/>
    <m/>
    <s v="Normal"/>
    <s v="Normal"/>
    <n v="0"/>
    <n v="0"/>
  </r>
  <r>
    <d v="2025-03-07T00:00:00"/>
    <x v="19"/>
    <m/>
    <m/>
    <m/>
    <m/>
    <m/>
    <m/>
    <m/>
    <m/>
    <m/>
    <m/>
    <m/>
    <m/>
    <m/>
    <m/>
    <m/>
    <s v="Normal"/>
    <s v="Normal"/>
    <n v="0"/>
    <n v="0"/>
  </r>
  <r>
    <d v="2025-03-08T00:00:00"/>
    <x v="19"/>
    <m/>
    <m/>
    <m/>
    <m/>
    <m/>
    <m/>
    <m/>
    <m/>
    <m/>
    <m/>
    <m/>
    <m/>
    <m/>
    <m/>
    <m/>
    <s v="Normal"/>
    <s v="Normal"/>
    <n v="0"/>
    <n v="0"/>
  </r>
  <r>
    <d v="2025-03-09T00:00:00"/>
    <x v="19"/>
    <m/>
    <m/>
    <m/>
    <m/>
    <m/>
    <m/>
    <m/>
    <m/>
    <m/>
    <m/>
    <m/>
    <m/>
    <m/>
    <m/>
    <m/>
    <s v="Normal"/>
    <s v="Normal"/>
    <n v="0"/>
    <n v="0"/>
  </r>
  <r>
    <d v="2025-03-10T00:00:00"/>
    <x v="19"/>
    <m/>
    <m/>
    <m/>
    <m/>
    <m/>
    <m/>
    <m/>
    <m/>
    <m/>
    <m/>
    <m/>
    <m/>
    <m/>
    <m/>
    <m/>
    <s v="Normal"/>
    <s v="Normal"/>
    <n v="0"/>
    <n v="0"/>
  </r>
  <r>
    <d v="2025-03-11T00:00:00"/>
    <x v="19"/>
    <m/>
    <m/>
    <m/>
    <m/>
    <m/>
    <m/>
    <m/>
    <m/>
    <m/>
    <m/>
    <m/>
    <m/>
    <m/>
    <m/>
    <m/>
    <s v="Normal"/>
    <s v="Normal"/>
    <n v="0"/>
    <n v="0"/>
  </r>
  <r>
    <d v="2025-03-12T00:00:00"/>
    <x v="19"/>
    <m/>
    <m/>
    <m/>
    <m/>
    <m/>
    <m/>
    <m/>
    <m/>
    <m/>
    <m/>
    <m/>
    <m/>
    <m/>
    <m/>
    <m/>
    <s v="Normal"/>
    <s v="Normal"/>
    <n v="0"/>
    <n v="0"/>
  </r>
  <r>
    <d v="2025-03-13T00:00:00"/>
    <x v="19"/>
    <m/>
    <m/>
    <m/>
    <m/>
    <m/>
    <m/>
    <m/>
    <m/>
    <m/>
    <m/>
    <m/>
    <m/>
    <m/>
    <m/>
    <m/>
    <s v="Normal"/>
    <s v="Normal"/>
    <n v="0"/>
    <n v="0"/>
  </r>
  <r>
    <d v="2025-03-14T00:00:00"/>
    <x v="19"/>
    <m/>
    <m/>
    <m/>
    <m/>
    <m/>
    <m/>
    <m/>
    <m/>
    <m/>
    <m/>
    <m/>
    <m/>
    <m/>
    <m/>
    <m/>
    <s v="Normal"/>
    <s v="Normal"/>
    <n v="0"/>
    <n v="0"/>
  </r>
  <r>
    <d v="2025-03-15T00:00:00"/>
    <x v="19"/>
    <m/>
    <m/>
    <m/>
    <m/>
    <m/>
    <m/>
    <m/>
    <m/>
    <m/>
    <m/>
    <m/>
    <m/>
    <m/>
    <m/>
    <m/>
    <s v="Normal"/>
    <s v="Normal"/>
    <n v="0"/>
    <n v="0"/>
  </r>
  <r>
    <d v="2025-03-16T00:00:00"/>
    <x v="19"/>
    <m/>
    <m/>
    <m/>
    <m/>
    <m/>
    <m/>
    <m/>
    <m/>
    <m/>
    <m/>
    <m/>
    <m/>
    <m/>
    <m/>
    <m/>
    <s v="Normal"/>
    <s v="Normal"/>
    <n v="0"/>
    <n v="0"/>
  </r>
  <r>
    <d v="2025-03-17T00:00:00"/>
    <x v="19"/>
    <m/>
    <m/>
    <m/>
    <m/>
    <m/>
    <m/>
    <m/>
    <m/>
    <m/>
    <m/>
    <m/>
    <m/>
    <m/>
    <m/>
    <m/>
    <s v="Normal"/>
    <s v="Normal"/>
    <n v="0"/>
    <n v="0"/>
  </r>
  <r>
    <d v="2025-03-18T00:00:00"/>
    <x v="19"/>
    <m/>
    <m/>
    <m/>
    <m/>
    <m/>
    <m/>
    <m/>
    <m/>
    <m/>
    <m/>
    <m/>
    <m/>
    <m/>
    <m/>
    <m/>
    <s v="Normal"/>
    <s v="Normal"/>
    <n v="0"/>
    <n v="0"/>
  </r>
  <r>
    <d v="2025-03-19T00:00:00"/>
    <x v="19"/>
    <m/>
    <m/>
    <m/>
    <m/>
    <m/>
    <m/>
    <m/>
    <m/>
    <m/>
    <m/>
    <m/>
    <m/>
    <m/>
    <m/>
    <m/>
    <s v="Normal"/>
    <s v="Normal"/>
    <n v="0"/>
    <n v="0"/>
  </r>
  <r>
    <d v="2025-03-20T00:00:00"/>
    <x v="19"/>
    <m/>
    <m/>
    <m/>
    <m/>
    <m/>
    <m/>
    <m/>
    <m/>
    <m/>
    <m/>
    <m/>
    <m/>
    <m/>
    <m/>
    <m/>
    <s v="Normal"/>
    <s v="Normal"/>
    <n v="0"/>
    <n v="0"/>
  </r>
  <r>
    <d v="2025-03-21T00:00:00"/>
    <x v="19"/>
    <m/>
    <m/>
    <m/>
    <m/>
    <m/>
    <m/>
    <m/>
    <m/>
    <m/>
    <m/>
    <m/>
    <m/>
    <m/>
    <m/>
    <m/>
    <s v="Normal"/>
    <s v="Normal"/>
    <n v="0"/>
    <n v="0"/>
  </r>
  <r>
    <d v="2025-03-22T00:00:00"/>
    <x v="19"/>
    <m/>
    <m/>
    <m/>
    <m/>
    <m/>
    <m/>
    <m/>
    <m/>
    <m/>
    <m/>
    <m/>
    <m/>
    <m/>
    <m/>
    <m/>
    <s v="Normal"/>
    <s v="Normal"/>
    <n v="0"/>
    <n v="0"/>
  </r>
  <r>
    <d v="2025-03-23T00:00:00"/>
    <x v="19"/>
    <m/>
    <m/>
    <m/>
    <m/>
    <m/>
    <m/>
    <m/>
    <m/>
    <m/>
    <m/>
    <m/>
    <m/>
    <m/>
    <m/>
    <m/>
    <s v="Normal"/>
    <s v="Normal"/>
    <n v="0"/>
    <n v="0"/>
  </r>
  <r>
    <d v="2025-03-24T00:00:00"/>
    <x v="19"/>
    <m/>
    <m/>
    <m/>
    <m/>
    <m/>
    <m/>
    <m/>
    <m/>
    <m/>
    <m/>
    <m/>
    <m/>
    <m/>
    <m/>
    <m/>
    <s v="Normal"/>
    <s v="Normal"/>
    <n v="0"/>
    <n v="0"/>
  </r>
  <r>
    <d v="2025-03-25T00:00:00"/>
    <x v="19"/>
    <m/>
    <m/>
    <m/>
    <m/>
    <m/>
    <m/>
    <m/>
    <m/>
    <m/>
    <m/>
    <m/>
    <m/>
    <m/>
    <m/>
    <m/>
    <s v="Normal"/>
    <s v="Normal"/>
    <n v="0"/>
    <n v="0"/>
  </r>
  <r>
    <d v="2025-03-26T00:00:00"/>
    <x v="19"/>
    <m/>
    <m/>
    <m/>
    <m/>
    <m/>
    <m/>
    <m/>
    <m/>
    <m/>
    <m/>
    <m/>
    <m/>
    <m/>
    <m/>
    <m/>
    <s v="Normal"/>
    <s v="Normal"/>
    <n v="0"/>
    <n v="0"/>
  </r>
  <r>
    <d v="2025-03-27T00:00:00"/>
    <x v="19"/>
    <m/>
    <m/>
    <m/>
    <m/>
    <m/>
    <m/>
    <m/>
    <m/>
    <m/>
    <m/>
    <m/>
    <m/>
    <m/>
    <m/>
    <m/>
    <s v="Normal"/>
    <s v="Normal"/>
    <n v="0"/>
    <n v="0"/>
  </r>
  <r>
    <d v="2025-03-28T00:00:00"/>
    <x v="19"/>
    <m/>
    <m/>
    <m/>
    <m/>
    <m/>
    <m/>
    <m/>
    <m/>
    <m/>
    <m/>
    <m/>
    <m/>
    <m/>
    <m/>
    <m/>
    <s v="Normal"/>
    <s v="Normal"/>
    <n v="0"/>
    <n v="0"/>
  </r>
  <r>
    <d v="2025-03-29T00:00:00"/>
    <x v="19"/>
    <m/>
    <m/>
    <m/>
    <m/>
    <m/>
    <m/>
    <m/>
    <m/>
    <m/>
    <m/>
    <m/>
    <m/>
    <m/>
    <m/>
    <m/>
    <s v="Normal"/>
    <s v="Normal"/>
    <n v="0"/>
    <n v="0"/>
  </r>
  <r>
    <d v="2025-03-30T00:00:00"/>
    <x v="19"/>
    <m/>
    <m/>
    <m/>
    <m/>
    <m/>
    <m/>
    <m/>
    <m/>
    <m/>
    <m/>
    <m/>
    <m/>
    <m/>
    <m/>
    <m/>
    <s v="Normal"/>
    <s v="Normal"/>
    <n v="0"/>
    <n v="0"/>
  </r>
  <r>
    <d v="2025-03-31T00:00:00"/>
    <x v="19"/>
    <m/>
    <m/>
    <m/>
    <m/>
    <m/>
    <m/>
    <m/>
    <m/>
    <m/>
    <m/>
    <m/>
    <m/>
    <m/>
    <m/>
    <m/>
    <s v="Normal"/>
    <s v="Norma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CBC42-64B4-49B3-B1E1-137F0FDF62F7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E14:AI34" firstHeaderRow="0" firstDataRow="1" firstDataCol="1"/>
  <pivotFields count="22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20"/>
        <item x="18"/>
        <item h="1" x="19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L" fld="10" subtotal="average" baseField="1" baseItem="6"/>
    <dataField name="Sum of Calls Off" fld="4" baseField="0" baseItem="0"/>
    <dataField name="Sum of Calls Ans" fld="5" baseField="0" baseItem="0"/>
    <dataField name="Average of AU" fld="13" subtotal="average" baseField="1" baseItem="3" numFmtId="10"/>
  </dataFields>
  <formats count="9">
    <format dxfId="443">
      <pivotArea collapsedLevelsAreSubtotals="1" fieldPosition="0">
        <references count="2">
          <reference field="4294967294" count="1" selected="0">
            <x v="0"/>
          </reference>
          <reference field="1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442">
      <pivotArea type="all" dataOnly="0" outline="0" fieldPosition="0"/>
    </format>
    <format dxfId="441">
      <pivotArea outline="0" collapsedLevelsAreSubtotals="1" fieldPosition="0"/>
    </format>
    <format dxfId="440">
      <pivotArea field="1" type="button" dataOnly="0" labelOnly="1" outline="0" axis="axisRow" fieldPosition="0"/>
    </format>
    <format dxfId="439">
      <pivotArea dataOnly="0" labelOnly="1" fieldPosition="0">
        <references count="1">
          <reference field="1" count="0"/>
        </references>
      </pivotArea>
    </format>
    <format dxfId="438">
      <pivotArea dataOnly="0" labelOnly="1" grandRow="1" outline="0" fieldPosition="0"/>
    </format>
    <format dxfId="4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6">
      <pivotArea collapsedLevelsAreSubtotals="1" fieldPosition="0">
        <references count="2">
          <reference field="4294967294" count="1" selected="0">
            <x v="0"/>
          </reference>
          <reference field="1" count="1">
            <x v="19"/>
          </reference>
        </references>
      </pivotArea>
    </format>
    <format dxfId="43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1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A9570-CBE4-4015-97F8-BF8A36BDBA36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L16:AP36" firstHeaderRow="0" firstDataRow="1" firstDataCol="1"/>
  <pivotFields count="22">
    <pivotField numFmtId="16" showAll="0"/>
    <pivotField axis="axisRow" numFmtI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numFmtId="10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SL" fld="10" subtotal="average" baseField="1" baseItem="0"/>
    <dataField name="Average of AU" fld="13" subtotal="average" baseField="1" baseItem="6"/>
  </dataFields>
  <formats count="3">
    <format dxfId="405">
      <pivotArea collapsedLevelsAreSubtotals="1" fieldPosition="0">
        <references count="2">
          <reference field="4294967294" count="1" selected="0">
            <x v="2"/>
          </reference>
          <reference field="1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404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  <format dxfId="403">
      <pivotArea field="1" grandRow="1" outline="0" collapsedLevelsAreSubtotals="1" axis="axisRow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DA28B-C0E1-479E-BB3A-CA66C213152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M12:AQ32" firstHeaderRow="0" firstDataRow="1" firstDataCol="1"/>
  <pivotFields count="22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SL" fld="10" subtotal="average" baseField="1" baseItem="0"/>
    <dataField name="Average of AU" fld="13" subtotal="average" baseField="1" baseItem="3"/>
  </dataFields>
  <formats count="3">
    <format dxfId="357">
      <pivotArea collapsedLevelsAreSubtotals="1" fieldPosition="0">
        <references count="2">
          <reference field="4294967294" count="1" selected="0">
            <x v="2"/>
          </reference>
          <reference field="1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356">
      <pivotArea collapsedLevelsAreSubtotals="1" fieldPosition="0">
        <references count="2">
          <reference field="4294967294" count="1" selected="0">
            <x v="3"/>
          </reference>
          <reference field="1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355">
      <pivotArea field="1" grandRow="1" outline="0" collapsedLevelsAreSubtotals="1" axis="axisRow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979E4-AD7E-45E6-8781-631EFF9C8B28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M22:AQ42" firstHeaderRow="0" firstDataRow="1" firstDataCol="1"/>
  <pivotFields count="22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SL" fld="10" subtotal="average" baseField="1" baseItem="7" numFmtId="10"/>
    <dataField name="Average of AU" fld="13" subtotal="average" baseField="1" baseItem="7" numFmtId="10"/>
  </dataFields>
  <formats count="1">
    <format dxfId="35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80919-FFE8-4FE9-9ADD-C4DED09A638A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O8:AS28" firstHeaderRow="0" firstDataRow="1" firstDataCol="1"/>
  <pivotFields count="21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1" baseItem="5"/>
    <dataField name="Average of SL" fld="10" subtotal="average" baseField="1" baseItem="5" numFmtId="10"/>
    <dataField name="Average of AU" fld="13" subtotal="average" baseField="1" baseItem="5" numFmtId="10"/>
  </dataFields>
  <formats count="1">
    <format dxfId="30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3D042-5D7E-4098-A0B8-05EAD7F6511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S8:AW28" firstHeaderRow="0" firstDataRow="1" firstDataCol="1"/>
  <pivotFields count="21">
    <pivotField numFmtId="16"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numFmtId="10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AU" fld="13" subtotal="average" baseField="1" baseItem="0" numFmtId="10"/>
    <dataField name="Average of SL" fld="10" subtotal="average" baseField="1" baseItem="0" numFmtId="10"/>
  </dataFields>
  <formats count="1">
    <format dxfId="25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487" dataDxfId="485" headerRowBorderDxfId="486" tableBorderDxfId="484" totalsRowBorderDxfId="483">
  <autoFilter ref="A3:H12" xr:uid="{521D8988-7BE6-4CED-BC60-37DB2712FAE0}"/>
  <tableColumns count="8">
    <tableColumn id="1" xr3:uid="{ABF25065-B947-4726-9538-F4FA1237CC05}" name="KPIs" dataDxfId="482"/>
    <tableColumn id="2" xr3:uid="{01670FA7-34AE-4FF9-AD72-8B46DD3D10C1}" name="Targets" dataDxfId="481"/>
    <tableColumn id="3" xr3:uid="{CE000B4A-0E8D-42FE-BCE1-DF6C53D0955D}" name="TTO" dataDxfId="480"/>
    <tableColumn id="4" xr3:uid="{9BB2FA1F-BBDD-4545-87A2-57076DD3513D}" name="JAM" dataDxfId="479"/>
    <tableColumn id="5" xr3:uid="{D2270F34-DE5E-4388-A446-513CF993B39C}" name="BAR" dataDxfId="478"/>
    <tableColumn id="6" xr3:uid="{55ADC9AD-3B00-4C0E-801B-63E27DABAB33}" name="OECS" dataDxfId="477"/>
    <tableColumn id="7" xr3:uid="{A394CC33-52E0-4FA4-83A8-B3E8C6A852B5}" name="GUY" dataDxfId="476"/>
    <tableColumn id="8" xr3:uid="{5CF751FF-2D7C-4276-A835-7ADA0D40426D}" name="BEL" dataDxfId="4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474" headerRowBorderDxfId="473" tableBorderDxfId="472" totalsRowBorderDxfId="471">
  <autoFilter ref="A15:G22" xr:uid="{B5FD32FF-EA43-49E3-84B7-28B554A76C00}"/>
  <tableColumns count="7">
    <tableColumn id="1" xr3:uid="{0FC8DA96-050E-40AD-997E-8647DF0DE2CC}" name="KPIs" dataDxfId="470"/>
    <tableColumn id="2" xr3:uid="{668A1404-49CA-4661-918F-80E91B9883BD}" name="TTO"/>
    <tableColumn id="3" xr3:uid="{42D7ACF3-53F4-4663-B108-6B8B5CD02FE8}" name="JAM"/>
    <tableColumn id="4" xr3:uid="{54D241E7-7945-4D3F-BF63-9D359CB7FBB0}" name="BAR" dataDxfId="469"/>
    <tableColumn id="5" xr3:uid="{405E4939-0C4B-4909-A73F-5790B3842DF6}" name="OECS" dataDxfId="468"/>
    <tableColumn id="6" xr3:uid="{2E1403DA-B155-4BE4-B5D9-186A5DE9764D}" name="GUY" dataDxfId="467"/>
    <tableColumn id="7" xr3:uid="{10B0A785-E7E5-458C-AEAA-D830EB774FF7}" name="BEL" dataDxfId="4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465" dataDxfId="463" headerRowBorderDxfId="464" tableBorderDxfId="462" totalsRowBorderDxfId="461">
  <autoFilter ref="A3:H12" xr:uid="{521D8988-7BE6-4CED-BC60-37DB2712FAE0}"/>
  <tableColumns count="8">
    <tableColumn id="1" xr3:uid="{456B2C02-174B-45B0-A0B7-84B0B0BF568E}" name="KPIs" dataDxfId="460"/>
    <tableColumn id="2" xr3:uid="{79AB5D98-D4A0-44D1-842E-2E66BA661B9B}" name="Targets" dataDxfId="459"/>
    <tableColumn id="3" xr3:uid="{3D76E84B-4D5C-451B-94A7-7F92E80888D1}" name="TTO" dataDxfId="458"/>
    <tableColumn id="4" xr3:uid="{B8DA72B1-C1A0-4F8B-961F-20DCBB35765C}" name="JAM" dataDxfId="457"/>
    <tableColumn id="5" xr3:uid="{BCCE6BAB-42A2-42A0-BEB4-F158A249DB84}" name="BAR" dataDxfId="456"/>
    <tableColumn id="6" xr3:uid="{9AAE3E2A-9C50-4EA1-AA88-82B4B39E6932}" name="OECS" dataDxfId="455"/>
    <tableColumn id="7" xr3:uid="{B6AD5F0D-C31C-469F-9927-B5FA956517F3}" name="GUY" dataDxfId="454"/>
    <tableColumn id="8" xr3:uid="{E5A1A957-6C58-487E-A94F-9A211B43668B}" name="BEL" dataDxfId="4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452" headerRowBorderDxfId="451" tableBorderDxfId="450" totalsRowBorderDxfId="449">
  <autoFilter ref="A15:G22" xr:uid="{B5FD32FF-EA43-49E3-84B7-28B554A76C00}"/>
  <tableColumns count="7">
    <tableColumn id="1" xr3:uid="{4BE5302D-6200-4272-860B-0FAEAC7158FE}" name="KPIs" dataDxfId="448"/>
    <tableColumn id="2" xr3:uid="{E1CE0F82-906B-414F-AFF4-FBEB78C44086}" name="TTO"/>
    <tableColumn id="3" xr3:uid="{F5F62F16-FA17-4720-BE40-169CE3ED5FA6}" name="JAM"/>
    <tableColumn id="4" xr3:uid="{2AD57CA2-1433-49C0-B7E5-828831D12E50}" name="BAR" dataDxfId="447"/>
    <tableColumn id="5" xr3:uid="{CF9DD4B6-07E6-4668-822E-29495BF495E4}" name="OECS" dataDxfId="446"/>
    <tableColumn id="6" xr3:uid="{DF73CB00-15FC-461E-9265-BFD6A4246602}" name="GUY" dataDxfId="445"/>
    <tableColumn id="7" xr3:uid="{59715729-6CCA-4E40-BCC1-DDC840A909FC}" name="BEL" dataDxfId="4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X366" totalsRowShown="0" headerRowDxfId="434" dataDxfId="432" headerRowBorderDxfId="433" tableBorderDxfId="431" totalsRowBorderDxfId="430">
  <autoFilter ref="A1:X366" xr:uid="{1A589837-4FA1-4290-ACC9-7A1BA9576ABB}"/>
  <tableColumns count="24">
    <tableColumn id="1" xr3:uid="{5B0B2CC6-1EDF-44E8-B015-CDBFA0252EB8}" name="Date" dataDxfId="429"/>
    <tableColumn id="20" xr3:uid="{B3549A00-D5C3-48F0-95EE-9EDC26459D3D}" name="Week Number" dataDxfId="428"/>
    <tableColumn id="2" xr3:uid="{BE5856E4-FBFB-4C35-A65F-C2D4A4BA9293}" name="Day of the week" dataDxfId="427"/>
    <tableColumn id="14" xr3:uid="{BF5A5395-A12F-4E9E-A647-67A83815DD33}" name="Fiscal" dataDxfId="426"/>
    <tableColumn id="3" xr3:uid="{1FDA9D53-6343-4171-984D-F016DAC3A452}" name="Calls Off" dataDxfId="425"/>
    <tableColumn id="4" xr3:uid="{D7416F57-D8EB-4F89-9398-731CDDF7ABF0}" name="Calls Ans" dataDxfId="424"/>
    <tableColumn id="15" xr3:uid="{D3392110-4913-4772-AC41-5FF4F2D55325}" name="WoW % change (offer)" dataDxfId="423"/>
    <tableColumn id="16" xr3:uid="{4850BBEB-69C5-4C58-8175-16B47FA4DB42}" name="WoW % change (ans)" dataDxfId="422"/>
    <tableColumn id="5" xr3:uid="{345F2D57-222A-465B-ACBF-3E3886251986}" name="MTD Calls Offered" dataDxfId="421"/>
    <tableColumn id="6" xr3:uid="{AFBACC44-8F54-4409-B28C-F2FED98A9AA3}" name="MTD Calls Ans" dataDxfId="420"/>
    <tableColumn id="24" xr3:uid="{199659BE-5E86-4640-9815-566556E996F2}" name="YTD Calls Offer" dataDxfId="419"/>
    <tableColumn id="21" xr3:uid="{8ABFECE0-9571-4FA8-8FD4-D1F0135A0EF7}" name="YTD Calls Ans" dataDxfId="418"/>
    <tableColumn id="9" xr3:uid="{4237DCC4-BC67-4247-990C-ED3BB46D6B8A}" name="SL" dataDxfId="417"/>
    <tableColumn id="10" xr3:uid="{FDD78479-64EA-45DB-B8B0-F11600F5296F}" name="ABR" dataDxfId="416"/>
    <tableColumn id="11" xr3:uid="{CD009091-6A29-416D-871F-C316D4C56C97}" name="ANS" dataDxfId="415"/>
    <tableColumn id="12" xr3:uid="{AED37AE2-E9DF-435E-B9DE-0B0072CB8AFB}" name="AU" dataDxfId="414"/>
    <tableColumn id="13" xr3:uid="{825101E1-4A13-4A3E-90D4-618CF733E293}" name="AA" dataDxfId="413"/>
    <tableColumn id="18" xr3:uid="{75DC9B28-E6D4-4080-8C87-0DB0A78152D7}" name="AHT" dataDxfId="412"/>
    <tableColumn id="19" xr3:uid="{8E05AADC-40F1-487F-BA5D-60A431F61BBD}" name="AWT" dataDxfId="411"/>
    <tableColumn id="17" xr3:uid="{A372F43D-ED52-4B5C-8A21-12EF2AFFC659}" name="Agents Log" dataDxfId="410"/>
    <tableColumn id="7" xr3:uid="{314EFB89-0D4E-4E60-9602-721BDF30A792}" name="Change Percentage (Call Offered) Oulier Bool" dataDxfId="409"/>
    <tableColumn id="8" xr3:uid="{207AD767-5319-4075-92FF-0D05C40AFE67}" name="Change Percentage (Call Ans) Oulier Bool" dataDxfId="408">
      <calculatedColumnFormula>IF(OR(H2&lt;$AA$5,H2&gt;$AB$5), "Outlier", "Normal")</calculatedColumnFormula>
    </tableColumn>
    <tableColumn id="22" xr3:uid="{F1F720A7-4C13-4251-A9C2-AB326FBA2A9D}" name="Winsorized Values - Offered" dataDxfId="407"/>
    <tableColumn id="23" xr3:uid="{B0D61244-BDF0-4312-B847-9FA7DC77E5D2}" name="Winsorized Values - Ans" dataDxfId="406">
      <calculatedColumnFormula>IF(V2="Normal",$H2,$AE$9)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X366" totalsRowShown="0" headerRowDxfId="402" tableBorderDxfId="401">
  <autoFilter ref="A1:X366" xr:uid="{3052CFC4-9E28-4DDB-9943-49AC9065DE71}"/>
  <tableColumns count="24">
    <tableColumn id="1" xr3:uid="{C9188B86-882B-4531-9A7C-9C8E74CF4DCD}" name="Date" dataDxfId="400" totalsRowDxfId="399"/>
    <tableColumn id="22" xr3:uid="{0D70192D-D5E2-43F8-B530-F97D6BBF8365}" name="Week Number" dataDxfId="398" totalsRowDxfId="397"/>
    <tableColumn id="2" xr3:uid="{8344D3B9-AC84-4150-B225-34BF77D3592E}" name="Day of the week" dataDxfId="396" totalsRowDxfId="395"/>
    <tableColumn id="14" xr3:uid="{C29776C6-4F85-4204-BBD4-7595D56E4BAD}" name="Fiscal" dataDxfId="394" totalsRowDxfId="393"/>
    <tableColumn id="3" xr3:uid="{36D3F057-C4A6-4ECB-BBA1-0422ED4322C2}" name="Calls Off" dataDxfId="392" totalsRowDxfId="391"/>
    <tableColumn id="4" xr3:uid="{48A00883-2030-48B1-BBC1-6FA1DBF92293}" name="Calls Ans" dataDxfId="390" totalsRowDxfId="389"/>
    <tableColumn id="15" xr3:uid="{9649B7A5-7919-4975-955B-3B6C35464C70}" name="WoW % change (offer)" dataDxfId="388" totalsRowDxfId="387"/>
    <tableColumn id="16" xr3:uid="{1F703A6A-FD49-47C1-BBCC-053F475F8081}" name="WoW % change (ans)" dataDxfId="386" totalsRowDxfId="385"/>
    <tableColumn id="5" xr3:uid="{DFF29B31-8A29-42E7-8A58-A7983425BB1A}" name="MTD Calls Offered" dataDxfId="384" totalsRowDxfId="383"/>
    <tableColumn id="6" xr3:uid="{A6B0FB5C-00D8-4813-BFD7-187C5BBE5F8E}" name="MTD Calls Ans" dataDxfId="382" totalsRowDxfId="381"/>
    <tableColumn id="23" xr3:uid="{1B2F82B7-3DE1-4876-8340-DA54DC0747D6}" name="YTD Calls Offer" dataDxfId="380" totalsRowDxfId="379"/>
    <tableColumn id="24" xr3:uid="{6559DC58-4DDE-49FF-87F4-22E68D76B777}" name="YTD Calls Ans" dataDxfId="378" totalsRowDxfId="377"/>
    <tableColumn id="9" xr3:uid="{C78EBBC1-F1A6-46CD-89AF-279BC9A3E4E2}" name="SL" dataDxfId="376" totalsRowDxfId="375"/>
    <tableColumn id="10" xr3:uid="{528632EF-EB19-4A23-A290-B6F67423399C}" name="ABR" dataDxfId="374" totalsRowDxfId="373"/>
    <tableColumn id="11" xr3:uid="{A7B18275-A049-46AD-9864-9406E87B4545}" name="ANS" dataDxfId="372" totalsRowDxfId="371"/>
    <tableColumn id="12" xr3:uid="{F578E4E4-AEB7-4722-BF14-9CB5D4E60521}" name="AU" dataDxfId="370" totalsRowDxfId="369"/>
    <tableColumn id="13" xr3:uid="{25A10A5C-C99C-456C-93AD-D7B33D475788}" name="AA" dataDxfId="368" totalsRowDxfId="367"/>
    <tableColumn id="18" xr3:uid="{BD060F69-631C-43B0-9215-7EEF16A5FFDD}" name="AHT" dataDxfId="366"/>
    <tableColumn id="19" xr3:uid="{EC8CCAD5-DF0F-424B-833F-E80D6B3E991D}" name="AWT" dataDxfId="365" totalsRowDxfId="364"/>
    <tableColumn id="17" xr3:uid="{E8A66EB3-2D71-4752-ADBB-32490072A07A}" name="Agents Log" dataDxfId="363" totalsRowDxfId="362"/>
    <tableColumn id="7" xr3:uid="{6A24A353-4126-48FE-BB27-2E3CF83B7160}" name="Change Percentage (Call Offered) Oulier Bool" dataDxfId="361">
      <calculatedColumnFormula>IF(OR(G2&lt;$AB$5,G2&gt;$AC$5), "Outlier", "Normal")</calculatedColumnFormula>
    </tableColumn>
    <tableColumn id="8" xr3:uid="{43E774B0-1C8F-4714-B776-459E929E8273}" name="Change Percentage (Call Ans) Oulier Bool" dataDxfId="360">
      <calculatedColumnFormula>IF(OR(H2&lt;$AB$6,H2&gt;$AC$6), "Outlier", "Normal")</calculatedColumnFormula>
    </tableColumn>
    <tableColumn id="20" xr3:uid="{F34356E3-3313-4341-9FD8-049E8085F9DE}" name="Winsorized Values - Offered" dataDxfId="359">
      <calculatedColumnFormula>IF(U2="Normal",$G2,$AA$9)</calculatedColumnFormula>
    </tableColumn>
    <tableColumn id="21" xr3:uid="{3FA1784B-E56B-41A0-95F7-4A4DA6B70C9F}" name="Winsorized Values - Ans" dataDxfId="358">
      <calculatedColumnFormula>IF(V2="Normal",$H2,IF($H2&lt;$AF$9, $H2, $AF$9))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X366" totalsRowShown="0" headerRowDxfId="353" dataDxfId="351" headerRowBorderDxfId="352" tableBorderDxfId="350" totalsRowBorderDxfId="349" dataCellStyle="Percent">
  <autoFilter ref="A1:X366" xr:uid="{C949B38A-627C-487A-BFA1-3DBDE790FC6F}"/>
  <tableColumns count="24">
    <tableColumn id="1" xr3:uid="{FBC787A4-1197-4204-AEAB-FB44728BBC5A}" name="Date" dataDxfId="348" totalsRowDxfId="347"/>
    <tableColumn id="22" xr3:uid="{62164A26-8BB4-4430-B285-46BE0F4A8722}" name="Week Number" dataDxfId="346" totalsRowDxfId="345"/>
    <tableColumn id="2" xr3:uid="{1ECDDE43-8A94-474F-9A32-0C8867E5C886}" name="Day of the week" dataDxfId="344" totalsRowDxfId="343"/>
    <tableColumn id="3" xr3:uid="{F252616B-C7F5-4E2C-87B3-2A18B23AF7AE}" name="Fiscal" dataDxfId="342" totalsRowDxfId="341"/>
    <tableColumn id="4" xr3:uid="{4D1E97E3-D23B-4CBB-8416-331578574872}" name="Calls Off" dataDxfId="340" totalsRowDxfId="339"/>
    <tableColumn id="5" xr3:uid="{85E5D003-8598-45E2-B192-48979EE48A09}" name="Calls Ans" dataDxfId="338" totalsRowDxfId="337"/>
    <tableColumn id="6" xr3:uid="{1ED6EC18-D513-4473-AD49-7A75EB9E7FA3}" name="WoW % change (offer)" dataDxfId="336" totalsRowDxfId="335"/>
    <tableColumn id="7" xr3:uid="{C9DAB305-599A-462D-A017-9665B7EB109D}" name="WoW % change (ans)" dataDxfId="334" totalsRowDxfId="333"/>
    <tableColumn id="8" xr3:uid="{3A01DA71-133A-4AAF-B7AE-585A4C3EB4F9}" name="MTD Calls Offered" dataDxfId="332" totalsRowDxfId="331"/>
    <tableColumn id="9" xr3:uid="{66E4ED2D-B541-4E37-9219-591D12D9BA20}" name="MTD Calls Ans" dataDxfId="330" totalsRowDxfId="329"/>
    <tableColumn id="23" xr3:uid="{22676190-0CEA-4D4F-BA45-873B23B75444}" name="YTD Calls Offer" dataDxfId="328" totalsRowDxfId="327"/>
    <tableColumn id="24" xr3:uid="{7C9662F7-55F1-48CC-BE0B-BFA0AE943272}" name="YTD Calls Ans" dataDxfId="326" totalsRowDxfId="325"/>
    <tableColumn id="12" xr3:uid="{307F1BDF-DDF2-4681-A9E1-68A99832D08E}" name="SL" dataDxfId="324" totalsRowDxfId="323" dataCellStyle="Percent"/>
    <tableColumn id="13" xr3:uid="{6CC697F2-5181-4D11-BAE7-B262C0DC3C68}" name="ABR" dataDxfId="322" totalsRowDxfId="321" dataCellStyle="Percent"/>
    <tableColumn id="14" xr3:uid="{F57C4767-26F2-4824-92A9-40754F2F8C28}" name="ANS" dataDxfId="320" totalsRowDxfId="319" dataCellStyle="Percent"/>
    <tableColumn id="15" xr3:uid="{BD547FF2-B6B0-4AEE-B983-61B17D7CDD45}" name="AU" dataDxfId="318" totalsRowDxfId="317" dataCellStyle="Percent"/>
    <tableColumn id="16" xr3:uid="{E50FA3FB-F553-449F-8702-69F70B6CAC12}" name="AA" dataDxfId="316" totalsRowDxfId="315" dataCellStyle="Percent"/>
    <tableColumn id="18" xr3:uid="{E8754235-7652-465C-8D9B-A9337A8A56A7}" name="AHT" dataDxfId="314" totalsRowDxfId="313" dataCellStyle="Percent"/>
    <tableColumn id="19" xr3:uid="{0107B893-12D3-4462-8775-0B2DE6319A4E}" name="AWT" dataDxfId="312" totalsRowDxfId="311" dataCellStyle="Percent"/>
    <tableColumn id="17" xr3:uid="{3BB2F00B-07C6-48C3-87E2-1CB96C898F3A}" name="Agents Log" dataDxfId="310" totalsRowDxfId="309" dataCellStyle="Percent"/>
    <tableColumn id="10" xr3:uid="{F0B56016-9EBA-4EB8-9ABD-9F18279E9DB7}" name="Change Percentage (Call Offered) Oulier Bool" dataDxfId="308" dataCellStyle="Percent"/>
    <tableColumn id="11" xr3:uid="{FDE8E4B9-CB1E-47CD-B811-DAA21F31DD0C}" name="Change Percentage (Call Ans) Oulier Bool" dataDxfId="307" dataCellStyle="Percent"/>
    <tableColumn id="20" xr3:uid="{11571F2C-E29B-4410-83EE-8C19F430BCD9}" name="Winsorized Values - Offered" dataDxfId="306" dataCellStyle="Percent"/>
    <tableColumn id="21" xr3:uid="{D018A736-B1BC-4E15-B37C-FD5FDA6D8849}" name="Winsorized Values - Ans" dataDxfId="305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X366" totalsRowShown="0" headerRowDxfId="303" dataDxfId="302" tableBorderDxfId="301">
  <autoFilter ref="A1:X366" xr:uid="{0D0EA32E-4CF4-4942-AC7A-C86A045E15D4}"/>
  <tableColumns count="24">
    <tableColumn id="1" xr3:uid="{078F076C-A212-46BB-BFDD-5D5F0E00699F}" name="Date" dataDxfId="300" totalsRowDxfId="299"/>
    <tableColumn id="21" xr3:uid="{5D274810-7BC6-4CFE-B459-CB4FFF81C7DA}" name="Week Number" dataDxfId="298" totalsRowDxfId="297"/>
    <tableColumn id="2" xr3:uid="{002690E0-B1FA-4110-8195-9C3D6CA0F646}" name="Day of the week" dataDxfId="296" totalsRowDxfId="295"/>
    <tableColumn id="3" xr3:uid="{79E08CDC-7DE4-4D41-9365-758CDBD52E9F}" name="Fiscal" dataDxfId="294" totalsRowDxfId="293"/>
    <tableColumn id="4" xr3:uid="{419E9EA2-2E24-4F7D-8D93-62EFFE986929}" name="Calls Off" dataDxfId="292" totalsRowDxfId="291"/>
    <tableColumn id="5" xr3:uid="{1ABBAEB1-FFAB-4450-BB74-0B3D8B2DD354}" name="Calls Ans" dataDxfId="290" totalsRowDxfId="289"/>
    <tableColumn id="6" xr3:uid="{7FE7E079-0ABF-44CA-92F1-7C78C55750DC}" name="WoW % change offer" dataDxfId="288" totalsRowDxfId="287"/>
    <tableColumn id="7" xr3:uid="{0EDE91B2-9E54-4788-9989-58B11E7074EA}" name="WoW % change ans" dataDxfId="286" totalsRowDxfId="285"/>
    <tableColumn id="8" xr3:uid="{C1B75734-C045-4927-A31F-A083C1692622}" name="MTD Calls Offered" dataDxfId="284" totalsRowDxfId="283"/>
    <tableColumn id="9" xr3:uid="{CF93A49B-E584-4FC3-B287-327859E7F9A1}" name="MTD Calls Ans" dataDxfId="282" totalsRowDxfId="281"/>
    <tableColumn id="23" xr3:uid="{EC5301BA-4B0C-4802-98B2-81561AF54CD8}" name="YTD Calls Offer" dataDxfId="280" totalsRowDxfId="279"/>
    <tableColumn id="24" xr3:uid="{5C1A81CF-92E7-4717-BC64-BA73DB0C8228}" name="YTD Calls Ans" dataDxfId="278" totalsRowDxfId="277"/>
    <tableColumn id="12" xr3:uid="{8C4E032F-6A91-41CF-83C5-BCB63E14A4DB}" name="SL" dataDxfId="276" totalsRowDxfId="275"/>
    <tableColumn id="13" xr3:uid="{E11ABD54-2EE7-4CC3-A0E5-32E98874164F}" name="ABR" dataDxfId="274" totalsRowDxfId="273"/>
    <tableColumn id="14" xr3:uid="{F03AD841-747D-4ACD-84FD-6C99D6677ABC}" name="ANS" dataDxfId="272" totalsRowDxfId="271"/>
    <tableColumn id="15" xr3:uid="{78D2C07D-5A63-4628-9B33-47F2FC54A289}" name="AU" dataDxfId="270" totalsRowDxfId="269"/>
    <tableColumn id="16" xr3:uid="{BAA93BDE-3F39-483D-9AE3-7A35FD3FB6BE}" name="AA" dataDxfId="268" totalsRowDxfId="267"/>
    <tableColumn id="18" xr3:uid="{EEFE7BAF-A4C1-4615-91A5-C9678CD83698}" name="AHT" dataDxfId="266"/>
    <tableColumn id="22" xr3:uid="{CF1A55A5-DD96-4CCC-8C8E-657A5D23EFB9}" name="AWT" dataDxfId="265"/>
    <tableColumn id="10" xr3:uid="{F638C52E-7D3A-4B86-9041-ED218EA796CE}" name="Agents Log" dataDxfId="264" totalsRowDxfId="263"/>
    <tableColumn id="11" xr3:uid="{E634E25F-EF31-468A-862A-D0A80CD79035}" name="Change Percentage (Call Offered) Oulier Bool" dataDxfId="262" totalsRowDxfId="261"/>
    <tableColumn id="17" xr3:uid="{B5477C78-A1C9-4278-8FBF-DB42A96271F7}" name="Change Percentage (Call Ans) Oulier Bool" dataDxfId="260" totalsRowDxfId="259"/>
    <tableColumn id="19" xr3:uid="{E5FD896F-39A3-4084-8315-F63F3C455A53}" name="Winsorized Values - Offered" dataDxfId="258" totalsRowDxfId="257"/>
    <tableColumn id="20" xr3:uid="{8137D689-FDF0-42AC-A464-C2EF6FD022ED}" name="Winsorized Values - Ans" dataDxfId="256" totalsRow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X366" totalsRowShown="0" headerRowDxfId="253" headerRowBorderDxfId="252" tableBorderDxfId="251" totalsRowBorderDxfId="250">
  <autoFilter ref="A1:X366" xr:uid="{D6815D4A-6205-4F1A-99C1-36BFB03190B0}"/>
  <tableColumns count="24">
    <tableColumn id="1" xr3:uid="{684C2A67-DC9A-4607-B057-0C27865EE6AF}" name="Date" dataDxfId="249"/>
    <tableColumn id="7" xr3:uid="{9D5A2969-140D-4160-B93B-B680F24D826B}" name="Week Number" dataDxfId="248"/>
    <tableColumn id="2" xr3:uid="{AF9ECCD9-3DFB-4B6B-9E82-379C59680363}" name="Day of the week" dataDxfId="247"/>
    <tableColumn id="14" xr3:uid="{A7FC41C0-38E6-4020-8156-86D1C5750F29}" name="Fiscal" dataDxfId="246"/>
    <tableColumn id="3" xr3:uid="{667353EE-4623-46F6-938B-1AF956C6933D}" name="Calls Off" dataDxfId="245"/>
    <tableColumn id="4" xr3:uid="{6D51C60B-EBF9-4541-96D4-044D7B91928D}" name="Calls Ans" dataDxfId="244"/>
    <tableColumn id="15" xr3:uid="{BBA78EBE-6FCB-4469-9BE0-8CB7A617D727}" name="WoW % change (offer)" dataDxfId="243"/>
    <tableColumn id="16" xr3:uid="{B328993E-B0F8-4140-BBDF-3C6BE70A92C3}" name="WoW % change (ans)" dataDxfId="242"/>
    <tableColumn id="5" xr3:uid="{EF9450E7-1607-4F24-B7AE-514068BBA7AF}" name="MTD Calls Offered" dataDxfId="241"/>
    <tableColumn id="6" xr3:uid="{6A284087-92E9-4091-BDCA-D08D79A1465A}" name="MTD Calls Ans" dataDxfId="240"/>
    <tableColumn id="23" xr3:uid="{7F03C8AC-4991-4069-9EC0-CF3F84D17EE3}" name="YTD Calls Offer" dataDxfId="239"/>
    <tableColumn id="24" xr3:uid="{2B1483A3-ECC7-4197-9C89-B4BB42AC7B3E}" name="YTD Calls Ans" dataDxfId="238"/>
    <tableColumn id="9" xr3:uid="{310A1A03-E23E-4AF4-9192-456C51ED5D13}" name="SL" dataDxfId="237"/>
    <tableColumn id="10" xr3:uid="{840BAABA-5A43-43DC-864C-DE2331E47D36}" name="ABR" dataDxfId="236"/>
    <tableColumn id="11" xr3:uid="{CC24FDFE-E1BE-4D59-B4BF-F38CAAAC48BC}" name="ANS" dataDxfId="235"/>
    <tableColumn id="12" xr3:uid="{05460178-4686-4F94-941B-61A36DEA788A}" name="AU" dataDxfId="234"/>
    <tableColumn id="13" xr3:uid="{4DC4B710-5C41-468E-8254-6F57AC8E4FEC}" name="AA" dataDxfId="233"/>
    <tableColumn id="18" xr3:uid="{86762D67-4433-4B79-A1E8-E5CF80740905}" name="AHT" dataDxfId="232"/>
    <tableColumn id="8" xr3:uid="{3C12DB22-B51C-4AE7-A073-ABAAEF2985FB}" name="AWT" dataDxfId="231"/>
    <tableColumn id="17" xr3:uid="{17B12E1A-9EE1-4008-80C9-2D2C5D731D33}" name="Agents Log" dataDxfId="230"/>
    <tableColumn id="19" xr3:uid="{130BACF0-EECD-4F41-BCD9-2F16BC7DE87C}" name="Change Percentage (Call Offered) Oulier Bool" dataDxfId="229"/>
    <tableColumn id="20" xr3:uid="{BC4B8219-6F1A-4A9E-BE15-55ABA2F6E7B6}" name="Change Percentage (Call Ans) Oulier Bool" dataDxfId="228"/>
    <tableColumn id="21" xr3:uid="{7D572BF8-7D61-46EE-A836-CCB33FB69F19}" name="Winsorized Values - Offered" dataDxfId="227" dataCellStyle="Percent"/>
    <tableColumn id="22" xr3:uid="{24C0C071-3801-496D-BDF7-B159F6F7DFA3}" name="Winsorized Values - Ans" dataDxfId="226" dataCellStyle="Percent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994AFE-CFEB-46F5-8E78-A58822B04D49}" name="Table1182126179" displayName="Table1182126179" ref="B2:I10" totalsRowShown="0" headerRowDxfId="225" headerRowBorderDxfId="224" tableBorderDxfId="223" totalsRowBorderDxfId="222">
  <autoFilter ref="B2:I10" xr:uid="{68EE33B1-F2F4-4FC0-AD8D-E766E82F4C1A}"/>
  <tableColumns count="8">
    <tableColumn id="1" xr3:uid="{227D414E-21AF-4091-B5D7-5011AC4191D6}" name="Country " dataDxfId="221"/>
    <tableColumn id="2" xr3:uid="{019DCBA2-B179-4511-8F62-AB683190D343}" name="Calls Presented"/>
    <tableColumn id="3" xr3:uid="{740503B3-07AF-4202-A95A-8944EAFCFD6D}" name="Calls Handled"/>
    <tableColumn id="4" xr3:uid="{B0EFFEF7-A2E2-4743-AB98-68FDEEB7FFBA}" name="SVL"/>
    <tableColumn id="5" xr3:uid="{08B22DA6-6ABB-4678-96B0-663D8B7E4203}" name="ANS"/>
    <tableColumn id="6" xr3:uid="{65EC83BC-6F37-4E3A-9D22-0961ECB3A4A7}" name="ABR" dataDxfId="220"/>
    <tableColumn id="7" xr3:uid="{2939F192-AEB7-4467-B753-BDAB5803C0CB}" name="AU/AO" dataDxfId="219"/>
    <tableColumn id="8" xr3:uid="{79B921C8-1F5F-4DF7-A5D0-7C795C174064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206936-7E54-4A80-9279-0089CD938BF1}" name="Table118212617911" displayName="Table118212617911" ref="B13:I21" totalsRowShown="0" headerRowDxfId="218" headerRowBorderDxfId="217" tableBorderDxfId="216" totalsRowBorderDxfId="215">
  <autoFilter ref="B13:I21" xr:uid="{CA7BD986-1430-4918-B84D-913474285260}"/>
  <tableColumns count="8">
    <tableColumn id="1" xr3:uid="{F03399A8-1C6D-4706-A5C9-058C7DF941DA}" name="Country " dataDxfId="214"/>
    <tableColumn id="2" xr3:uid="{17DAA307-6912-4768-A398-0C7745A8D113}" name="Calls Presented"/>
    <tableColumn id="3" xr3:uid="{35793209-53EA-48BB-A57D-1E19E4C457D7}" name="Calls Handled"/>
    <tableColumn id="4" xr3:uid="{BB062AF8-E58C-4689-A76A-67B88A53A569}" name="SVL"/>
    <tableColumn id="5" xr3:uid="{E82731BD-D321-46CA-BEF8-346C6134E321}" name="ANS"/>
    <tableColumn id="6" xr3:uid="{5A7068D9-1D5A-469F-B544-3D99E9505ADC}" name="ABR" dataDxfId="213"/>
    <tableColumn id="7" xr3:uid="{A5A1315B-050A-4EE0-829F-263D9EAFA1D9}" name="AU/AO" dataDxfId="212"/>
    <tableColumn id="8" xr3:uid="{50B088EB-8BF2-4395-80AF-D16F6A8CF75D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0B6F5F-F575-4B79-ACFA-FC03BC5ED4DD}" name="Table11821261791117" displayName="Table11821261791117" ref="B24:I32" totalsRowShown="0" headerRowDxfId="211" headerRowBorderDxfId="210" tableBorderDxfId="209" totalsRowBorderDxfId="208">
  <autoFilter ref="B24:I32" xr:uid="{8AA51286-2176-4748-A74B-5B080C2B90E6}"/>
  <tableColumns count="8">
    <tableColumn id="1" xr3:uid="{A041E057-30CA-4247-A61E-72A88D3FE901}" name="Country " dataDxfId="207"/>
    <tableColumn id="2" xr3:uid="{B40835E9-3BFB-4F03-BBC4-F69A342E40BA}" name="Calls Presented"/>
    <tableColumn id="3" xr3:uid="{1CF04D06-ACBD-441D-953A-3D1271465EC3}" name="Calls Handled"/>
    <tableColumn id="4" xr3:uid="{8708254B-0BED-4151-B819-19FA485DC9BF}" name="SVL"/>
    <tableColumn id="5" xr3:uid="{46DDCCDB-90DD-4CE1-B3A8-DA1B42E7BF28}" name="ANS"/>
    <tableColumn id="6" xr3:uid="{25B91D02-A431-46BF-A193-3B40C34963E6}" name="ABR" dataDxfId="206"/>
    <tableColumn id="7" xr3:uid="{14E32640-7CEA-440E-89FE-136FA2F784D7}" name="AU/AO" dataDxfId="205"/>
    <tableColumn id="8" xr3:uid="{BE3E5BE8-6DAB-47E3-BAEA-46EF3D1F51ED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156E5F-138B-4DF3-A98C-0AEDF8FEBF8C}" name="Table118212617911175" displayName="Table118212617911175" ref="B35:I43" totalsRowShown="0" headerRowDxfId="204" headerRowBorderDxfId="203" tableBorderDxfId="202" totalsRowBorderDxfId="201">
  <autoFilter ref="B35:I43" xr:uid="{B3011828-EB6D-4A1D-96F0-CD58464547ED}"/>
  <tableColumns count="8">
    <tableColumn id="1" xr3:uid="{FEC19F1F-2F85-4F41-A09F-0B48404FB37A}" name="Country " dataDxfId="200"/>
    <tableColumn id="2" xr3:uid="{7CDE1FE7-0A45-4FE3-B80F-847BC348C385}" name="Calls Presented"/>
    <tableColumn id="3" xr3:uid="{BB37CAFA-6A38-4BB5-AD41-CCF500579A07}" name="Calls Handled"/>
    <tableColumn id="4" xr3:uid="{225061D5-8603-4B1E-B65B-F1BE9B98E8DD}" name="SVL"/>
    <tableColumn id="5" xr3:uid="{8A9C28A4-80AE-4500-B228-28A7B9DDA3BC}" name="ANS"/>
    <tableColumn id="6" xr3:uid="{F355C48D-99E2-4A11-A9E1-BEEAF07DF764}" name="ABR" dataDxfId="199"/>
    <tableColumn id="7" xr3:uid="{5837A12B-4B7E-4BE1-8919-192EBC11B66F}" name="AU/AO" dataDxfId="198"/>
    <tableColumn id="8" xr3:uid="{2F9042A4-E980-4274-851C-EA7DEE343AC1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992588-6D34-4036-AB66-EBC9188B55B9}" name="Table11821261791117514" displayName="Table11821261791117514" ref="B47:I55" totalsRowShown="0" headerRowDxfId="197" headerRowBorderDxfId="196" tableBorderDxfId="195" totalsRowBorderDxfId="194">
  <autoFilter ref="B47:I55" xr:uid="{A9520107-4375-43F5-B397-E5AAEE1DF600}"/>
  <tableColumns count="8">
    <tableColumn id="1" xr3:uid="{722C1B0C-8A35-4A19-B92C-5E1DC58ABFA5}" name="Country " dataDxfId="193"/>
    <tableColumn id="2" xr3:uid="{B3D9CC3D-4291-4406-9E42-2F0C6E61FD4B}" name="Calls Presented"/>
    <tableColumn id="3" xr3:uid="{723C42D4-6C59-4F68-9EBB-E5377AA7F7B5}" name="Calls Handled"/>
    <tableColumn id="4" xr3:uid="{F122E731-2066-455C-8B7B-935791996C28}" name="SVL"/>
    <tableColumn id="5" xr3:uid="{257BD5E1-4F91-45D0-8E89-C68E4E891CCA}" name="ANS"/>
    <tableColumn id="6" xr3:uid="{BDA4814E-A054-49CC-9DF9-6FE55C61EBE7}" name="ABR" dataDxfId="192"/>
    <tableColumn id="7" xr3:uid="{FEA902C8-6672-45E5-BFA1-B9755E9107F0}" name="AU/AO" dataDxfId="191"/>
    <tableColumn id="8" xr3:uid="{860F230E-0888-4EC5-9B59-51B75D836A32}" name="A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5425A9-9477-4882-9F5F-358E41767658}" name="Table1182126179111751415" displayName="Table1182126179111751415" ref="B59:I67" totalsRowShown="0" headerRowDxfId="190" headerRowBorderDxfId="189" tableBorderDxfId="188" totalsRowBorderDxfId="187">
  <autoFilter ref="B59:I67" xr:uid="{3A5425A9-9477-4882-9F5F-358E41767658}"/>
  <tableColumns count="8">
    <tableColumn id="1" xr3:uid="{8F2A3592-E1AD-44D9-B7A5-8CB50C90A46F}" name="Country " dataDxfId="186"/>
    <tableColumn id="2" xr3:uid="{FE918A0A-29AC-46AF-ACC5-A92EE7BC8A2F}" name="Calls Presented"/>
    <tableColumn id="3" xr3:uid="{A175EEB2-BDC2-482B-AA92-BCABBDE27427}" name="Calls Handled"/>
    <tableColumn id="4" xr3:uid="{7A4D8233-BACB-4F6A-8E65-B95DE68359B0}" name="SVL"/>
    <tableColumn id="5" xr3:uid="{CEDE7B47-E458-40B9-9F0B-875CE7AD26EE}" name="ANS"/>
    <tableColumn id="6" xr3:uid="{A14ED2A9-C115-475D-A060-B5D78BDA63DF}" name="ABR" dataDxfId="185"/>
    <tableColumn id="7" xr3:uid="{BA75EB21-8A3B-4861-81CB-665658DF5509}" name="AU/AO" dataDxfId="184"/>
    <tableColumn id="8" xr3:uid="{2EE908E0-F821-4C73-A024-EF1A5D1C7300}" name="A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C05EBE-2D3E-4869-B580-28E856B0C3A8}" name="Table118212617911175141521" displayName="Table118212617911175141521" ref="B71:I79" totalsRowShown="0" headerRowDxfId="183" headerRowBorderDxfId="182" tableBorderDxfId="181" totalsRowBorderDxfId="180">
  <autoFilter ref="B71:I79" xr:uid="{EE05535B-0E57-4D2C-A512-004CD67CBF54}"/>
  <tableColumns count="8">
    <tableColumn id="1" xr3:uid="{A1C9B04B-43B9-4A3E-91F7-C4D87DF87474}" name="Country " dataDxfId="179"/>
    <tableColumn id="2" xr3:uid="{B682453E-3830-4EE3-93BC-FB28F84A9896}" name="Calls Presented"/>
    <tableColumn id="3" xr3:uid="{D51FE540-08BC-4627-928D-768B107C0EC4}" name="Calls Handled"/>
    <tableColumn id="4" xr3:uid="{BBA235DA-7398-45BD-9081-1801D6423AB0}" name="SVL"/>
    <tableColumn id="5" xr3:uid="{612C31D4-8BA7-4FDC-8ADE-A2DFD7B6478F}" name="ANS"/>
    <tableColumn id="6" xr3:uid="{500C1E93-BBB6-4A9A-913A-D176939AAC1E}" name="ABR" dataDxfId="178"/>
    <tableColumn id="7" xr3:uid="{2AB16E38-0DFD-46FD-9581-AC64EC9329FB}" name="AU/AO" dataDxfId="177"/>
    <tableColumn id="8" xr3:uid="{C20BC415-2FB1-44BC-A80B-36253F643412}" name="A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72EF9D-891B-4E50-8612-D0FD03A116E3}" name="Table11821261791117514152125" displayName="Table11821261791117514152125" ref="B83:I91" totalsRowShown="0" headerRowDxfId="176" headerRowBorderDxfId="175" tableBorderDxfId="174" totalsRowBorderDxfId="173">
  <autoFilter ref="B83:I91" xr:uid="{D5B3ECE8-4F8F-4F89-A561-669E22BC3F43}"/>
  <tableColumns count="8">
    <tableColumn id="1" xr3:uid="{FB87B2E7-99BE-40B7-9432-4DBD1E1155F1}" name="Country " dataDxfId="172"/>
    <tableColumn id="2" xr3:uid="{7F691AD6-FCF7-49C0-B5A8-FEE950B82AD6}" name="Calls Presented"/>
    <tableColumn id="3" xr3:uid="{9A31CFB5-8A44-4469-9CF5-234E1D5BB323}" name="Calls Handled"/>
    <tableColumn id="4" xr3:uid="{56BD9397-C9DF-470C-A20F-42D1F0D0EE5E}" name="SVL"/>
    <tableColumn id="5" xr3:uid="{030CB47B-3428-4A4F-80E9-2617AA2AA488}" name="ANS"/>
    <tableColumn id="6" xr3:uid="{BC3B6D6F-3E9B-486D-B4ED-27960B2C17B9}" name="ABR" dataDxfId="171"/>
    <tableColumn id="7" xr3:uid="{45F318A6-1F74-4B3C-9CBE-B8AF955D7828}" name="AU/AO" dataDxfId="170"/>
    <tableColumn id="8" xr3:uid="{2AF05BDE-3AE7-434D-9D31-61CC7D8CA3D9}" name="AA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2A86F6E-D47B-431D-B2C0-B0510D81833A}" name="Table1182126179111751415212526" displayName="Table1182126179111751415212526" ref="B95:I103" totalsRowShown="0" headerRowDxfId="169" headerRowBorderDxfId="168" tableBorderDxfId="167" totalsRowBorderDxfId="166">
  <autoFilter ref="B95:I103" xr:uid="{A286CE7C-09F9-4241-A211-F75C308393A4}"/>
  <tableColumns count="8">
    <tableColumn id="1" xr3:uid="{82FD4AA6-97D2-43FD-BDA2-B982714C57AC}" name="Country " dataDxfId="165"/>
    <tableColumn id="2" xr3:uid="{4641C737-ADCA-4656-9C19-61EE2FAE36E5}" name="Calls Presented"/>
    <tableColumn id="3" xr3:uid="{6B7FFF64-58BB-452C-9BE7-B3314F20B685}" name="Calls Handled"/>
    <tableColumn id="4" xr3:uid="{CD08F3FE-96FD-41B0-AF77-05E5D91FE0CB}" name="SVL"/>
    <tableColumn id="5" xr3:uid="{B529DD7A-768B-4C85-8594-159E025B1386}" name="ANS"/>
    <tableColumn id="6" xr3:uid="{7423367C-FAEB-46F8-93CC-327114BA8E4C}" name="ABR" dataDxfId="164"/>
    <tableColumn id="7" xr3:uid="{5C178715-C4B8-476C-B8D3-3BAF1E5735F9}" name="AU/AO" dataDxfId="163"/>
    <tableColumn id="8" xr3:uid="{90B94296-DBBD-4305-BE34-B527D4EBE927}" name="AA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3EA2566-7721-43C5-8070-70F48C9EB421}" name="Table118212617911175141521252630" displayName="Table118212617911175141521252630" ref="B107:I115" totalsRowShown="0" headerRowDxfId="162" headerRowBorderDxfId="161" tableBorderDxfId="160" totalsRowBorderDxfId="159">
  <autoFilter ref="B107:I115" xr:uid="{D8550A62-F613-43FF-BE0E-7DBACD66273E}"/>
  <tableColumns count="8">
    <tableColumn id="1" xr3:uid="{1AFF3855-8408-41E5-ACEE-8641E70C2183}" name="Country " dataDxfId="158"/>
    <tableColumn id="2" xr3:uid="{B2AD10E2-CED8-4EC9-85C9-A3607CD8DA14}" name="Calls Presented"/>
    <tableColumn id="3" xr3:uid="{E32039EA-0927-4560-AC41-F5474B389041}" name="Calls Handled"/>
    <tableColumn id="4" xr3:uid="{B7AA19E9-92F9-4E18-8647-64C562683FD6}" name="SVL"/>
    <tableColumn id="5" xr3:uid="{D3426CC5-F995-449D-BC2F-1A1CBDCB2B41}" name="ANS"/>
    <tableColumn id="6" xr3:uid="{D66399D1-4599-4331-A420-9D074A8125E5}" name="ABR" dataDxfId="157"/>
    <tableColumn id="7" xr3:uid="{9EAE3372-8F54-41E2-A8B6-58471F60AD6B}" name="AU/AO" dataDxfId="156"/>
    <tableColumn id="8" xr3:uid="{B36FF254-AA0B-49DB-B1FA-00F1EDDFE74B}" name="AA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69A45FC-AC51-43E9-A0BB-52B7C2C7E1A6}" name="Table11821261791117514152125263032" displayName="Table11821261791117514152125263032" ref="B119:I127" totalsRowShown="0" headerRowDxfId="155" headerRowBorderDxfId="154" tableBorderDxfId="153" totalsRowBorderDxfId="152">
  <autoFilter ref="B119:I127" xr:uid="{6C4DEBB5-82DD-4308-915A-4E4CF7889832}"/>
  <tableColumns count="8">
    <tableColumn id="1" xr3:uid="{DF7BF55B-E8DC-4E90-88C4-B5FB5D704C5F}" name="Country " dataDxfId="151"/>
    <tableColumn id="2" xr3:uid="{F7078FD8-83B5-4113-9D96-ED73C5D4771A}" name="Calls Presented"/>
    <tableColumn id="3" xr3:uid="{E2862A1A-D039-48AB-8CE2-EF6B603EFC1A}" name="Calls Handled"/>
    <tableColumn id="4" xr3:uid="{5052DF16-1F7E-4A52-813F-E63F83856124}" name="SVL"/>
    <tableColumn id="5" xr3:uid="{B6B1AF9A-98A6-46A4-9727-C3359C94969D}" name="ANS"/>
    <tableColumn id="6" xr3:uid="{CFFD9F82-F111-4DAB-B41D-AFBB4F1E40E4}" name="ABR" dataDxfId="150"/>
    <tableColumn id="7" xr3:uid="{04F59B4F-AA0A-4B17-A490-33DF91331933}" name="AU/AO" dataDxfId="149"/>
    <tableColumn id="8" xr3:uid="{6EECDB88-8743-44D0-8B13-C418C0194E7B}" name="AA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4615255-B17A-408A-8F8D-445D4BCAB241}" name="Table1182126179111751415212526303233" displayName="Table1182126179111751415212526303233" ref="B131:I139" totalsRowShown="0" headerRowDxfId="148" headerRowBorderDxfId="147" tableBorderDxfId="146" totalsRowBorderDxfId="145">
  <autoFilter ref="B131:I139" xr:uid="{737DC394-C6C0-4EA2-B918-808F4E0C760E}"/>
  <tableColumns count="8">
    <tableColumn id="1" xr3:uid="{4EC0A874-8192-416A-8D63-618A62B58A91}" name="Country " dataDxfId="144"/>
    <tableColumn id="2" xr3:uid="{97211A84-F039-4280-8B4B-59068BD611ED}" name="Calls Presented"/>
    <tableColumn id="3" xr3:uid="{0B2933CE-06B6-4FE4-8FF9-206DC58CC8EE}" name="Calls Handled"/>
    <tableColumn id="4" xr3:uid="{51A56B1E-0E5B-44E6-91C5-5B887829C589}" name="SVL"/>
    <tableColumn id="5" xr3:uid="{BE19FA6D-3849-4AE8-BCB2-2EA0E50855FA}" name="ANS"/>
    <tableColumn id="6" xr3:uid="{05BD6DE7-DC30-4E47-928A-03AF0BE6FBBC}" name="ABR" dataDxfId="143"/>
    <tableColumn id="7" xr3:uid="{C109145D-633A-4A7B-8B4D-508879C1125F}" name="AU/AO" dataDxfId="142"/>
    <tableColumn id="8" xr3:uid="{A2B12BBA-D24C-4A36-8B65-30DFBD469959}" name="AA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6D5A347-98A5-4E92-801E-0E7D68D72DE9}" name="Table118212617911175141521252630323334" displayName="Table118212617911175141521252630323334" ref="B143:I151" totalsRowShown="0" headerRowDxfId="141" headerRowBorderDxfId="140" tableBorderDxfId="139" totalsRowBorderDxfId="138">
  <autoFilter ref="B143:I151" xr:uid="{6C19DA50-46EF-4C1A-AC5F-EF0455BF9EFC}"/>
  <tableColumns count="8">
    <tableColumn id="1" xr3:uid="{5CC040A2-5FD3-453B-AFBE-3C4BC14812DD}" name="Country " dataDxfId="137"/>
    <tableColumn id="2" xr3:uid="{F727DF79-9750-40C6-ABC6-98AF761F68B6}" name="Calls Presented"/>
    <tableColumn id="3" xr3:uid="{6A186194-7DB9-479F-976C-5DD078AA2B98}" name="Calls Handled"/>
    <tableColumn id="4" xr3:uid="{51E5FEAB-EB66-489B-A6A1-EFAE8B6A146B}" name="SVL"/>
    <tableColumn id="5" xr3:uid="{F614D68E-A3DA-4A19-9DDE-86D47EF35F53}" name="ANS"/>
    <tableColumn id="6" xr3:uid="{80FFE921-76F4-42A4-AC94-D95C88AA009B}" name="ABR" dataDxfId="136"/>
    <tableColumn id="7" xr3:uid="{B9887160-81B0-44E6-9E92-792198126865}" name="AU/AO" dataDxfId="135"/>
    <tableColumn id="8" xr3:uid="{0B5CF668-41BB-4EE6-B744-745ACB716734}" name="AA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91D4813-63FA-41E5-ADC8-BB110D8E0B1C}" name="Table11821261791117514152125263032333437" displayName="Table11821261791117514152125263032333437" ref="B155:I163" totalsRowShown="0" headerRowDxfId="134" headerRowBorderDxfId="133" tableBorderDxfId="132" totalsRowBorderDxfId="131">
  <autoFilter ref="B155:I163" xr:uid="{9AC31127-D042-4F29-9876-013F466BA369}"/>
  <tableColumns count="8">
    <tableColumn id="1" xr3:uid="{227F873E-94EC-4F89-99DF-6A58EE9FE3D0}" name="Country " dataDxfId="130"/>
    <tableColumn id="2" xr3:uid="{17E7AE39-833B-4896-9AD3-B49AE9B60999}" name="Calls Presented"/>
    <tableColumn id="3" xr3:uid="{4B88BE1B-8050-4C09-88A2-EB7245F36D37}" name="Calls Handled"/>
    <tableColumn id="4" xr3:uid="{9787DB77-9E37-426E-933F-EA6FEDBE0EBD}" name="SVL"/>
    <tableColumn id="5" xr3:uid="{33CC0B02-E6D0-4267-9831-C4CBBC71DA45}" name="ANS"/>
    <tableColumn id="6" xr3:uid="{10774A68-A96C-48A9-9581-FE327564CB83}" name="ABR" dataDxfId="129"/>
    <tableColumn id="7" xr3:uid="{459D3152-EC98-41FD-AA8D-CE8CA2E2B36D}" name="AU/AO" dataDxfId="128"/>
    <tableColumn id="8" xr3:uid="{7E3722F6-E358-4341-9797-1F884A7469F9}" name="AA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17143A-2C24-4F9D-B217-822CBBFD10B0}" name="Table1182126179111751415212526303233343738" displayName="Table1182126179111751415212526303233343738" ref="B167:I175" totalsRowShown="0" headerRowDxfId="127" headerRowBorderDxfId="126" tableBorderDxfId="125" totalsRowBorderDxfId="124">
  <autoFilter ref="B167:I175" xr:uid="{84BDFC57-CFE7-4CBD-B2F7-F4BBB1993AEC}"/>
  <tableColumns count="8">
    <tableColumn id="1" xr3:uid="{7DC3335E-D34D-40B2-9CE3-E2D8190C59B0}" name="Country " dataDxfId="123"/>
    <tableColumn id="2" xr3:uid="{DE77839B-47A8-4410-ADC8-BE70AF75142E}" name="Calls Presented"/>
    <tableColumn id="3" xr3:uid="{21EC63F6-D481-4CC2-AA08-CE6E22D5D145}" name="Calls Handled"/>
    <tableColumn id="4" xr3:uid="{64DEEA6E-20D6-4803-98F4-44E75102A63D}" name="SVL"/>
    <tableColumn id="5" xr3:uid="{4EE69968-9684-4BF2-BB0A-E8652C88B4AA}" name="ANS"/>
    <tableColumn id="6" xr3:uid="{79EE4DBA-B24B-4AC8-82F5-1C8290B9FD04}" name="ABR" dataDxfId="122"/>
    <tableColumn id="7" xr3:uid="{E8436337-8C67-4F6D-90AC-744020AF8393}" name="AU/AO" dataDxfId="121"/>
    <tableColumn id="8" xr3:uid="{4859DA6D-14F9-46F3-9222-0B625F4EE1F0}" name="AA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28BCAAE-7023-4407-964D-FEF4C11FDC70}" name="Table118212617911175141521252630323334373841" displayName="Table118212617911175141521252630323334373841" ref="B179:I187" totalsRowShown="0" headerRowDxfId="120" headerRowBorderDxfId="119" tableBorderDxfId="118" totalsRowBorderDxfId="117">
  <autoFilter ref="B179:I187" xr:uid="{4148CCB1-B91E-4BDE-99D1-555985873B73}"/>
  <tableColumns count="8">
    <tableColumn id="1" xr3:uid="{09BC2054-0B1B-441A-B23E-3BC6274ED8AC}" name="Country " dataDxfId="116"/>
    <tableColumn id="2" xr3:uid="{57B228B9-B5F4-434A-AE28-827873CBDC40}" name="Calls Presented"/>
    <tableColumn id="3" xr3:uid="{268070B7-96BD-40EA-A8B9-3E10CD680E81}" name="Calls Handled"/>
    <tableColumn id="4" xr3:uid="{1233893B-C713-4370-AE15-50B38F213AB1}" name="SVL"/>
    <tableColumn id="5" xr3:uid="{451FBD51-B809-4F31-AA65-87DBD6F31B8D}" name="ANS"/>
    <tableColumn id="6" xr3:uid="{7C98330D-3D77-46E9-906C-DBD79BD2B082}" name="ABR" dataDxfId="115"/>
    <tableColumn id="7" xr3:uid="{930B7F27-1CBE-460A-823D-F271EAA1CA88}" name="AU/AO" dataDxfId="114"/>
    <tableColumn id="8" xr3:uid="{C59368C4-79A1-4FC6-9D9C-BD1CC65F911E}" name="AA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EB48BEF-C342-4B17-BB93-4DF2832F98A4}" name="Table1182126179111751415212526303233343738413940" displayName="Table1182126179111751415212526303233343738413940" ref="B203:I211" totalsRowShown="0" headerRowDxfId="113" headerRowBorderDxfId="112" tableBorderDxfId="111" totalsRowBorderDxfId="110">
  <autoFilter ref="B203:I211" xr:uid="{D7702635-E34F-4D14-AD5D-4805B992B565}"/>
  <tableColumns count="8">
    <tableColumn id="1" xr3:uid="{AAAA1D87-0225-468F-BDB5-795CEEFDD090}" name="Country " dataDxfId="109"/>
    <tableColumn id="2" xr3:uid="{C708772A-DF67-4CC4-BF92-F12AA4966096}" name="Calls Presented"/>
    <tableColumn id="3" xr3:uid="{4581037F-B61A-4D9B-B6FB-267069B51730}" name="Calls Handled"/>
    <tableColumn id="4" xr3:uid="{6A132C25-EFF2-4855-863A-E7E9DF0D7EF3}" name="SVL"/>
    <tableColumn id="5" xr3:uid="{11C5E5D5-9E7E-49DD-8D98-A7C9FED3B394}" name="ANS"/>
    <tableColumn id="6" xr3:uid="{B9CACD85-A56C-4E53-9A0D-16AC7F7B46F4}" name="ABR" dataDxfId="108"/>
    <tableColumn id="7" xr3:uid="{3191F5F6-FE62-43F0-9FDE-F05B06957690}" name="AU" dataDxfId="107"/>
    <tableColumn id="8" xr3:uid="{E32A495B-55FE-4AF0-B0B7-54F447EB3C14}" name="AA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A1F726D-155A-4877-8F9B-1EBF84A193D2}" name="Table118212617911175141521252630323334373841394042" displayName="Table118212617911175141521252630323334373841394042" ref="B215:I223" totalsRowShown="0" headerRowDxfId="106" headerRowBorderDxfId="105" tableBorderDxfId="104" totalsRowBorderDxfId="103">
  <autoFilter ref="B215:I223" xr:uid="{1AB23CC1-D6D9-4900-8AF3-D1FF1EC5BED0}"/>
  <tableColumns count="8">
    <tableColumn id="1" xr3:uid="{7A3C7886-19F4-44C7-A500-84057D7D90BF}" name="Country " dataDxfId="102"/>
    <tableColumn id="2" xr3:uid="{8DC6EA8A-9CF8-4398-BD8C-89FA301D7FB3}" name="Calls Presented"/>
    <tableColumn id="3" xr3:uid="{75DF1E1A-CFEF-4661-8C82-61F8286B7B86}" name="Calls Handled"/>
    <tableColumn id="4" xr3:uid="{C079D2D2-CC78-4001-AC83-E17F6399B8BE}" name="SVL"/>
    <tableColumn id="5" xr3:uid="{2438E9D4-A9C0-4414-A129-231DAB4F00D8}" name="ANS"/>
    <tableColumn id="6" xr3:uid="{9E91A089-A2C9-41C5-AA95-8598A2223F2C}" name="ABR" dataDxfId="101"/>
    <tableColumn id="7" xr3:uid="{37EEB5FC-D848-4948-9246-071AD425E143}" name="AU" dataDxfId="100"/>
    <tableColumn id="8" xr3:uid="{E326C833-C384-48D0-9830-972A3FDC9BB2}" name="AA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T3:AC11" totalsRowShown="0" headerRowDxfId="99" headerRowBorderDxfId="98" tableBorderDxfId="97" totalsRowBorderDxfId="96">
  <autoFilter ref="T3:AC11" xr:uid="{A343A536-7EB7-4733-A073-B66A8A06F4DA}"/>
  <tableColumns count="10">
    <tableColumn id="1" xr3:uid="{67E23DA5-D648-4799-AEB7-DEAFEC227F77}" name="Country " dataDxfId="95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94"/>
    <tableColumn id="7" xr3:uid="{87CCC65D-8D87-467B-91F4-251868B16581}" name="AU/AO" dataDxfId="93"/>
    <tableColumn id="8" xr3:uid="{33394499-FCA3-4BA4-85A7-80573DBEFF5E}" name="AA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B34:K42" totalsRowShown="0" headerRowDxfId="92" headerRowBorderDxfId="91" tableBorderDxfId="90" totalsRowBorderDxfId="89">
  <autoFilter ref="B34:K42" xr:uid="{C3289AA0-2E8F-4A8B-BC02-648DF9705DCE}"/>
  <tableColumns count="10">
    <tableColumn id="1" xr3:uid="{59592756-BDC1-4029-AD92-6FD3C8CAA56E}" name="Country " dataDxfId="88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87"/>
    <tableColumn id="7" xr3:uid="{E3703453-BB8B-4D2E-A173-89517DC4B958}" name="AU/AO" dataDxfId="86"/>
    <tableColumn id="8" xr3:uid="{A8702158-0663-4494-AC7B-7D3BD21DF7C3}" name="AA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T34:AC42" totalsRowShown="0" headerRowDxfId="85" headerRowBorderDxfId="84" tableBorderDxfId="83" totalsRowBorderDxfId="82">
  <autoFilter ref="T34:AC42" xr:uid="{8920942D-4CCB-40ED-88D5-E43FAF715349}"/>
  <tableColumns count="10">
    <tableColumn id="1" xr3:uid="{58F325AC-39DE-499B-833A-6E20523C1D90}" name="Country " dataDxfId="81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80"/>
    <tableColumn id="7" xr3:uid="{D08B193B-5491-45D3-AB3C-7A5297753FB1}" name="AU/AO" dataDxfId="79"/>
    <tableColumn id="8" xr3:uid="{07E6300A-3A7F-49D4-8FFC-71C46DEA3886}" name="AA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B46:K54" totalsRowShown="0" headerRowDxfId="78" headerRowBorderDxfId="77" tableBorderDxfId="76" totalsRowBorderDxfId="75">
  <autoFilter ref="B46:K54" xr:uid="{B320AC36-3948-4F67-B905-C847CA63F525}"/>
  <tableColumns count="10">
    <tableColumn id="1" xr3:uid="{7E1CBDA9-B3E5-4B36-9F34-7C6748A8719A}" name="Country " dataDxfId="74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73"/>
    <tableColumn id="7" xr3:uid="{9A7D007C-C8FC-40E9-9810-E910203B56EC}" name="AU/AO" dataDxfId="72"/>
    <tableColumn id="8" xr3:uid="{A50CB434-02CB-4C47-9EA0-8BD2FE7521E6}" name="AA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T58:AC66" totalsRowShown="0" headerRowDxfId="71" headerRowBorderDxfId="70" tableBorderDxfId="69" totalsRowBorderDxfId="68">
  <autoFilter ref="T58:AC66" xr:uid="{C66FCEF4-AA5A-4EF1-A8E1-47AFAD69CD33}"/>
  <tableColumns count="10">
    <tableColumn id="1" xr3:uid="{5677FF45-617A-400E-ACD7-1A735AFAEDC1}" name="Country " dataDxfId="67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66"/>
    <tableColumn id="7" xr3:uid="{565D5370-0C31-4882-B7F6-FCF8D7A40C8A}" name="AU/AO" dataDxfId="65"/>
    <tableColumn id="8" xr3:uid="{95CB7142-1874-4646-95A2-E95C0C05F4FA}" name="AA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63611-91C5-4620-9F6C-EF1225929F50}" name="Table116172019232422" displayName="Table116172019232422" ref="T70:AC78" totalsRowShown="0" headerRowDxfId="64" headerRowBorderDxfId="63" tableBorderDxfId="62" totalsRowBorderDxfId="61">
  <autoFilter ref="T70:AC78" xr:uid="{3BA63611-91C5-4620-9F6C-EF1225929F50}"/>
  <tableColumns count="10">
    <tableColumn id="1" xr3:uid="{12EBA16E-0C1D-454F-B51A-E485B12BF05B}" name="Country " dataDxfId="60"/>
    <tableColumn id="2" xr3:uid="{07C18981-3409-4166-AADB-E2C5ADC87F9E}" name="Calls Presented"/>
    <tableColumn id="3" xr3:uid="{A6D2FD40-115C-40DA-BC9C-05209F183014}" name="Calls Handled"/>
    <tableColumn id="9" xr3:uid="{2B0F9534-D96C-4D94-82BB-16EA7A0FA2B0}" name="Percentage Change Calls Offered (MoM)"/>
    <tableColumn id="10" xr3:uid="{19BB3EDA-108A-4CB4-9A46-B1947B45ECB4}" name="Percentage Change Calls Answered (MoM)"/>
    <tableColumn id="4" xr3:uid="{94445A9A-3193-411C-9427-ECB42F6DED90}" name="SVL"/>
    <tableColumn id="5" xr3:uid="{64356697-70D8-4478-A6F2-C2B6FB9E294F}" name="ANS"/>
    <tableColumn id="6" xr3:uid="{04ABC0D4-D861-4252-A855-61519ADC8A4D}" name="ABR" dataDxfId="59"/>
    <tableColumn id="7" xr3:uid="{FB4D30FF-BF14-4BAE-BC28-41FAE882BEFA}" name="AU/AO" dataDxfId="58"/>
    <tableColumn id="8" xr3:uid="{7C234D41-EB8E-4CDB-AC07-A4685B63CBF7}" name="AA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B1198B5-3F91-4AD6-9C47-0B2625E73666}" name="Table11617201923242227" displayName="Table11617201923242227" ref="U82:AD90" totalsRowShown="0" headerRowDxfId="57" headerRowBorderDxfId="56" tableBorderDxfId="55" totalsRowBorderDxfId="54">
  <autoFilter ref="U82:AD90" xr:uid="{DB1198B5-3F91-4AD6-9C47-0B2625E73666}"/>
  <tableColumns count="10">
    <tableColumn id="1" xr3:uid="{C5C8EF8B-971D-4967-B0BB-35EB15A8EF30}" name="Country " dataDxfId="53"/>
    <tableColumn id="2" xr3:uid="{430B9F0A-FC53-4C29-8E6F-9A17C5615360}" name="Calls Presented"/>
    <tableColumn id="3" xr3:uid="{24F16D99-3480-42DF-9EA0-F6F583BE803C}" name="Calls Handled"/>
    <tableColumn id="9" xr3:uid="{22F6FEF6-571E-4AA6-9D31-FDDFC80B9098}" name="Percentage Change Calls Offered (MoM)"/>
    <tableColumn id="10" xr3:uid="{C7F358BE-B5DD-499B-B1B1-EC863A92B53D}" name="Percentage Change Calls Answered (MoM)"/>
    <tableColumn id="4" xr3:uid="{F790B80F-B484-4E4F-8126-58391B960DD2}" name="SVL"/>
    <tableColumn id="5" xr3:uid="{780D51E3-3E2D-430B-8F43-4D248AC96E59}" name="ANS"/>
    <tableColumn id="6" xr3:uid="{ACE8A52D-8063-4A1A-8A63-24596C915193}" name="ABR" dataDxfId="52"/>
    <tableColumn id="7" xr3:uid="{9DD7B633-A029-496B-907B-94D3E32CE71A}" name="AU/AO" dataDxfId="51"/>
    <tableColumn id="8" xr3:uid="{068E5ACD-B530-43EE-AB1F-BA19539AC6F7}" name="AA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295C5E2-5D41-4F2D-9D08-9E227E08FBFE}" name="Table1161729" displayName="Table1161729" ref="B78:I86" totalsRowShown="0" headerRowDxfId="50" headerRowBorderDxfId="49" tableBorderDxfId="48" totalsRowBorderDxfId="47">
  <autoFilter ref="B78:I86" xr:uid="{F66C8388-30F5-4AC2-A14C-E2EBA0288A53}"/>
  <tableColumns count="8">
    <tableColumn id="1" xr3:uid="{2D57EE01-A824-4A36-9396-B7578A6DA3D4}" name="Country " dataDxfId="46"/>
    <tableColumn id="2" xr3:uid="{98181A30-B5A6-431F-B41E-60427FF8B4FA}" name="Calls Presented"/>
    <tableColumn id="3" xr3:uid="{703FED24-D73E-48D7-A194-25131B76B247}" name="Calls Handled"/>
    <tableColumn id="4" xr3:uid="{6B32F7B5-4460-4547-B2A5-AB962F3C5B0B}" name="SVL"/>
    <tableColumn id="5" xr3:uid="{08869973-2FF1-464F-B420-AC9B32B780B8}" name="ANS"/>
    <tableColumn id="6" xr3:uid="{2D026B3B-EE6E-4CF4-AEEF-14D5F0B82B87}" name="ABR" dataDxfId="45"/>
    <tableColumn id="7" xr3:uid="{A246F0EB-79EC-43CF-A7BD-EC200CABEA77}" name="AU/AO" dataDxfId="44"/>
    <tableColumn id="8" xr3:uid="{51A6EBB6-828D-408E-9CC7-E75698E5FA82}" name="AA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7B91F3-AF9E-49DE-A0B6-FCDCA133ABD5}" name="Table1161728" displayName="Table1161728" ref="C15:J23" totalsRowShown="0" headerRowDxfId="43" headerRowBorderDxfId="42" tableBorderDxfId="41" totalsRowBorderDxfId="40">
  <autoFilter ref="C15:J23" xr:uid="{9E9DF553-D556-4AE0-8C61-D4F5AF7AA5F6}"/>
  <tableColumns count="8">
    <tableColumn id="1" xr3:uid="{06D603FB-1688-4F45-9CCA-A3C6C333B646}" name="Country " dataDxfId="39"/>
    <tableColumn id="2" xr3:uid="{590169A4-FD79-4F4A-AF8E-431D67397D38}" name="Calls Presented"/>
    <tableColumn id="3" xr3:uid="{8B736BC3-ED97-4818-BDCD-41805C1D2291}" name="Calls Handled"/>
    <tableColumn id="4" xr3:uid="{3CF3935C-01C5-45AF-8F6A-78EB8A0C622F}" name="SVL"/>
    <tableColumn id="5" xr3:uid="{C5CA13D8-B562-493E-9BCA-82CFAFF52C7A}" name="ANS"/>
    <tableColumn id="6" xr3:uid="{3082803D-17E6-4EB1-85B3-BCA1305BB506}" name="ABR" dataDxfId="38"/>
    <tableColumn id="7" xr3:uid="{7BA869C6-DDFA-4CB1-8E07-301AC946DF24}" name="AU/AO" dataDxfId="37"/>
    <tableColumn id="8" xr3:uid="{F5E93AF9-ED5C-4D22-ACCA-257DEAB571A5}" name="AA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5C5DF85-1C97-4496-BF36-EFB8D90E992D}" name="Table116172918" displayName="Table116172918" ref="B90:I98" totalsRowShown="0" headerRowDxfId="36" headerRowBorderDxfId="35" tableBorderDxfId="34" totalsRowBorderDxfId="33">
  <autoFilter ref="B90:I98" xr:uid="{2F28A03A-1203-4277-A67A-28B1B2A4BE7B}"/>
  <tableColumns count="8">
    <tableColumn id="1" xr3:uid="{069A3A7D-8ED4-4483-A856-07EE2212C82F}" name="Country " dataDxfId="32"/>
    <tableColumn id="2" xr3:uid="{4FEFCE8C-0FBA-49B8-B40B-6712EB0FA177}" name="Calls Presented"/>
    <tableColumn id="3" xr3:uid="{482CC498-1D9D-4E45-9C26-3C4C9105AA29}" name="Calls Handled"/>
    <tableColumn id="4" xr3:uid="{1665894E-C8E1-41CF-A9F3-6EA107E0311F}" name="SVL"/>
    <tableColumn id="5" xr3:uid="{5F0D960A-A17D-4A9A-9B01-64576007B6A3}" name="ANS"/>
    <tableColumn id="6" xr3:uid="{0C1D8522-BD86-4D02-AFF2-43BA58759DA7}" name="ABR" dataDxfId="31"/>
    <tableColumn id="7" xr3:uid="{B0310B57-84D9-4AB0-9641-CC63FBABEA33}" name="AU/AO" dataDxfId="30"/>
    <tableColumn id="8" xr3:uid="{278FAC63-CE97-44EB-A317-C2CA8AAECAC9}" name="AA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82FAE62-80AD-4F6A-94CF-EE5E3B37E759}" name="Table11617291835" displayName="Table11617291835" ref="B102:M110" totalsRowShown="0" headerRowDxfId="29" headerRowBorderDxfId="28" tableBorderDxfId="27" totalsRowBorderDxfId="26">
  <autoFilter ref="B102:M110" xr:uid="{3EF38702-DA8B-4B95-8C06-72DAF8BB68ED}"/>
  <tableColumns count="12">
    <tableColumn id="1" xr3:uid="{F64EBF97-25EF-4725-B893-ABD37EF081F1}" name="Country " dataDxfId="25"/>
    <tableColumn id="2" xr3:uid="{849A6553-3264-46E7-9637-882D16AA591E}" name="Calls Presented"/>
    <tableColumn id="3" xr3:uid="{AEAADEA4-BF08-4663-89B7-E77AED0AF6EE}" name="Calls Handled"/>
    <tableColumn id="4" xr3:uid="{8B94AB5E-53AD-46F1-8C85-FD87902A2004}" name="SVL"/>
    <tableColumn id="5" xr3:uid="{70E351F3-98B9-4A9B-AFD2-49C6E16E2CB6}" name="ANS"/>
    <tableColumn id="6" xr3:uid="{CD28CBC7-3A48-4F63-8537-1AB2B6814DC5}" name="ABR" dataDxfId="24"/>
    <tableColumn id="9" xr3:uid="{DF1E31FE-1607-4D8F-9F1A-98AECF0B6187}" name="SVL (Q1 FY24)" dataDxfId="23"/>
    <tableColumn id="10" xr3:uid="{E87A4B5E-F310-4918-8A97-3D5F875DE93E}" name="ABR (Q1 FY24)" dataDxfId="22"/>
    <tableColumn id="7" xr3:uid="{76A8D366-3687-49FD-B811-C31D83082B9E}" name="AU/AO" dataDxfId="21"/>
    <tableColumn id="11" xr3:uid="{7A302AAA-0C32-4A1E-96BE-DBF3DCDC1109}" name="AU (Q1 FY25)"/>
    <tableColumn id="8" xr3:uid="{71AAA0B4-4C43-458A-8BBC-ADB35336B6E5}" name="AA"/>
    <tableColumn id="12" xr3:uid="{41E6715A-6BDF-46F4-BED1-F7386D0AA5E5}" name="AA (Q1 FY25)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6311F61-412F-4BAA-8D9D-0A0F182AE05C}" name="Table11617291843" displayName="Table11617291843" ref="B114:I122" totalsRowShown="0" headerRowDxfId="20" headerRowBorderDxfId="19" tableBorderDxfId="18" totalsRowBorderDxfId="17">
  <autoFilter ref="B114:I122" xr:uid="{61D5FF38-9671-43E3-9074-EFC12351B647}"/>
  <tableColumns count="8">
    <tableColumn id="1" xr3:uid="{86206937-5BFE-4727-915A-86751AE1CC45}" name="Country " dataDxfId="16"/>
    <tableColumn id="2" xr3:uid="{841B1D14-F7A4-4B59-B672-376B643C4D26}" name="Calls Presented"/>
    <tableColumn id="3" xr3:uid="{DF443EA1-4EDE-401B-8965-7FBCACFB955A}" name="Calls Handled"/>
    <tableColumn id="4" xr3:uid="{EF74219D-9356-42AA-AA7D-3310E5C16C17}" name="SVL"/>
    <tableColumn id="5" xr3:uid="{BB5D11B9-9203-436A-B64C-E834AB7720E9}" name="ANS"/>
    <tableColumn id="6" xr3:uid="{2D633D19-13EF-4F9C-8E83-3001B3D70776}" name="ABR" dataDxfId="15"/>
    <tableColumn id="7" xr3:uid="{6B28C834-6F67-48B4-875E-5551937DD89A}" name="AU/AO" dataDxfId="14"/>
    <tableColumn id="8" xr3:uid="{1CD916A0-6BBC-4CAE-BB01-48AE816DE49B}" name="AA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50DC6D5-E6D5-41F2-BFFF-219F8314B190}" name="Table11821263136" displayName="Table11821263136" ref="B3:I11" totalsRowShown="0" headerRowDxfId="13" headerRowBorderDxfId="12" tableBorderDxfId="11" totalsRowBorderDxfId="10">
  <autoFilter ref="B3:I11" xr:uid="{28D9C936-3B95-42F3-9A7A-FE1E12A0E03B}"/>
  <tableColumns count="8">
    <tableColumn id="1" xr3:uid="{F719EECE-4AA7-47C8-BF86-BA66A2E7C7C9}" name="Country " dataDxfId="9"/>
    <tableColumn id="2" xr3:uid="{421DC3A3-AF32-472E-8414-F83FA9154E4C}" name="Calls Presented"/>
    <tableColumn id="3" xr3:uid="{394074B3-B972-4D3D-A5E6-E9C50C020BEA}" name="Calls Handled"/>
    <tableColumn id="4" xr3:uid="{AAABDBE8-C600-412D-BE96-CC91F20D8CA9}" name="SVL"/>
    <tableColumn id="5" xr3:uid="{F0F56BE1-A32A-495C-AFE0-D283169E7EF7}" name="ANS"/>
    <tableColumn id="6" xr3:uid="{B931007D-0069-48F3-AEC5-79C88D7495C4}" name="ABR" dataDxfId="8"/>
    <tableColumn id="7" xr3:uid="{36E7F5A3-26F8-43E0-8FF2-876CF5B6B3B6}" name="AU/AO" dataDxfId="7"/>
    <tableColumn id="8" xr3:uid="{DEFD818D-C160-4599-9ACB-C521410413B5}" name="AA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3A59719-DED0-43C5-A212-9427B51558C0}" name="Table118212631" displayName="Table118212631" ref="C4:J12" totalsRowShown="0" headerRowDxfId="6" headerRowBorderDxfId="5" tableBorderDxfId="4" totalsRowBorderDxfId="3">
  <autoFilter ref="C4:J12" xr:uid="{0C5C6AA4-0044-4AFF-BC0F-00121ECE75DC}"/>
  <tableColumns count="8">
    <tableColumn id="1" xr3:uid="{4BA9DA3D-1016-402B-8BB0-B20EE81AB1A9}" name="Country " dataDxfId="2"/>
    <tableColumn id="2" xr3:uid="{BDAA8517-58D5-454F-BE96-E65BEA9B7FA1}" name="Calls Presented"/>
    <tableColumn id="3" xr3:uid="{8EA488A9-AA28-4EA6-A9F5-06FFED41F96C}" name="Calls Handled"/>
    <tableColumn id="4" xr3:uid="{83698A09-8BC5-4BE5-AA1E-A6494E004034}" name="SVL"/>
    <tableColumn id="5" xr3:uid="{13488F86-D3ED-46FA-899E-82DF695F09F6}" name="ANS"/>
    <tableColumn id="6" xr3:uid="{154942F8-5412-43F8-B6B5-56FDF877C4B7}" name="ABR" dataDxfId="1"/>
    <tableColumn id="7" xr3:uid="{7808B543-39C7-4BF9-89B4-2DEE5D2FCD9A}" name="AU/AO" dataDxfId="0"/>
    <tableColumn id="8" xr3:uid="{370A4443-09CD-4F9C-999A-5ABD3C5CD89B}" name="A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18" Type="http://schemas.openxmlformats.org/officeDocument/2006/relationships/table" Target="../tables/table2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17" Type="http://schemas.openxmlformats.org/officeDocument/2006/relationships/table" Target="../tables/table25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19" Type="http://schemas.openxmlformats.org/officeDocument/2006/relationships/table" Target="../tables/table27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32.xml"/><Relationship Id="rId11" Type="http://schemas.openxmlformats.org/officeDocument/2006/relationships/table" Target="../tables/table37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H22"/>
  <sheetViews>
    <sheetView workbookViewId="0">
      <selection activeCell="C4" sqref="C4"/>
    </sheetView>
  </sheetViews>
  <sheetFormatPr defaultRowHeight="14.5"/>
  <cols>
    <col min="1" max="1" width="32" bestFit="1" customWidth="1"/>
    <col min="2" max="2" width="12.90625" bestFit="1" customWidth="1"/>
    <col min="3" max="3" width="6.6328125" bestFit="1" customWidth="1"/>
    <col min="4" max="4" width="7.6328125" bestFit="1" customWidth="1"/>
    <col min="5" max="6" width="7.453125" bestFit="1" customWidth="1"/>
    <col min="7" max="7" width="7.08984375" bestFit="1" customWidth="1"/>
    <col min="8" max="8" width="6.6328125" bestFit="1" customWidth="1"/>
  </cols>
  <sheetData>
    <row r="2" spans="1:8" ht="18.5">
      <c r="A2" s="427" t="s">
        <v>124</v>
      </c>
      <c r="B2" s="427"/>
      <c r="C2" s="427"/>
      <c r="D2" s="427"/>
      <c r="E2" s="427"/>
      <c r="F2" s="427"/>
      <c r="G2" s="427"/>
      <c r="H2" s="427"/>
    </row>
    <row r="3" spans="1:8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>
      <c r="A4" s="4" t="s">
        <v>8</v>
      </c>
      <c r="B4" s="9" t="s">
        <v>9</v>
      </c>
      <c r="C4" s="66"/>
      <c r="D4" s="66"/>
      <c r="E4" s="66"/>
      <c r="F4" s="119"/>
      <c r="G4" s="145"/>
      <c r="H4" s="99"/>
    </row>
    <row r="5" spans="1:8">
      <c r="A5" s="4" t="s">
        <v>10</v>
      </c>
      <c r="B5" s="9" t="s">
        <v>11</v>
      </c>
      <c r="C5" s="50"/>
      <c r="D5" s="114"/>
      <c r="E5" s="114"/>
      <c r="F5" s="114"/>
      <c r="G5" s="42"/>
      <c r="H5" s="42"/>
    </row>
    <row r="6" spans="1:8">
      <c r="A6" s="4" t="s">
        <v>12</v>
      </c>
      <c r="B6" s="9" t="s">
        <v>9</v>
      </c>
      <c r="C6" s="66"/>
      <c r="D6" s="66"/>
      <c r="E6" s="66"/>
      <c r="F6" s="119"/>
      <c r="G6" s="99"/>
      <c r="H6" s="99"/>
    </row>
    <row r="7" spans="1:8">
      <c r="A7" s="4" t="s">
        <v>13</v>
      </c>
      <c r="B7" s="9" t="s">
        <v>11</v>
      </c>
      <c r="C7" s="50"/>
      <c r="D7" s="50"/>
      <c r="E7" s="50"/>
      <c r="F7" s="114"/>
      <c r="G7" s="42"/>
      <c r="H7" s="42"/>
    </row>
    <row r="8" spans="1:8">
      <c r="A8" s="4" t="s">
        <v>14</v>
      </c>
      <c r="B8" s="9" t="s">
        <v>15</v>
      </c>
      <c r="C8" s="66"/>
      <c r="D8" s="66"/>
      <c r="E8" s="66"/>
      <c r="F8" s="66"/>
      <c r="G8" s="27"/>
      <c r="H8" s="27"/>
    </row>
    <row r="9" spans="1:8">
      <c r="A9" s="4" t="s">
        <v>16</v>
      </c>
      <c r="B9" s="9" t="s">
        <v>17</v>
      </c>
      <c r="C9" s="114"/>
      <c r="D9" s="114"/>
      <c r="E9" s="114"/>
      <c r="F9" s="50"/>
      <c r="G9" s="42"/>
      <c r="H9" s="137"/>
    </row>
    <row r="10" spans="1:8">
      <c r="A10" s="4" t="s">
        <v>18</v>
      </c>
      <c r="B10" s="3">
        <v>0.85</v>
      </c>
      <c r="C10" s="50"/>
      <c r="D10" s="50"/>
      <c r="E10" s="129"/>
      <c r="F10" s="129"/>
      <c r="G10" s="137"/>
      <c r="H10" s="129"/>
    </row>
    <row r="11" spans="1:8">
      <c r="A11" s="4" t="s">
        <v>19</v>
      </c>
      <c r="B11" s="121" t="s">
        <v>20</v>
      </c>
      <c r="C11" s="120"/>
      <c r="D11" s="120"/>
      <c r="E11" s="120"/>
      <c r="F11" s="120"/>
      <c r="G11" s="120"/>
      <c r="H11" s="125"/>
    </row>
    <row r="12" spans="1:8">
      <c r="A12" s="5" t="s">
        <v>21</v>
      </c>
      <c r="B12" s="121" t="s">
        <v>20</v>
      </c>
      <c r="C12" s="122"/>
      <c r="D12" s="122"/>
      <c r="E12" s="123"/>
      <c r="F12" s="123"/>
      <c r="G12" s="138"/>
      <c r="H12" s="124"/>
    </row>
    <row r="14" spans="1:8" ht="18.5">
      <c r="A14" s="428" t="s">
        <v>124</v>
      </c>
      <c r="B14" s="429"/>
      <c r="C14" s="429"/>
      <c r="D14" s="429"/>
      <c r="E14" s="429"/>
      <c r="F14" s="429"/>
      <c r="G14" s="430"/>
      <c r="H14" s="115"/>
    </row>
    <row r="15" spans="1:8">
      <c r="A15" s="6" t="s">
        <v>0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</row>
    <row r="16" spans="1:8">
      <c r="A16" s="4" t="s">
        <v>22</v>
      </c>
      <c r="B16" s="1"/>
      <c r="C16" s="1"/>
      <c r="D16" s="1"/>
      <c r="E16" s="1"/>
      <c r="F16" s="1"/>
      <c r="G16" s="1"/>
    </row>
    <row r="17" spans="1:7">
      <c r="A17" s="4" t="s">
        <v>23</v>
      </c>
      <c r="B17" s="1"/>
      <c r="C17" s="1"/>
      <c r="D17" s="1"/>
      <c r="E17" s="1"/>
      <c r="F17" s="1"/>
      <c r="G17" s="1"/>
    </row>
    <row r="18" spans="1:7">
      <c r="A18" s="4" t="s">
        <v>24</v>
      </c>
      <c r="B18" s="1"/>
      <c r="C18" s="1"/>
      <c r="D18" s="1"/>
      <c r="E18" s="1"/>
      <c r="F18" s="1"/>
      <c r="G18" s="1"/>
    </row>
    <row r="19" spans="1:7">
      <c r="A19" s="4" t="s">
        <v>25</v>
      </c>
      <c r="B19" s="1"/>
      <c r="C19" s="1"/>
      <c r="D19" s="1"/>
      <c r="E19" s="1"/>
      <c r="F19" s="1"/>
      <c r="G19" s="1"/>
    </row>
    <row r="20" spans="1:7">
      <c r="A20" s="4" t="s">
        <v>26</v>
      </c>
      <c r="B20" s="17"/>
      <c r="C20" s="17"/>
      <c r="D20" s="57"/>
      <c r="E20" s="52"/>
      <c r="F20" s="57"/>
      <c r="G20" s="57"/>
    </row>
    <row r="21" spans="1:7">
      <c r="A21" s="4" t="s">
        <v>27</v>
      </c>
      <c r="B21" s="18"/>
      <c r="C21" s="18"/>
      <c r="D21" s="127"/>
      <c r="E21" s="65"/>
      <c r="F21" s="65"/>
      <c r="G21" s="65"/>
    </row>
    <row r="22" spans="1:7">
      <c r="A22" s="5" t="s">
        <v>28</v>
      </c>
      <c r="B22" s="19"/>
      <c r="C22" s="19"/>
      <c r="D22" s="128"/>
      <c r="E22" s="51"/>
      <c r="F22" s="118"/>
      <c r="G22" s="118"/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workbookViewId="0">
      <selection activeCell="G17" sqref="G17"/>
    </sheetView>
  </sheetViews>
  <sheetFormatPr defaultRowHeight="14.5"/>
  <cols>
    <col min="1" max="1" width="32" bestFit="1" customWidth="1"/>
    <col min="2" max="2" width="12.54296875" bestFit="1" customWidth="1"/>
    <col min="5" max="5" width="11.6328125" bestFit="1" customWidth="1"/>
    <col min="6" max="6" width="11.1796875" customWidth="1"/>
    <col min="7" max="7" width="15.36328125" bestFit="1" customWidth="1"/>
    <col min="8" max="8" width="14.453125" bestFit="1" customWidth="1"/>
  </cols>
  <sheetData>
    <row r="2" spans="1:8" ht="18.5">
      <c r="A2" s="427" t="s">
        <v>151</v>
      </c>
      <c r="B2" s="427"/>
      <c r="C2" s="427"/>
      <c r="D2" s="427"/>
      <c r="E2" s="427"/>
      <c r="F2" s="427"/>
      <c r="G2" s="427"/>
      <c r="H2" s="427"/>
    </row>
    <row r="3" spans="1:8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>
      <c r="A4" s="4" t="s">
        <v>8</v>
      </c>
      <c r="B4" s="9" t="s">
        <v>9</v>
      </c>
      <c r="C4" s="203">
        <v>4.7453703703703704E-4</v>
      </c>
      <c r="D4" s="203">
        <v>3.5879629629629635E-4</v>
      </c>
      <c r="E4" s="203">
        <v>3.7037037037037035E-4</v>
      </c>
      <c r="F4" s="203">
        <v>5.9027777777777778E-4</v>
      </c>
      <c r="G4" s="205">
        <v>2.4074074074074076E-3</v>
      </c>
      <c r="H4" s="206">
        <v>5.4398148148148144E-4</v>
      </c>
    </row>
    <row r="5" spans="1:8">
      <c r="A5" s="4" t="s">
        <v>10</v>
      </c>
      <c r="B5" s="9" t="s">
        <v>11</v>
      </c>
      <c r="C5" s="50">
        <v>0.83</v>
      </c>
      <c r="D5" s="50">
        <v>0.93</v>
      </c>
      <c r="E5" s="50">
        <v>0.94</v>
      </c>
      <c r="F5" s="114">
        <v>0.78</v>
      </c>
      <c r="G5" s="42">
        <v>0.37</v>
      </c>
      <c r="H5" s="137">
        <v>0.87</v>
      </c>
    </row>
    <row r="6" spans="1:8">
      <c r="A6" s="4" t="s">
        <v>12</v>
      </c>
      <c r="B6" s="9" t="s">
        <v>9</v>
      </c>
      <c r="C6" s="203">
        <v>3.2407407407407406E-4</v>
      </c>
      <c r="D6" s="203">
        <v>2.5462962962962961E-4</v>
      </c>
      <c r="E6" s="203">
        <v>2.199074074074074E-4</v>
      </c>
      <c r="F6" s="203">
        <v>6.018518518518519E-4</v>
      </c>
      <c r="G6" s="205">
        <v>3.6111111111111114E-3</v>
      </c>
      <c r="H6" s="206">
        <v>3.1250000000000001E-4</v>
      </c>
    </row>
    <row r="7" spans="1:8">
      <c r="A7" s="4" t="s">
        <v>13</v>
      </c>
      <c r="B7" s="9" t="s">
        <v>11</v>
      </c>
      <c r="C7" s="50">
        <v>0.93</v>
      </c>
      <c r="D7" s="50">
        <v>0.96</v>
      </c>
      <c r="E7" s="50">
        <v>0.97</v>
      </c>
      <c r="F7" s="50">
        <v>0.85</v>
      </c>
      <c r="G7" s="42">
        <v>0.5</v>
      </c>
      <c r="H7" s="137">
        <v>0.94</v>
      </c>
    </row>
    <row r="8" spans="1:8">
      <c r="A8" s="4" t="s">
        <v>14</v>
      </c>
      <c r="B8" s="9" t="s">
        <v>15</v>
      </c>
      <c r="C8" s="203">
        <v>4.0624999999999993E-3</v>
      </c>
      <c r="D8" s="204">
        <v>5.4398148148148149E-3</v>
      </c>
      <c r="E8" s="203">
        <v>5.4629629629629637E-3</v>
      </c>
      <c r="F8" s="203">
        <v>5.37037037037037E-3</v>
      </c>
      <c r="G8" s="206">
        <v>3.8888888888888883E-3</v>
      </c>
      <c r="H8" s="206">
        <v>5.4166666666666669E-3</v>
      </c>
    </row>
    <row r="9" spans="1:8">
      <c r="A9" s="4" t="s">
        <v>16</v>
      </c>
      <c r="B9" s="9" t="s">
        <v>17</v>
      </c>
      <c r="C9" s="50">
        <v>0.91</v>
      </c>
      <c r="D9" s="114">
        <v>0.81</v>
      </c>
      <c r="E9" s="50">
        <v>0.87</v>
      </c>
      <c r="F9" s="114">
        <v>0.81</v>
      </c>
      <c r="G9" s="137">
        <v>0.88</v>
      </c>
      <c r="H9" s="42">
        <v>0.84</v>
      </c>
    </row>
    <row r="10" spans="1:8">
      <c r="A10" s="4" t="s">
        <v>18</v>
      </c>
      <c r="B10" s="3">
        <v>0.85</v>
      </c>
      <c r="C10" s="50">
        <v>0.85</v>
      </c>
      <c r="D10" s="50">
        <v>0.96</v>
      </c>
      <c r="E10" s="129">
        <v>0.92</v>
      </c>
      <c r="F10" s="129">
        <v>1</v>
      </c>
      <c r="G10" s="137">
        <v>1</v>
      </c>
      <c r="H10" s="129">
        <v>1</v>
      </c>
    </row>
    <row r="11" spans="1:8">
      <c r="A11" s="4" t="s">
        <v>19</v>
      </c>
      <c r="B11" s="121" t="s">
        <v>20</v>
      </c>
      <c r="C11" s="120">
        <v>71</v>
      </c>
      <c r="D11" s="120">
        <v>150</v>
      </c>
      <c r="E11" s="120">
        <v>13</v>
      </c>
      <c r="F11" s="120">
        <v>22</v>
      </c>
      <c r="G11" s="27">
        <v>4</v>
      </c>
      <c r="H11" s="125">
        <v>11</v>
      </c>
    </row>
    <row r="12" spans="1:8">
      <c r="A12" s="5" t="s">
        <v>21</v>
      </c>
      <c r="B12" s="121" t="s">
        <v>20</v>
      </c>
      <c r="C12" s="122">
        <v>0.13100000000000001</v>
      </c>
      <c r="D12" s="122">
        <v>0.23899999999999999</v>
      </c>
      <c r="E12" s="123">
        <v>0.19400000000000001</v>
      </c>
      <c r="F12" s="123">
        <v>0.13</v>
      </c>
      <c r="G12" s="137">
        <v>0.13</v>
      </c>
      <c r="H12" s="124">
        <v>0.13</v>
      </c>
    </row>
    <row r="14" spans="1:8" ht="18.5">
      <c r="A14" s="428" t="s">
        <v>151</v>
      </c>
      <c r="B14" s="429"/>
      <c r="C14" s="429"/>
      <c r="D14" s="429"/>
      <c r="E14" s="429"/>
      <c r="F14" s="429"/>
      <c r="G14" s="430"/>
      <c r="H14" s="115"/>
    </row>
    <row r="15" spans="1:8">
      <c r="A15" s="6" t="s">
        <v>0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</row>
    <row r="16" spans="1:8">
      <c r="A16" s="4" t="s">
        <v>22</v>
      </c>
      <c r="B16" s="1">
        <v>542</v>
      </c>
      <c r="C16" s="1">
        <v>628</v>
      </c>
      <c r="D16" s="1">
        <v>67</v>
      </c>
      <c r="E16" s="1">
        <v>173</v>
      </c>
      <c r="F16" s="39">
        <v>30</v>
      </c>
      <c r="G16" s="1">
        <v>86</v>
      </c>
    </row>
    <row r="17" spans="1:7">
      <c r="A17" s="4" t="s">
        <v>23</v>
      </c>
      <c r="B17" s="1">
        <v>7</v>
      </c>
      <c r="C17" s="1">
        <v>2</v>
      </c>
      <c r="D17" s="1">
        <v>0</v>
      </c>
      <c r="E17" s="1">
        <v>20</v>
      </c>
      <c r="F17" s="39">
        <v>73</v>
      </c>
      <c r="G17" s="1">
        <v>12</v>
      </c>
    </row>
    <row r="18" spans="1:7">
      <c r="A18" s="4" t="s">
        <v>24</v>
      </c>
      <c r="B18" s="1">
        <v>0</v>
      </c>
      <c r="C18" s="1">
        <v>12</v>
      </c>
      <c r="D18" s="1">
        <v>0</v>
      </c>
      <c r="E18" s="1">
        <v>11</v>
      </c>
      <c r="F18" s="39">
        <v>1</v>
      </c>
      <c r="G18" s="1">
        <v>5</v>
      </c>
    </row>
    <row r="19" spans="1:7">
      <c r="A19" s="4" t="s">
        <v>25</v>
      </c>
      <c r="B19" s="1">
        <v>549</v>
      </c>
      <c r="C19" s="1">
        <v>642</v>
      </c>
      <c r="D19" s="1">
        <v>67</v>
      </c>
      <c r="E19" s="1">
        <v>204</v>
      </c>
      <c r="F19" s="39">
        <v>104</v>
      </c>
      <c r="G19" s="1">
        <v>103</v>
      </c>
    </row>
    <row r="20" spans="1:7">
      <c r="A20" s="4" t="s">
        <v>26</v>
      </c>
      <c r="B20" s="17">
        <f t="shared" ref="B20:G20" si="0">B16/(B19-B18)</f>
        <v>0.98724954462659376</v>
      </c>
      <c r="C20" s="57">
        <f>C16/(C19-C18)</f>
        <v>0.99682539682539684</v>
      </c>
      <c r="D20" s="57">
        <f t="shared" si="0"/>
        <v>1</v>
      </c>
      <c r="E20" s="57">
        <f t="shared" si="0"/>
        <v>0.89637305699481862</v>
      </c>
      <c r="F20" s="52">
        <f t="shared" si="0"/>
        <v>0.29126213592233008</v>
      </c>
      <c r="G20" s="52">
        <f t="shared" si="0"/>
        <v>0.87755102040816324</v>
      </c>
    </row>
    <row r="21" spans="1:7">
      <c r="A21" s="4" t="s">
        <v>29</v>
      </c>
      <c r="B21" s="18">
        <f t="shared" ref="B21:G21" si="1">B18/B19</f>
        <v>0</v>
      </c>
      <c r="C21" s="18">
        <f t="shared" si="1"/>
        <v>1.8691588785046728E-2</v>
      </c>
      <c r="D21" s="127">
        <f t="shared" si="1"/>
        <v>0</v>
      </c>
      <c r="E21" s="65">
        <f t="shared" si="1"/>
        <v>5.3921568627450983E-2</v>
      </c>
      <c r="F21" s="65">
        <f t="shared" si="1"/>
        <v>9.6153846153846159E-3</v>
      </c>
      <c r="G21" s="65">
        <f t="shared" si="1"/>
        <v>4.8543689320388349E-2</v>
      </c>
    </row>
    <row r="22" spans="1:7">
      <c r="A22" s="5" t="s">
        <v>28</v>
      </c>
      <c r="B22" s="19">
        <f t="shared" ref="B22:G22" si="2">B17/(B19-B18)</f>
        <v>1.2750455373406194E-2</v>
      </c>
      <c r="C22" s="128">
        <f>C17/(C19-C18)</f>
        <v>3.1746031746031746E-3</v>
      </c>
      <c r="D22" s="128">
        <f t="shared" si="2"/>
        <v>0</v>
      </c>
      <c r="E22" s="51">
        <f>E17/(E19-E18)</f>
        <v>0.10362694300518134</v>
      </c>
      <c r="F22" s="51">
        <f t="shared" si="2"/>
        <v>0.70873786407766992</v>
      </c>
      <c r="G22" s="51">
        <f t="shared" si="2"/>
        <v>0.12244897959183673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I366"/>
  <sheetViews>
    <sheetView zoomScale="70" zoomScaleNormal="70" workbookViewId="0">
      <pane xSplit="1" ySplit="1" topLeftCell="J107" activePane="bottomRight" state="frozen"/>
      <selection pane="topRight" activeCell="B1" sqref="B1"/>
      <selection pane="bottomLeft" activeCell="A3" sqref="A3"/>
      <selection pane="bottomRight" activeCell="P1" sqref="P1"/>
    </sheetView>
  </sheetViews>
  <sheetFormatPr defaultRowHeight="14.5"/>
  <cols>
    <col min="2" max="2" width="19.7265625" bestFit="1" customWidth="1"/>
    <col min="3" max="3" width="19" bestFit="1" customWidth="1"/>
    <col min="4" max="4" width="6.90625" customWidth="1"/>
    <col min="5" max="5" width="10.54296875" customWidth="1"/>
    <col min="6" max="6" width="14.08984375" bestFit="1" customWidth="1"/>
    <col min="7" max="7" width="32.453125" bestFit="1" customWidth="1"/>
    <col min="8" max="8" width="31.08984375" bestFit="1" customWidth="1"/>
    <col min="9" max="9" width="27.90625" bestFit="1" customWidth="1"/>
    <col min="10" max="10" width="23.453125" bestFit="1" customWidth="1"/>
    <col min="11" max="12" width="23.453125" customWidth="1"/>
    <col min="13" max="13" width="11" bestFit="1" customWidth="1"/>
    <col min="14" max="15" width="12.90625" bestFit="1" customWidth="1"/>
    <col min="16" max="16" width="15.36328125" bestFit="1" customWidth="1"/>
    <col min="17" max="17" width="11.08984375" bestFit="1" customWidth="1"/>
    <col min="18" max="18" width="12.54296875" bestFit="1" customWidth="1"/>
    <col min="19" max="19" width="12.90625" bestFit="1" customWidth="1"/>
    <col min="20" max="20" width="20.453125" bestFit="1" customWidth="1"/>
    <col min="21" max="21" width="30" bestFit="1" customWidth="1"/>
    <col min="22" max="22" width="31.36328125" bestFit="1" customWidth="1"/>
    <col min="23" max="23" width="19.7265625" bestFit="1" customWidth="1"/>
    <col min="24" max="24" width="22.08984375" bestFit="1" customWidth="1"/>
    <col min="26" max="26" width="12.81640625" bestFit="1" customWidth="1"/>
    <col min="27" max="27" width="15.08984375" bestFit="1" customWidth="1"/>
    <col min="28" max="28" width="14.1796875" bestFit="1" customWidth="1"/>
    <col min="30" max="30" width="7.90625" bestFit="1" customWidth="1"/>
    <col min="31" max="31" width="17.26953125" bestFit="1" customWidth="1"/>
    <col min="32" max="32" width="17" bestFit="1" customWidth="1"/>
    <col min="33" max="33" width="19.08984375" bestFit="1" customWidth="1"/>
    <col min="34" max="34" width="19.7265625" bestFit="1" customWidth="1"/>
    <col min="35" max="35" width="17.26953125" bestFit="1" customWidth="1"/>
  </cols>
  <sheetData>
    <row r="1" spans="1:35" ht="29">
      <c r="A1" s="84" t="s">
        <v>30</v>
      </c>
      <c r="B1" s="394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6" t="s">
        <v>43</v>
      </c>
      <c r="R1" s="36" t="s">
        <v>44</v>
      </c>
      <c r="S1" s="36" t="s">
        <v>45</v>
      </c>
      <c r="T1" s="36" t="s">
        <v>46</v>
      </c>
      <c r="U1" s="365" t="s">
        <v>164</v>
      </c>
      <c r="V1" s="365" t="s">
        <v>163</v>
      </c>
      <c r="W1" s="365" t="s">
        <v>171</v>
      </c>
      <c r="X1" s="395" t="s">
        <v>170</v>
      </c>
    </row>
    <row r="2" spans="1:35" ht="17.149999999999999" customHeight="1">
      <c r="A2" s="396">
        <v>45383</v>
      </c>
      <c r="B2" s="385">
        <f>IF(YEAR(Table6[[#This Row],[Date]]) = 2024, WEEKNUM(Table6[[#This Row],[Date]])-13, WEEKNUM(Table6[[#This Row],[Date]])+40)</f>
        <v>1</v>
      </c>
      <c r="C2" s="1" t="s">
        <v>47</v>
      </c>
      <c r="D2" s="296" t="s">
        <v>48</v>
      </c>
      <c r="E2" s="1">
        <v>0</v>
      </c>
      <c r="F2" s="1">
        <v>0</v>
      </c>
      <c r="G2" s="77">
        <v>0</v>
      </c>
      <c r="H2" s="77">
        <v>0</v>
      </c>
      <c r="I2" s="28">
        <v>0</v>
      </c>
      <c r="J2" s="28">
        <v>0</v>
      </c>
      <c r="K2" s="28">
        <f>Table6[[#This Row],[Calls Off]]</f>
        <v>0</v>
      </c>
      <c r="L2" s="28">
        <f>Table6[[#This Row],[Calls Ans]]</f>
        <v>0</v>
      </c>
      <c r="M2" s="17">
        <v>0</v>
      </c>
      <c r="N2" s="17">
        <v>0</v>
      </c>
      <c r="O2" s="17">
        <v>0</v>
      </c>
      <c r="P2" s="33">
        <v>0</v>
      </c>
      <c r="Q2" s="148"/>
      <c r="R2" s="38">
        <v>0</v>
      </c>
      <c r="S2" s="397">
        <v>0</v>
      </c>
      <c r="T2" s="1">
        <v>0</v>
      </c>
      <c r="U2" s="363" t="str">
        <f t="shared" ref="U2:U33" si="0">IF(OR(G2&lt;$AA$5,G2&gt;$AB$5), "Outlier", "Normal")</f>
        <v>Normal</v>
      </c>
      <c r="V2" s="363" t="str">
        <f>IF(OR(H2&lt;$AA$5,H2&gt;$AB$5), "Outlier", "Normal")</f>
        <v>Normal</v>
      </c>
      <c r="W2" s="77">
        <f>IF(U2="Normal",$G2,$AA$9)</f>
        <v>0</v>
      </c>
      <c r="X2" s="398">
        <f>IF(V2="Normal",$H2,$AE$9)</f>
        <v>0</v>
      </c>
    </row>
    <row r="3" spans="1:35" ht="17.149999999999999" customHeight="1">
      <c r="A3" s="396">
        <v>45384</v>
      </c>
      <c r="B3" s="385">
        <f>IF(YEAR(Table6[[#This Row],[Date]]) = 2024, WEEKNUM(Table6[[#This Row],[Date]])-13, WEEKNUM(Table6[[#This Row],[Date]])+40)</f>
        <v>1</v>
      </c>
      <c r="C3" s="1" t="s">
        <v>49</v>
      </c>
      <c r="D3" s="296" t="s">
        <v>48</v>
      </c>
      <c r="E3" s="1">
        <v>1242</v>
      </c>
      <c r="F3" s="1">
        <v>834</v>
      </c>
      <c r="G3" s="18">
        <f>(E3-1139)/1139</f>
        <v>9.0430201931518878E-2</v>
      </c>
      <c r="H3" s="18">
        <f>(873-F3)/873</f>
        <v>4.4673539518900345E-2</v>
      </c>
      <c r="I3" s="1">
        <f>E3</f>
        <v>1242</v>
      </c>
      <c r="J3" s="1">
        <f>F3</f>
        <v>834</v>
      </c>
      <c r="K3" s="1">
        <f>K2+Table6[[#This Row],[Calls Off]]</f>
        <v>1242</v>
      </c>
      <c r="L3" s="1">
        <f>L2+Table6[[#This Row],[Calls Ans]]</f>
        <v>834</v>
      </c>
      <c r="M3" s="17">
        <v>0.17</v>
      </c>
      <c r="N3" s="17">
        <v>0.33</v>
      </c>
      <c r="O3" s="17">
        <v>0.67</v>
      </c>
      <c r="P3" s="17">
        <v>1</v>
      </c>
      <c r="Q3" s="148"/>
      <c r="R3" s="39">
        <v>420</v>
      </c>
      <c r="S3" s="139">
        <v>0.125</v>
      </c>
      <c r="T3" s="1">
        <v>13</v>
      </c>
      <c r="U3" s="363" t="str">
        <f t="shared" si="0"/>
        <v>Normal</v>
      </c>
      <c r="V3" s="363" t="str">
        <f t="shared" ref="V3:V33" si="1">IF(OR(H3&lt;$AA$5,H3&gt;$AB$5), "Outlier", "Normal")</f>
        <v>Normal</v>
      </c>
      <c r="W3" s="77">
        <f t="shared" ref="W3:W66" si="2">IF(U3="Normal",$G3,$AA$9)</f>
        <v>9.0430201931518878E-2</v>
      </c>
      <c r="X3" s="398">
        <f t="shared" ref="X3:X66" si="3">IF(V3="Normal",$H3,$AE$9)</f>
        <v>4.4673539518900345E-2</v>
      </c>
      <c r="Z3" s="431" t="s">
        <v>153</v>
      </c>
      <c r="AA3" s="431"/>
      <c r="AB3" s="431"/>
      <c r="AD3" s="431" t="s">
        <v>159</v>
      </c>
      <c r="AE3" s="431"/>
      <c r="AG3" s="431" t="s">
        <v>160</v>
      </c>
      <c r="AH3" s="431"/>
    </row>
    <row r="4" spans="1:35" ht="17.149999999999999" customHeight="1">
      <c r="A4" s="396">
        <v>45385</v>
      </c>
      <c r="B4" s="385">
        <f>IF(YEAR(Table6[[#This Row],[Date]]) = 2024, WEEKNUM(Table6[[#This Row],[Date]])-13, WEEKNUM(Table6[[#This Row],[Date]])+40)</f>
        <v>1</v>
      </c>
      <c r="C4" s="1" t="s">
        <v>50</v>
      </c>
      <c r="D4" s="296" t="s">
        <v>48</v>
      </c>
      <c r="E4" s="1">
        <v>1114</v>
      </c>
      <c r="F4" s="1">
        <v>774</v>
      </c>
      <c r="G4" s="18">
        <f>(E4-1172)/1172</f>
        <v>-4.9488054607508533E-2</v>
      </c>
      <c r="H4" s="18">
        <f>(F4-980)/980</f>
        <v>-0.21020408163265306</v>
      </c>
      <c r="I4" s="1">
        <f t="shared" ref="I4:J7" si="4">I3+E4</f>
        <v>2356</v>
      </c>
      <c r="J4" s="1">
        <f t="shared" si="4"/>
        <v>1608</v>
      </c>
      <c r="K4" s="1">
        <f>K3+Table6[[#This Row],[Calls Off]]</f>
        <v>2356</v>
      </c>
      <c r="L4" s="1">
        <f>L3+Table6[[#This Row],[Calls Ans]]</f>
        <v>1608</v>
      </c>
      <c r="M4" s="17">
        <v>0.32</v>
      </c>
      <c r="N4" s="17">
        <v>0.31</v>
      </c>
      <c r="O4" s="17">
        <v>0.69</v>
      </c>
      <c r="P4" s="17">
        <v>0.72</v>
      </c>
      <c r="Q4" s="148"/>
      <c r="R4" s="39">
        <v>300</v>
      </c>
      <c r="S4" s="139">
        <v>0.12430555555555556</v>
      </c>
      <c r="T4" s="1">
        <v>12</v>
      </c>
      <c r="U4" s="363" t="str">
        <f t="shared" si="0"/>
        <v>Normal</v>
      </c>
      <c r="V4" s="363" t="str">
        <f t="shared" si="1"/>
        <v>Normal</v>
      </c>
      <c r="W4" s="77">
        <f t="shared" si="2"/>
        <v>-4.9488054607508533E-2</v>
      </c>
      <c r="X4" s="398">
        <f t="shared" si="3"/>
        <v>-0.21020408163265306</v>
      </c>
      <c r="Z4" s="361" t="s">
        <v>161</v>
      </c>
      <c r="AA4" s="1" t="s">
        <v>156</v>
      </c>
      <c r="AB4" s="1" t="s">
        <v>157</v>
      </c>
      <c r="AD4" s="1" t="s">
        <v>154</v>
      </c>
      <c r="AE4" s="379">
        <f>_xlfn.QUARTILE.INC(G:G, 1)</f>
        <v>-5.7649667405764965E-2</v>
      </c>
      <c r="AG4" s="1" t="s">
        <v>154</v>
      </c>
      <c r="AH4" s="379">
        <f>_xlfn.QUARTILE.INC(H:H, 1)</f>
        <v>-5.3549190535491904E-2</v>
      </c>
    </row>
    <row r="5" spans="1:35" ht="17.149999999999999" customHeight="1">
      <c r="A5" s="396">
        <v>45386</v>
      </c>
      <c r="B5" s="385">
        <f>IF(YEAR(Table6[[#This Row],[Date]]) = 2024, WEEKNUM(Table6[[#This Row],[Date]])-13, WEEKNUM(Table6[[#This Row],[Date]])+40)</f>
        <v>1</v>
      </c>
      <c r="C5" s="1" t="s">
        <v>51</v>
      </c>
      <c r="D5" s="296" t="s">
        <v>48</v>
      </c>
      <c r="E5" s="1">
        <v>1045</v>
      </c>
      <c r="F5" s="1">
        <v>726</v>
      </c>
      <c r="G5" s="18">
        <f>(E5-1211)/1211</f>
        <v>-0.1370767960363336</v>
      </c>
      <c r="H5" s="18">
        <f>(F5-753)/753</f>
        <v>-3.5856573705179286E-2</v>
      </c>
      <c r="I5" s="1">
        <f t="shared" si="4"/>
        <v>3401</v>
      </c>
      <c r="J5" s="1">
        <f t="shared" si="4"/>
        <v>2334</v>
      </c>
      <c r="K5" s="1">
        <f>K4+Table6[[#This Row],[Calls Off]]</f>
        <v>3401</v>
      </c>
      <c r="L5" s="1">
        <f>L4+Table6[[#This Row],[Calls Ans]]</f>
        <v>2334</v>
      </c>
      <c r="M5" s="17">
        <v>0.28000000000000003</v>
      </c>
      <c r="N5" s="17">
        <v>0.31</v>
      </c>
      <c r="O5" s="17">
        <v>0.69</v>
      </c>
      <c r="P5" s="17">
        <v>0.88</v>
      </c>
      <c r="Q5" s="148"/>
      <c r="R5" s="39">
        <v>360</v>
      </c>
      <c r="S5" s="149">
        <v>9.375E-2</v>
      </c>
      <c r="T5" s="1">
        <v>11</v>
      </c>
      <c r="U5" s="363" t="str">
        <f t="shared" si="0"/>
        <v>Normal</v>
      </c>
      <c r="V5" s="363" t="str">
        <f t="shared" si="1"/>
        <v>Normal</v>
      </c>
      <c r="W5" s="77">
        <f t="shared" si="2"/>
        <v>-0.1370767960363336</v>
      </c>
      <c r="X5" s="398">
        <f t="shared" si="3"/>
        <v>-3.5856573705179286E-2</v>
      </c>
      <c r="Z5" s="361" t="s">
        <v>162</v>
      </c>
      <c r="AA5" s="18">
        <f>AE4-1.5*AE6</f>
        <v>-0.21691198963715266</v>
      </c>
      <c r="AB5" s="18">
        <f>AE5+1.5*AE6</f>
        <v>0.20778753631321453</v>
      </c>
      <c r="AD5" s="1" t="s">
        <v>155</v>
      </c>
      <c r="AE5" s="379">
        <f>_xlfn.QUARTILE.INC(G:G, 3)</f>
        <v>4.8525214081826834E-2</v>
      </c>
      <c r="AG5" s="1" t="s">
        <v>155</v>
      </c>
      <c r="AH5" s="379">
        <f>_xlfn.QUARTILE.INC(H:H, 3)</f>
        <v>6.6098081023454158E-2</v>
      </c>
    </row>
    <row r="6" spans="1:35" ht="17.149999999999999" customHeight="1">
      <c r="A6" s="396">
        <v>45387</v>
      </c>
      <c r="B6" s="385">
        <f>IF(YEAR(Table6[[#This Row],[Date]]) = 2024, WEEKNUM(Table6[[#This Row],[Date]])-13, WEEKNUM(Table6[[#This Row],[Date]])+40)</f>
        <v>1</v>
      </c>
      <c r="C6" s="1" t="s">
        <v>52</v>
      </c>
      <c r="D6" s="296" t="s">
        <v>48</v>
      </c>
      <c r="E6" s="1">
        <v>1023</v>
      </c>
      <c r="F6" s="1">
        <v>950</v>
      </c>
      <c r="G6" s="18">
        <v>0</v>
      </c>
      <c r="H6" s="18">
        <v>0</v>
      </c>
      <c r="I6" s="1">
        <f t="shared" si="4"/>
        <v>4424</v>
      </c>
      <c r="J6" s="1">
        <f t="shared" si="4"/>
        <v>3284</v>
      </c>
      <c r="K6" s="1">
        <f>K5+Table6[[#This Row],[Calls Off]]</f>
        <v>4424</v>
      </c>
      <c r="L6" s="1">
        <f>L5+Table6[[#This Row],[Calls Ans]]</f>
        <v>3284</v>
      </c>
      <c r="M6" s="17">
        <v>0.76</v>
      </c>
      <c r="N6" s="17">
        <v>7.0000000000000007E-2</v>
      </c>
      <c r="O6" s="17">
        <v>0.93</v>
      </c>
      <c r="P6" s="17">
        <v>0.79</v>
      </c>
      <c r="Q6" s="148"/>
      <c r="R6" s="39">
        <v>291</v>
      </c>
      <c r="S6" s="149">
        <v>2.4999999999999998E-2</v>
      </c>
      <c r="T6" s="1">
        <v>13</v>
      </c>
      <c r="U6" s="363" t="str">
        <f t="shared" si="0"/>
        <v>Normal</v>
      </c>
      <c r="V6" s="363" t="str">
        <f t="shared" si="1"/>
        <v>Normal</v>
      </c>
      <c r="W6" s="77">
        <f t="shared" si="2"/>
        <v>0</v>
      </c>
      <c r="X6" s="398">
        <f t="shared" si="3"/>
        <v>0</v>
      </c>
      <c r="Z6" s="361" t="s">
        <v>34</v>
      </c>
      <c r="AA6" s="18">
        <f>AH4-1.5*AH6</f>
        <v>-0.23302009787391098</v>
      </c>
      <c r="AB6" s="18">
        <f>AH5+1.5*AH6</f>
        <v>0.24556898836187324</v>
      </c>
      <c r="AD6" s="62" t="s">
        <v>158</v>
      </c>
      <c r="AE6" s="335">
        <f>AE5-AE4</f>
        <v>0.1061748814875918</v>
      </c>
      <c r="AG6" s="62" t="s">
        <v>158</v>
      </c>
      <c r="AH6" s="335">
        <f>AH5-AH4</f>
        <v>0.11964727155894606</v>
      </c>
    </row>
    <row r="7" spans="1:35" ht="17.149999999999999" customHeight="1">
      <c r="A7" s="396">
        <v>45388</v>
      </c>
      <c r="B7" s="385">
        <f>IF(YEAR(Table6[[#This Row],[Date]]) = 2024, WEEKNUM(Table6[[#This Row],[Date]])-13, WEEKNUM(Table6[[#This Row],[Date]])+40)</f>
        <v>1</v>
      </c>
      <c r="C7" s="1" t="s">
        <v>53</v>
      </c>
      <c r="D7" s="296" t="s">
        <v>48</v>
      </c>
      <c r="E7" s="1">
        <v>759</v>
      </c>
      <c r="F7" s="1">
        <v>549</v>
      </c>
      <c r="G7" s="18">
        <f>(E7-954)/954</f>
        <v>-0.20440251572327045</v>
      </c>
      <c r="H7" s="18">
        <f>(F7-628)/628</f>
        <v>-0.12579617834394904</v>
      </c>
      <c r="I7" s="1">
        <f t="shared" si="4"/>
        <v>5183</v>
      </c>
      <c r="J7" s="1">
        <f t="shared" si="4"/>
        <v>3833</v>
      </c>
      <c r="K7" s="1">
        <f>K6+Table6[[#This Row],[Calls Off]]</f>
        <v>5183</v>
      </c>
      <c r="L7" s="1">
        <f>L6+Table6[[#This Row],[Calls Ans]]</f>
        <v>3833</v>
      </c>
      <c r="M7" s="17">
        <v>0.31</v>
      </c>
      <c r="N7" s="17">
        <v>0.28000000000000003</v>
      </c>
      <c r="O7" s="17">
        <v>0.62</v>
      </c>
      <c r="P7" s="17">
        <v>0.76</v>
      </c>
      <c r="Q7" s="148"/>
      <c r="R7" s="39">
        <v>300</v>
      </c>
      <c r="S7" s="139">
        <v>9.9999999999999992E-2</v>
      </c>
      <c r="T7" s="1">
        <v>8</v>
      </c>
      <c r="U7" s="363" t="str">
        <f t="shared" si="0"/>
        <v>Normal</v>
      </c>
      <c r="V7" s="363" t="str">
        <f t="shared" si="1"/>
        <v>Normal</v>
      </c>
      <c r="W7" s="77">
        <f t="shared" si="2"/>
        <v>-0.20440251572327045</v>
      </c>
      <c r="X7" s="398">
        <f t="shared" si="3"/>
        <v>-0.12579617834394904</v>
      </c>
    </row>
    <row r="8" spans="1:35" ht="17.149999999999999" customHeight="1">
      <c r="A8" s="396">
        <v>45389</v>
      </c>
      <c r="B8" s="385">
        <f>IF(YEAR(Table6[[#This Row],[Date]]) = 2024, WEEKNUM(Table6[[#This Row],[Date]])-13, WEEKNUM(Table6[[#This Row],[Date]])+40)</f>
        <v>2</v>
      </c>
      <c r="C8" s="1" t="s">
        <v>54</v>
      </c>
      <c r="D8" s="296" t="s">
        <v>48</v>
      </c>
      <c r="E8" s="1">
        <v>0</v>
      </c>
      <c r="F8" s="1">
        <v>0</v>
      </c>
      <c r="G8" s="18">
        <v>0</v>
      </c>
      <c r="H8" s="18">
        <v>0</v>
      </c>
      <c r="I8" s="1">
        <v>0</v>
      </c>
      <c r="J8" s="1">
        <v>0</v>
      </c>
      <c r="K8" s="1">
        <f>K7+Table6[[#This Row],[Calls Off]]</f>
        <v>5183</v>
      </c>
      <c r="L8" s="1">
        <f>L7+Table6[[#This Row],[Calls Ans]]</f>
        <v>3833</v>
      </c>
      <c r="M8" s="17">
        <v>0</v>
      </c>
      <c r="N8" s="17">
        <v>0</v>
      </c>
      <c r="O8" s="17">
        <v>0</v>
      </c>
      <c r="P8" s="17">
        <v>0</v>
      </c>
      <c r="Q8" s="148"/>
      <c r="R8" s="39">
        <v>0</v>
      </c>
      <c r="S8" s="139">
        <v>0</v>
      </c>
      <c r="T8" s="1">
        <v>0</v>
      </c>
      <c r="U8" s="363" t="str">
        <f t="shared" si="0"/>
        <v>Normal</v>
      </c>
      <c r="V8" s="363" t="str">
        <f t="shared" si="1"/>
        <v>Normal</v>
      </c>
      <c r="W8" s="77">
        <f t="shared" si="2"/>
        <v>0</v>
      </c>
      <c r="X8" s="398">
        <f t="shared" si="3"/>
        <v>0</v>
      </c>
      <c r="Z8" s="432" t="s">
        <v>169</v>
      </c>
      <c r="AA8" s="433"/>
      <c r="AD8" s="432" t="s">
        <v>168</v>
      </c>
      <c r="AE8" s="433"/>
    </row>
    <row r="9" spans="1:35" ht="17.149999999999999" customHeight="1">
      <c r="A9" s="396">
        <v>45390</v>
      </c>
      <c r="B9" s="385">
        <f>IF(YEAR(Table6[[#This Row],[Date]]) = 2024, WEEKNUM(Table6[[#This Row],[Date]])-13, WEEKNUM(Table6[[#This Row],[Date]])+40)</f>
        <v>2</v>
      </c>
      <c r="C9" s="1" t="s">
        <v>55</v>
      </c>
      <c r="D9" s="296" t="s">
        <v>48</v>
      </c>
      <c r="E9" s="1">
        <v>991</v>
      </c>
      <c r="F9" s="1">
        <v>938</v>
      </c>
      <c r="G9" s="18">
        <v>0</v>
      </c>
      <c r="H9" s="18">
        <v>0</v>
      </c>
      <c r="I9" s="1">
        <f>I7+E9</f>
        <v>6174</v>
      </c>
      <c r="J9" s="1">
        <f>J7+F9</f>
        <v>4771</v>
      </c>
      <c r="K9" s="1">
        <f>K8+Table6[[#This Row],[Calls Off]]</f>
        <v>6174</v>
      </c>
      <c r="L9" s="1">
        <f>L8+Table6[[#This Row],[Calls Ans]]</f>
        <v>4771</v>
      </c>
      <c r="M9" s="17">
        <v>0.8</v>
      </c>
      <c r="N9" s="17">
        <v>0.05</v>
      </c>
      <c r="O9" s="17">
        <v>0.95</v>
      </c>
      <c r="P9" s="17">
        <v>0.7</v>
      </c>
      <c r="Q9" s="148"/>
      <c r="R9" s="39">
        <v>301</v>
      </c>
      <c r="S9" s="139">
        <v>2.1527777777777781E-2</v>
      </c>
      <c r="T9" s="1">
        <v>15</v>
      </c>
      <c r="U9" s="363" t="str">
        <f t="shared" si="0"/>
        <v>Normal</v>
      </c>
      <c r="V9" s="363" t="str">
        <f t="shared" si="1"/>
        <v>Normal</v>
      </c>
      <c r="W9" s="77">
        <f t="shared" si="2"/>
        <v>0</v>
      </c>
      <c r="X9" s="398">
        <f t="shared" si="3"/>
        <v>0</v>
      </c>
      <c r="Z9" s="1" t="s">
        <v>165</v>
      </c>
      <c r="AA9" s="61">
        <f>AVERAGE(G2:G123)</f>
        <v>2.7235622912365934E-2</v>
      </c>
      <c r="AD9" s="1" t="s">
        <v>165</v>
      </c>
      <c r="AE9" s="61">
        <f>AVERAGE(H2:H123)</f>
        <v>0.14911975585572834</v>
      </c>
    </row>
    <row r="10" spans="1:35" ht="17.149999999999999" customHeight="1">
      <c r="A10" s="396">
        <v>45391</v>
      </c>
      <c r="B10" s="385">
        <f>IF(YEAR(Table6[[#This Row],[Date]]) = 2024, WEEKNUM(Table6[[#This Row],[Date]])-13, WEEKNUM(Table6[[#This Row],[Date]])+40)</f>
        <v>2</v>
      </c>
      <c r="C10" s="1" t="s">
        <v>49</v>
      </c>
      <c r="D10" s="296" t="s">
        <v>48</v>
      </c>
      <c r="E10" s="1">
        <v>908</v>
      </c>
      <c r="F10" s="1">
        <v>778</v>
      </c>
      <c r="G10" s="18">
        <f>(E10-E3)/E3</f>
        <v>-0.2689210950080515</v>
      </c>
      <c r="H10" s="18">
        <f>(F10-F3)/F3</f>
        <v>-6.7146282973621102E-2</v>
      </c>
      <c r="I10" s="1">
        <f t="shared" ref="I10:J14" si="5">I9+E10</f>
        <v>7082</v>
      </c>
      <c r="J10" s="1">
        <f t="shared" si="5"/>
        <v>5549</v>
      </c>
      <c r="K10" s="1">
        <f>K9+Table6[[#This Row],[Calls Off]]</f>
        <v>7082</v>
      </c>
      <c r="L10" s="1">
        <f>L9+Table6[[#This Row],[Calls Ans]]</f>
        <v>5549</v>
      </c>
      <c r="M10" s="17">
        <v>0.83</v>
      </c>
      <c r="N10" s="17">
        <v>0.14000000000000001</v>
      </c>
      <c r="O10" s="17">
        <v>0.86</v>
      </c>
      <c r="P10" s="17">
        <v>0.46</v>
      </c>
      <c r="Q10" s="148"/>
      <c r="R10" s="39">
        <v>240</v>
      </c>
      <c r="S10" s="149">
        <v>8.3333333333333329E-2</v>
      </c>
      <c r="T10" s="1">
        <v>15</v>
      </c>
      <c r="U10" s="363" t="str">
        <f t="shared" si="0"/>
        <v>Outlier</v>
      </c>
      <c r="V10" s="363" t="str">
        <f t="shared" si="1"/>
        <v>Normal</v>
      </c>
      <c r="W10" s="77">
        <f t="shared" si="2"/>
        <v>2.7235622912365934E-2</v>
      </c>
      <c r="X10" s="398">
        <f t="shared" si="3"/>
        <v>-6.7146282973621102E-2</v>
      </c>
      <c r="Z10" s="1" t="s">
        <v>166</v>
      </c>
      <c r="AA10" s="61">
        <f>MEDIAN(G2:G123)</f>
        <v>0</v>
      </c>
      <c r="AD10" s="1" t="s">
        <v>166</v>
      </c>
      <c r="AE10" s="61">
        <f>MEDIAN(H2:H123)</f>
        <v>0</v>
      </c>
    </row>
    <row r="11" spans="1:35" ht="17.149999999999999" customHeight="1">
      <c r="A11" s="396">
        <v>45392</v>
      </c>
      <c r="B11" s="385">
        <f>IF(YEAR(Table6[[#This Row],[Date]]) = 2024, WEEKNUM(Table6[[#This Row],[Date]])-13, WEEKNUM(Table6[[#This Row],[Date]])+40)</f>
        <v>2</v>
      </c>
      <c r="C11" s="1" t="s">
        <v>50</v>
      </c>
      <c r="D11" s="296" t="s">
        <v>48</v>
      </c>
      <c r="E11" s="1">
        <v>984</v>
      </c>
      <c r="F11" s="1">
        <v>826</v>
      </c>
      <c r="G11" s="18">
        <f t="shared" ref="G11:H11" si="6">(E11-E4)/E4</f>
        <v>-0.11669658886894076</v>
      </c>
      <c r="H11" s="18">
        <f t="shared" si="6"/>
        <v>6.7183462532299745E-2</v>
      </c>
      <c r="I11" s="1">
        <f t="shared" si="5"/>
        <v>8066</v>
      </c>
      <c r="J11" s="1">
        <f t="shared" si="5"/>
        <v>6375</v>
      </c>
      <c r="K11" s="1">
        <f>K10+Table6[[#This Row],[Calls Off]]</f>
        <v>8066</v>
      </c>
      <c r="L11" s="1">
        <f>L10+Table6[[#This Row],[Calls Ans]]</f>
        <v>6375</v>
      </c>
      <c r="M11" s="17">
        <v>0.47</v>
      </c>
      <c r="N11" s="17">
        <v>0.16</v>
      </c>
      <c r="O11" s="17">
        <v>0.84</v>
      </c>
      <c r="P11" s="17">
        <v>0.2</v>
      </c>
      <c r="Q11" s="148"/>
      <c r="R11" s="39">
        <v>77</v>
      </c>
      <c r="S11" s="149">
        <v>0.22152777777777777</v>
      </c>
      <c r="T11" s="1">
        <v>12</v>
      </c>
      <c r="U11" s="363" t="str">
        <f t="shared" si="0"/>
        <v>Normal</v>
      </c>
      <c r="V11" s="363" t="str">
        <f t="shared" si="1"/>
        <v>Normal</v>
      </c>
      <c r="W11" s="77">
        <f t="shared" si="2"/>
        <v>-0.11669658886894076</v>
      </c>
      <c r="X11" s="398">
        <f t="shared" si="3"/>
        <v>6.7183462532299745E-2</v>
      </c>
      <c r="Z11" s="1" t="s">
        <v>167</v>
      </c>
      <c r="AA11" s="1">
        <f>_xlfn.MODE.SNGL(G2:G123)</f>
        <v>0</v>
      </c>
      <c r="AD11" s="1" t="s">
        <v>167</v>
      </c>
      <c r="AE11" s="1">
        <f>_xlfn.MODE.SNGL(H2:H123)</f>
        <v>0</v>
      </c>
    </row>
    <row r="12" spans="1:35" ht="17.149999999999999" customHeight="1">
      <c r="A12" s="396">
        <v>45393</v>
      </c>
      <c r="B12" s="385">
        <f>IF(YEAR(Table6[[#This Row],[Date]]) = 2024, WEEKNUM(Table6[[#This Row],[Date]])-13, WEEKNUM(Table6[[#This Row],[Date]])+40)</f>
        <v>2</v>
      </c>
      <c r="C12" s="1" t="s">
        <v>51</v>
      </c>
      <c r="D12" s="296" t="s">
        <v>48</v>
      </c>
      <c r="E12" s="1">
        <v>869</v>
      </c>
      <c r="F12" s="1">
        <v>770</v>
      </c>
      <c r="G12" s="18">
        <f t="shared" ref="G12:H12" si="7">(E12-E5)/E5</f>
        <v>-0.16842105263157894</v>
      </c>
      <c r="H12" s="18">
        <f t="shared" si="7"/>
        <v>6.0606060606060608E-2</v>
      </c>
      <c r="I12" s="1">
        <f t="shared" si="5"/>
        <v>8935</v>
      </c>
      <c r="J12" s="1">
        <f t="shared" si="5"/>
        <v>7145</v>
      </c>
      <c r="K12" s="1">
        <f>K11+Table6[[#This Row],[Calls Off]]</f>
        <v>8935</v>
      </c>
      <c r="L12" s="1">
        <f>L11+Table6[[#This Row],[Calls Ans]]</f>
        <v>7145</v>
      </c>
      <c r="M12" s="17">
        <v>0.54</v>
      </c>
      <c r="N12" s="17">
        <v>0.11</v>
      </c>
      <c r="O12" s="17">
        <v>0.89</v>
      </c>
      <c r="P12" s="17">
        <v>0.73</v>
      </c>
      <c r="Q12" s="148"/>
      <c r="R12" s="39">
        <v>331</v>
      </c>
      <c r="S12" s="149">
        <v>4.1666666666666664E-2</v>
      </c>
      <c r="T12" s="1">
        <v>13</v>
      </c>
      <c r="U12" s="363" t="str">
        <f t="shared" si="0"/>
        <v>Normal</v>
      </c>
      <c r="V12" s="363" t="str">
        <f t="shared" si="1"/>
        <v>Normal</v>
      </c>
      <c r="W12" s="77">
        <f t="shared" si="2"/>
        <v>-0.16842105263157894</v>
      </c>
      <c r="X12" s="398">
        <f t="shared" si="3"/>
        <v>6.0606060606060608E-2</v>
      </c>
    </row>
    <row r="13" spans="1:35" ht="17.149999999999999" customHeight="1">
      <c r="A13" s="396">
        <v>45394</v>
      </c>
      <c r="B13" s="385">
        <f>IF(YEAR(Table6[[#This Row],[Date]]) = 2024, WEEKNUM(Table6[[#This Row],[Date]])-13, WEEKNUM(Table6[[#This Row],[Date]])+40)</f>
        <v>2</v>
      </c>
      <c r="C13" s="1" t="s">
        <v>52</v>
      </c>
      <c r="D13" s="296" t="s">
        <v>48</v>
      </c>
      <c r="E13" s="1">
        <v>898</v>
      </c>
      <c r="F13" s="1">
        <v>751</v>
      </c>
      <c r="G13" s="18">
        <f t="shared" ref="G13:H13" si="8">(E13-E6)/E6</f>
        <v>-0.12218963831867058</v>
      </c>
      <c r="H13" s="18">
        <f t="shared" si="8"/>
        <v>-0.20947368421052631</v>
      </c>
      <c r="I13" s="1">
        <f t="shared" si="5"/>
        <v>9833</v>
      </c>
      <c r="J13" s="1">
        <f t="shared" si="5"/>
        <v>7896</v>
      </c>
      <c r="K13" s="1">
        <f>K12+Table6[[#This Row],[Calls Off]]</f>
        <v>9833</v>
      </c>
      <c r="L13" s="1">
        <f>L12+Table6[[#This Row],[Calls Ans]]</f>
        <v>7896</v>
      </c>
      <c r="M13" s="17">
        <v>0.56999999999999995</v>
      </c>
      <c r="N13" s="17">
        <v>0.16</v>
      </c>
      <c r="O13" s="17">
        <v>0.84</v>
      </c>
      <c r="P13" s="17">
        <v>0.82</v>
      </c>
      <c r="Q13" s="148"/>
      <c r="R13" s="39">
        <v>324</v>
      </c>
      <c r="S13" s="149">
        <v>4.1666666666666664E-2</v>
      </c>
      <c r="T13" s="1">
        <v>11</v>
      </c>
      <c r="U13" s="363" t="str">
        <f t="shared" si="0"/>
        <v>Normal</v>
      </c>
      <c r="V13" s="363" t="str">
        <f t="shared" si="1"/>
        <v>Normal</v>
      </c>
      <c r="W13" s="77">
        <f t="shared" si="2"/>
        <v>-0.12218963831867058</v>
      </c>
      <c r="X13" s="398">
        <f t="shared" si="3"/>
        <v>-0.20947368421052631</v>
      </c>
    </row>
    <row r="14" spans="1:35" ht="17.149999999999999" customHeight="1">
      <c r="A14" s="396">
        <v>45395</v>
      </c>
      <c r="B14" s="385">
        <f>IF(YEAR(Table6[[#This Row],[Date]]) = 2024, WEEKNUM(Table6[[#This Row],[Date]])-13, WEEKNUM(Table6[[#This Row],[Date]])+40)</f>
        <v>2</v>
      </c>
      <c r="C14" s="1" t="s">
        <v>53</v>
      </c>
      <c r="D14" s="296" t="s">
        <v>48</v>
      </c>
      <c r="E14" s="1">
        <v>783</v>
      </c>
      <c r="F14" s="1">
        <v>569</v>
      </c>
      <c r="G14" s="18">
        <f t="shared" ref="G14:H14" si="9">(E14-E7)/E7</f>
        <v>3.1620553359683792E-2</v>
      </c>
      <c r="H14" s="18">
        <f t="shared" si="9"/>
        <v>3.6429872495446269E-2</v>
      </c>
      <c r="I14" s="1">
        <f t="shared" si="5"/>
        <v>10616</v>
      </c>
      <c r="J14" s="1">
        <f t="shared" si="5"/>
        <v>8465</v>
      </c>
      <c r="K14" s="1">
        <f>K13+Table6[[#This Row],[Calls Off]]</f>
        <v>10616</v>
      </c>
      <c r="L14" s="1">
        <f>L13+Table6[[#This Row],[Calls Ans]]</f>
        <v>8465</v>
      </c>
      <c r="M14" s="17">
        <v>0.31</v>
      </c>
      <c r="N14" s="17">
        <v>0.27</v>
      </c>
      <c r="O14" s="17">
        <v>0.73</v>
      </c>
      <c r="P14" s="17">
        <v>0.9</v>
      </c>
      <c r="Q14" s="148"/>
      <c r="R14" s="39">
        <v>300</v>
      </c>
      <c r="S14" s="149">
        <v>8.6805555555555566E-2</v>
      </c>
      <c r="T14" s="1">
        <v>7</v>
      </c>
      <c r="U14" s="363" t="str">
        <f t="shared" si="0"/>
        <v>Normal</v>
      </c>
      <c r="V14" s="363" t="str">
        <f t="shared" si="1"/>
        <v>Normal</v>
      </c>
      <c r="W14" s="77">
        <f t="shared" si="2"/>
        <v>3.1620553359683792E-2</v>
      </c>
      <c r="X14" s="398">
        <f t="shared" si="3"/>
        <v>3.6429872495446269E-2</v>
      </c>
      <c r="AE14" s="404" t="s">
        <v>173</v>
      </c>
      <c r="AF14" s="1" t="s">
        <v>177</v>
      </c>
      <c r="AG14" s="1" t="s">
        <v>175</v>
      </c>
      <c r="AH14" s="1" t="s">
        <v>176</v>
      </c>
      <c r="AI14" s="1" t="s">
        <v>178</v>
      </c>
    </row>
    <row r="15" spans="1:35" ht="17.149999999999999" customHeight="1">
      <c r="A15" s="396">
        <v>45396</v>
      </c>
      <c r="B15" s="385">
        <f>IF(YEAR(Table6[[#This Row],[Date]]) = 2024, WEEKNUM(Table6[[#This Row],[Date]])-13, WEEKNUM(Table6[[#This Row],[Date]])+40)</f>
        <v>3</v>
      </c>
      <c r="C15" s="1" t="s">
        <v>54</v>
      </c>
      <c r="D15" s="296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f>K14+Table6[[#This Row],[Calls Off]]</f>
        <v>10616</v>
      </c>
      <c r="L15" s="1">
        <f>L14+Table6[[#This Row],[Calls Ans]]</f>
        <v>8465</v>
      </c>
      <c r="M15" s="17">
        <v>0</v>
      </c>
      <c r="N15" s="17">
        <v>0</v>
      </c>
      <c r="O15" s="17">
        <v>0</v>
      </c>
      <c r="P15" s="17">
        <v>0</v>
      </c>
      <c r="Q15" s="148"/>
      <c r="R15" s="39">
        <v>0</v>
      </c>
      <c r="S15" s="149">
        <v>0</v>
      </c>
      <c r="T15" s="1">
        <v>0</v>
      </c>
      <c r="U15" s="363" t="str">
        <f t="shared" si="0"/>
        <v>Normal</v>
      </c>
      <c r="V15" s="363" t="str">
        <f t="shared" si="1"/>
        <v>Normal</v>
      </c>
      <c r="W15" s="77">
        <f t="shared" si="2"/>
        <v>0</v>
      </c>
      <c r="X15" s="398">
        <f t="shared" si="3"/>
        <v>0</v>
      </c>
      <c r="AE15" s="289">
        <v>1</v>
      </c>
      <c r="AF15" s="61">
        <v>0.3066666666666667</v>
      </c>
      <c r="AG15" s="405">
        <v>5183</v>
      </c>
      <c r="AH15" s="405">
        <v>3833</v>
      </c>
      <c r="AI15" s="61">
        <v>0.69166666666666676</v>
      </c>
    </row>
    <row r="16" spans="1:35" ht="17.149999999999999" customHeight="1">
      <c r="A16" s="396">
        <v>45397</v>
      </c>
      <c r="B16" s="385">
        <f>IF(YEAR(Table6[[#This Row],[Date]]) = 2024, WEEKNUM(Table6[[#This Row],[Date]])-13, WEEKNUM(Table6[[#This Row],[Date]])+40)</f>
        <v>3</v>
      </c>
      <c r="C16" s="1" t="s">
        <v>55</v>
      </c>
      <c r="D16" s="296" t="s">
        <v>48</v>
      </c>
      <c r="E16" s="1">
        <v>1131</v>
      </c>
      <c r="F16" s="1">
        <v>1000</v>
      </c>
      <c r="G16" s="61">
        <f>(E16-E9)/E9</f>
        <v>0.14127144298688193</v>
      </c>
      <c r="H16" s="61">
        <f>(F16-F9)/F9</f>
        <v>6.6098081023454158E-2</v>
      </c>
      <c r="I16" s="1">
        <f>I14+E16</f>
        <v>11747</v>
      </c>
      <c r="J16" s="1">
        <f>J14+F16</f>
        <v>9465</v>
      </c>
      <c r="K16" s="1">
        <f>K15+Table6[[#This Row],[Calls Off]]</f>
        <v>11747</v>
      </c>
      <c r="L16" s="1">
        <f>L15+Table6[[#This Row],[Calls Ans]]</f>
        <v>9465</v>
      </c>
      <c r="M16" s="17">
        <v>0.62</v>
      </c>
      <c r="N16" s="17">
        <v>0.12</v>
      </c>
      <c r="O16" s="17">
        <v>0.88</v>
      </c>
      <c r="P16" s="17">
        <v>0.76</v>
      </c>
      <c r="Q16" s="148"/>
      <c r="R16" s="39">
        <v>327</v>
      </c>
      <c r="S16" s="149">
        <v>6.9444444444444447E-4</v>
      </c>
      <c r="T16" s="1">
        <v>16</v>
      </c>
      <c r="U16" s="363" t="str">
        <f t="shared" si="0"/>
        <v>Normal</v>
      </c>
      <c r="V16" s="363" t="str">
        <f t="shared" si="1"/>
        <v>Normal</v>
      </c>
      <c r="W16" s="77">
        <f t="shared" si="2"/>
        <v>0.14127144298688193</v>
      </c>
      <c r="X16" s="398">
        <f t="shared" si="3"/>
        <v>6.6098081023454158E-2</v>
      </c>
      <c r="AE16" s="289">
        <v>2</v>
      </c>
      <c r="AF16" s="61">
        <v>0.50285714285714278</v>
      </c>
      <c r="AG16" s="405">
        <v>5433</v>
      </c>
      <c r="AH16" s="405">
        <v>4632</v>
      </c>
      <c r="AI16" s="61">
        <v>0.54428571428571426</v>
      </c>
    </row>
    <row r="17" spans="1:35" ht="17.149999999999999" customHeight="1">
      <c r="A17" s="396">
        <v>45398</v>
      </c>
      <c r="B17" s="385">
        <f>IF(YEAR(Table6[[#This Row],[Date]]) = 2024, WEEKNUM(Table6[[#This Row],[Date]])-13, WEEKNUM(Table6[[#This Row],[Date]])+40)</f>
        <v>3</v>
      </c>
      <c r="C17" s="1" t="s">
        <v>49</v>
      </c>
      <c r="D17" s="296" t="s">
        <v>48</v>
      </c>
      <c r="E17" s="1">
        <v>923</v>
      </c>
      <c r="F17" s="1">
        <v>848</v>
      </c>
      <c r="G17" s="61">
        <f t="shared" ref="G17:H21" si="10">(E17-E10)/E10</f>
        <v>1.6519823788546256E-2</v>
      </c>
      <c r="H17" s="61">
        <f t="shared" si="10"/>
        <v>8.9974293059125965E-2</v>
      </c>
      <c r="I17" s="1">
        <f t="shared" ref="I17:J21" si="11">I16+E17</f>
        <v>12670</v>
      </c>
      <c r="J17" s="1">
        <f t="shared" si="11"/>
        <v>10313</v>
      </c>
      <c r="K17" s="1">
        <f>K16+Table6[[#This Row],[Calls Off]]</f>
        <v>12670</v>
      </c>
      <c r="L17" s="1">
        <f>L16+Table6[[#This Row],[Calls Ans]]</f>
        <v>10313</v>
      </c>
      <c r="M17" s="17">
        <v>0.71</v>
      </c>
      <c r="N17" s="17">
        <v>0.08</v>
      </c>
      <c r="O17" s="17">
        <v>0.92</v>
      </c>
      <c r="P17" s="17">
        <v>0.72</v>
      </c>
      <c r="Q17" s="148"/>
      <c r="R17" s="39">
        <v>300</v>
      </c>
      <c r="S17" s="149">
        <v>6.8287037037037025E-4</v>
      </c>
      <c r="T17" s="1">
        <v>13</v>
      </c>
      <c r="U17" s="363" t="str">
        <f t="shared" si="0"/>
        <v>Normal</v>
      </c>
      <c r="V17" s="363" t="str">
        <f t="shared" si="1"/>
        <v>Normal</v>
      </c>
      <c r="W17" s="77">
        <f t="shared" si="2"/>
        <v>1.6519823788546256E-2</v>
      </c>
      <c r="X17" s="398">
        <f t="shared" si="3"/>
        <v>8.9974293059125965E-2</v>
      </c>
      <c r="AE17" s="289">
        <v>3</v>
      </c>
      <c r="AF17" s="61">
        <v>0.58142857142857152</v>
      </c>
      <c r="AG17" s="405">
        <v>5276</v>
      </c>
      <c r="AH17" s="405">
        <v>4693</v>
      </c>
      <c r="AI17" s="61">
        <v>0.62285714285714289</v>
      </c>
    </row>
    <row r="18" spans="1:35" ht="17.149999999999999" customHeight="1">
      <c r="A18" s="396">
        <v>45399</v>
      </c>
      <c r="B18" s="385">
        <f>IF(YEAR(Table6[[#This Row],[Date]]) = 2024, WEEKNUM(Table6[[#This Row],[Date]])-13, WEEKNUM(Table6[[#This Row],[Date]])+40)</f>
        <v>3</v>
      </c>
      <c r="C18" s="1" t="s">
        <v>50</v>
      </c>
      <c r="D18" s="296" t="s">
        <v>48</v>
      </c>
      <c r="E18" s="1">
        <v>867</v>
      </c>
      <c r="F18" s="1">
        <v>766</v>
      </c>
      <c r="G18" s="61">
        <f t="shared" si="10"/>
        <v>-0.11890243902439024</v>
      </c>
      <c r="H18" s="61">
        <f t="shared" si="10"/>
        <v>-7.2639225181598058E-2</v>
      </c>
      <c r="I18" s="1">
        <f t="shared" si="11"/>
        <v>13537</v>
      </c>
      <c r="J18" s="1">
        <f t="shared" si="11"/>
        <v>11079</v>
      </c>
      <c r="K18" s="1">
        <f>K17+Table6[[#This Row],[Calls Off]]</f>
        <v>13537</v>
      </c>
      <c r="L18" s="1">
        <f>L17+Table6[[#This Row],[Calls Ans]]</f>
        <v>11079</v>
      </c>
      <c r="M18" s="17">
        <v>0.67</v>
      </c>
      <c r="N18" s="17">
        <v>0.12</v>
      </c>
      <c r="O18" s="17">
        <v>0.88</v>
      </c>
      <c r="P18" s="17">
        <v>0.77</v>
      </c>
      <c r="Q18" s="148"/>
      <c r="R18" s="200">
        <v>300</v>
      </c>
      <c r="S18" s="150">
        <v>6.9444444444444447E-4</v>
      </c>
      <c r="T18" s="1">
        <v>11</v>
      </c>
      <c r="U18" s="363" t="str">
        <f t="shared" si="0"/>
        <v>Normal</v>
      </c>
      <c r="V18" s="363" t="str">
        <f t="shared" si="1"/>
        <v>Normal</v>
      </c>
      <c r="W18" s="77">
        <f t="shared" si="2"/>
        <v>-0.11890243902439024</v>
      </c>
      <c r="X18" s="398">
        <f t="shared" si="3"/>
        <v>-7.2639225181598058E-2</v>
      </c>
      <c r="AE18" s="289">
        <v>4</v>
      </c>
      <c r="AF18" s="61">
        <v>0.55571428571428572</v>
      </c>
      <c r="AG18" s="405">
        <v>5369</v>
      </c>
      <c r="AH18" s="405">
        <v>4770</v>
      </c>
      <c r="AI18" s="61">
        <v>0.63142857142857156</v>
      </c>
    </row>
    <row r="19" spans="1:35" ht="17.149999999999999" customHeight="1">
      <c r="A19" s="396">
        <v>45400</v>
      </c>
      <c r="B19" s="385">
        <f>IF(YEAR(Table6[[#This Row],[Date]]) = 2024, WEEKNUM(Table6[[#This Row],[Date]])-13, WEEKNUM(Table6[[#This Row],[Date]])+40)</f>
        <v>3</v>
      </c>
      <c r="C19" s="1" t="s">
        <v>51</v>
      </c>
      <c r="D19" s="296" t="s">
        <v>48</v>
      </c>
      <c r="E19" s="1">
        <v>823</v>
      </c>
      <c r="F19" s="1">
        <v>756</v>
      </c>
      <c r="G19" s="61">
        <f t="shared" si="10"/>
        <v>-5.2934407364787113E-2</v>
      </c>
      <c r="H19" s="61">
        <f t="shared" si="10"/>
        <v>-1.8181818181818181E-2</v>
      </c>
      <c r="I19" s="1">
        <f t="shared" si="11"/>
        <v>14360</v>
      </c>
      <c r="J19" s="1">
        <f t="shared" si="11"/>
        <v>11835</v>
      </c>
      <c r="K19" s="1">
        <f>K18+Table6[[#This Row],[Calls Off]]</f>
        <v>14360</v>
      </c>
      <c r="L19" s="1">
        <f>L18+Table6[[#This Row],[Calls Ans]]</f>
        <v>11835</v>
      </c>
      <c r="M19" s="17">
        <v>0.83</v>
      </c>
      <c r="N19" s="17">
        <v>0.08</v>
      </c>
      <c r="O19" s="17">
        <v>0.92</v>
      </c>
      <c r="P19" s="17">
        <v>0.75</v>
      </c>
      <c r="Q19" s="148"/>
      <c r="R19" s="200">
        <v>323</v>
      </c>
      <c r="S19" s="150">
        <v>1.5972222222222224E-2</v>
      </c>
      <c r="T19" s="1">
        <v>12</v>
      </c>
      <c r="U19" s="363" t="str">
        <f t="shared" si="0"/>
        <v>Normal</v>
      </c>
      <c r="V19" s="363" t="str">
        <f t="shared" si="1"/>
        <v>Normal</v>
      </c>
      <c r="W19" s="77">
        <f t="shared" si="2"/>
        <v>-5.2934407364787113E-2</v>
      </c>
      <c r="X19" s="398">
        <f t="shared" si="3"/>
        <v>-1.8181818181818181E-2</v>
      </c>
      <c r="AE19" s="289">
        <v>5</v>
      </c>
      <c r="AF19" s="61">
        <v>0.46142857142857141</v>
      </c>
      <c r="AG19" s="405">
        <v>5525</v>
      </c>
      <c r="AH19" s="405">
        <v>4588</v>
      </c>
      <c r="AI19" s="61">
        <v>0.63428571428571423</v>
      </c>
    </row>
    <row r="20" spans="1:35" ht="17.149999999999999" customHeight="1">
      <c r="A20" s="396">
        <v>45401</v>
      </c>
      <c r="B20" s="385">
        <f>IF(YEAR(Table6[[#This Row],[Date]]) = 2024, WEEKNUM(Table6[[#This Row],[Date]])-13, WEEKNUM(Table6[[#This Row],[Date]])+40)</f>
        <v>3</v>
      </c>
      <c r="C20" s="1" t="s">
        <v>52</v>
      </c>
      <c r="D20" s="296" t="s">
        <v>48</v>
      </c>
      <c r="E20" s="1">
        <v>848</v>
      </c>
      <c r="F20" s="1">
        <v>770</v>
      </c>
      <c r="G20" s="61">
        <f t="shared" si="10"/>
        <v>-5.5679287305122498E-2</v>
      </c>
      <c r="H20" s="61">
        <f t="shared" si="10"/>
        <v>2.529960053262317E-2</v>
      </c>
      <c r="I20" s="1">
        <f t="shared" si="11"/>
        <v>15208</v>
      </c>
      <c r="J20" s="1">
        <f t="shared" si="11"/>
        <v>12605</v>
      </c>
      <c r="K20" s="1">
        <f>K19+Table6[[#This Row],[Calls Off]]</f>
        <v>15208</v>
      </c>
      <c r="L20" s="1">
        <f>L19+Table6[[#This Row],[Calls Ans]]</f>
        <v>12605</v>
      </c>
      <c r="M20" s="17">
        <v>0.74</v>
      </c>
      <c r="N20" s="17">
        <v>0.09</v>
      </c>
      <c r="O20" s="17">
        <v>0.91</v>
      </c>
      <c r="P20" s="17">
        <v>0.66</v>
      </c>
      <c r="Q20" s="148"/>
      <c r="R20" s="39">
        <v>300</v>
      </c>
      <c r="S20" s="149">
        <v>2.7083333333333334E-2</v>
      </c>
      <c r="T20" s="1">
        <v>13</v>
      </c>
      <c r="U20" s="363" t="str">
        <f t="shared" si="0"/>
        <v>Normal</v>
      </c>
      <c r="V20" s="363" t="str">
        <f t="shared" si="1"/>
        <v>Normal</v>
      </c>
      <c r="W20" s="77">
        <f t="shared" si="2"/>
        <v>-5.5679287305122498E-2</v>
      </c>
      <c r="X20" s="398">
        <f t="shared" si="3"/>
        <v>2.529960053262317E-2</v>
      </c>
      <c r="AE20" s="289">
        <v>6</v>
      </c>
      <c r="AF20" s="61">
        <v>0.6399999999999999</v>
      </c>
      <c r="AG20" s="405">
        <v>5389</v>
      </c>
      <c r="AH20" s="405">
        <v>4915</v>
      </c>
      <c r="AI20" s="61">
        <v>0.60571428571428576</v>
      </c>
    </row>
    <row r="21" spans="1:35" ht="17.149999999999999" customHeight="1">
      <c r="A21" s="396">
        <v>45402</v>
      </c>
      <c r="B21" s="385">
        <f>IF(YEAR(Table6[[#This Row],[Date]]) = 2024, WEEKNUM(Table6[[#This Row],[Date]])-13, WEEKNUM(Table6[[#This Row],[Date]])+40)</f>
        <v>3</v>
      </c>
      <c r="C21" s="1" t="s">
        <v>53</v>
      </c>
      <c r="D21" s="296" t="s">
        <v>48</v>
      </c>
      <c r="E21" s="1">
        <v>684</v>
      </c>
      <c r="F21" s="1">
        <v>553</v>
      </c>
      <c r="G21" s="61">
        <f t="shared" si="10"/>
        <v>-0.12643678160919541</v>
      </c>
      <c r="H21" s="61">
        <f t="shared" si="10"/>
        <v>-2.8119507908611598E-2</v>
      </c>
      <c r="I21" s="1">
        <f t="shared" si="11"/>
        <v>15892</v>
      </c>
      <c r="J21" s="1">
        <f t="shared" si="11"/>
        <v>13158</v>
      </c>
      <c r="K21" s="1">
        <f>K20+Table6[[#This Row],[Calls Off]]</f>
        <v>15892</v>
      </c>
      <c r="L21" s="1">
        <f>L20+Table6[[#This Row],[Calls Ans]]</f>
        <v>13158</v>
      </c>
      <c r="M21" s="17">
        <v>0.5</v>
      </c>
      <c r="N21" s="17">
        <v>0.19</v>
      </c>
      <c r="O21" s="17">
        <v>0.81</v>
      </c>
      <c r="P21" s="17">
        <v>0.7</v>
      </c>
      <c r="Q21" s="148"/>
      <c r="R21" s="39">
        <v>306</v>
      </c>
      <c r="S21" s="149">
        <v>6.5972222222222224E-2</v>
      </c>
      <c r="T21" s="1">
        <v>9</v>
      </c>
      <c r="U21" s="363" t="str">
        <f t="shared" si="0"/>
        <v>Normal</v>
      </c>
      <c r="V21" s="363" t="str">
        <f t="shared" si="1"/>
        <v>Normal</v>
      </c>
      <c r="W21" s="77">
        <f t="shared" si="2"/>
        <v>-0.12643678160919541</v>
      </c>
      <c r="X21" s="398">
        <f t="shared" si="3"/>
        <v>-2.8119507908611598E-2</v>
      </c>
      <c r="AE21" s="289">
        <v>7</v>
      </c>
      <c r="AF21" s="61">
        <v>0.59857142857142864</v>
      </c>
      <c r="AG21" s="405">
        <v>5710</v>
      </c>
      <c r="AH21" s="405">
        <v>5080</v>
      </c>
      <c r="AI21" s="61">
        <v>0.62285714285714278</v>
      </c>
    </row>
    <row r="22" spans="1:35" ht="17.149999999999999" customHeight="1">
      <c r="A22" s="396">
        <v>45403</v>
      </c>
      <c r="B22" s="385">
        <f>IF(YEAR(Table6[[#This Row],[Date]]) = 2024, WEEKNUM(Table6[[#This Row],[Date]])-13, WEEKNUM(Table6[[#This Row],[Date]])+40)</f>
        <v>4</v>
      </c>
      <c r="C22" s="1" t="s">
        <v>54</v>
      </c>
      <c r="D22" s="296" t="s">
        <v>48</v>
      </c>
      <c r="E22" s="1">
        <v>0</v>
      </c>
      <c r="F22" s="1">
        <v>0</v>
      </c>
      <c r="G22" s="61">
        <v>0</v>
      </c>
      <c r="H22" s="61">
        <v>0</v>
      </c>
      <c r="I22" s="1">
        <v>0</v>
      </c>
      <c r="J22" s="1">
        <v>0</v>
      </c>
      <c r="K22" s="1">
        <f>K21+Table6[[#This Row],[Calls Off]]</f>
        <v>15892</v>
      </c>
      <c r="L22" s="1">
        <f>L21+Table6[[#This Row],[Calls Ans]]</f>
        <v>13158</v>
      </c>
      <c r="M22" s="17">
        <v>0</v>
      </c>
      <c r="N22" s="17">
        <v>0</v>
      </c>
      <c r="O22" s="17">
        <v>0</v>
      </c>
      <c r="P22" s="17">
        <v>0</v>
      </c>
      <c r="Q22" s="148"/>
      <c r="R22" s="39">
        <v>0</v>
      </c>
      <c r="S22" s="149">
        <v>0</v>
      </c>
      <c r="T22" s="1">
        <v>0</v>
      </c>
      <c r="U22" s="363" t="str">
        <f t="shared" si="0"/>
        <v>Normal</v>
      </c>
      <c r="V22" s="363" t="str">
        <f t="shared" si="1"/>
        <v>Normal</v>
      </c>
      <c r="W22" s="77">
        <f t="shared" si="2"/>
        <v>0</v>
      </c>
      <c r="X22" s="398">
        <f t="shared" si="3"/>
        <v>0</v>
      </c>
      <c r="AE22" s="289">
        <v>8</v>
      </c>
      <c r="AF22" s="61">
        <v>0.41714285714285715</v>
      </c>
      <c r="AG22" s="405">
        <v>5179</v>
      </c>
      <c r="AH22" s="405">
        <v>4297</v>
      </c>
      <c r="AI22" s="61">
        <v>0.50000000000000011</v>
      </c>
    </row>
    <row r="23" spans="1:35" ht="17.149999999999999" customHeight="1">
      <c r="A23" s="396">
        <v>45404</v>
      </c>
      <c r="B23" s="385">
        <f>IF(YEAR(Table6[[#This Row],[Date]]) = 2024, WEEKNUM(Table6[[#This Row],[Date]])-13, WEEKNUM(Table6[[#This Row],[Date]])+40)</f>
        <v>4</v>
      </c>
      <c r="C23" s="1" t="s">
        <v>55</v>
      </c>
      <c r="D23" s="296" t="s">
        <v>48</v>
      </c>
      <c r="E23" s="1">
        <v>1031</v>
      </c>
      <c r="F23" s="1">
        <v>922</v>
      </c>
      <c r="G23" s="61">
        <f>(E23-E16)/E16</f>
        <v>-8.8417329796640146E-2</v>
      </c>
      <c r="H23" s="61">
        <f>(F23-F16)/F16</f>
        <v>-7.8E-2</v>
      </c>
      <c r="I23" s="1">
        <f>I21+E23</f>
        <v>16923</v>
      </c>
      <c r="J23" s="1">
        <f>J21+F23</f>
        <v>14080</v>
      </c>
      <c r="K23" s="1">
        <f>K22+Table6[[#This Row],[Calls Off]]</f>
        <v>16923</v>
      </c>
      <c r="L23" s="1">
        <f>L22+Table6[[#This Row],[Calls Ans]]</f>
        <v>14080</v>
      </c>
      <c r="M23" s="17">
        <v>0.5</v>
      </c>
      <c r="N23" s="17">
        <v>0.19</v>
      </c>
      <c r="O23" s="17">
        <v>0.81</v>
      </c>
      <c r="P23" s="17">
        <v>0.86</v>
      </c>
      <c r="Q23" s="148"/>
      <c r="R23" s="39">
        <v>328</v>
      </c>
      <c r="S23" s="149">
        <v>4.1666666666666664E-2</v>
      </c>
      <c r="T23" s="1">
        <v>13</v>
      </c>
      <c r="U23" s="363" t="str">
        <f t="shared" si="0"/>
        <v>Normal</v>
      </c>
      <c r="V23" s="363" t="str">
        <f t="shared" si="1"/>
        <v>Normal</v>
      </c>
      <c r="W23" s="77">
        <f t="shared" si="2"/>
        <v>-8.8417329796640146E-2</v>
      </c>
      <c r="X23" s="398">
        <f t="shared" si="3"/>
        <v>-7.8E-2</v>
      </c>
      <c r="AE23" s="289">
        <v>9</v>
      </c>
      <c r="AF23" s="61">
        <v>0.48857142857142855</v>
      </c>
      <c r="AG23" s="405">
        <v>5985</v>
      </c>
      <c r="AH23" s="405">
        <v>4954</v>
      </c>
      <c r="AI23" s="61">
        <v>0.64142857142857146</v>
      </c>
    </row>
    <row r="24" spans="1:35" ht="17.149999999999999" customHeight="1">
      <c r="A24" s="396">
        <v>45405</v>
      </c>
      <c r="B24" s="385">
        <f>IF(YEAR(Table6[[#This Row],[Date]]) = 2024, WEEKNUM(Table6[[#This Row],[Date]])-13, WEEKNUM(Table6[[#This Row],[Date]])+40)</f>
        <v>4</v>
      </c>
      <c r="C24" s="1" t="s">
        <v>49</v>
      </c>
      <c r="D24" s="296" t="s">
        <v>48</v>
      </c>
      <c r="E24" s="1">
        <v>901</v>
      </c>
      <c r="F24" s="1">
        <v>837</v>
      </c>
      <c r="G24" s="61">
        <f t="shared" ref="G24:G28" si="12">(E24-E17)/E17</f>
        <v>-2.3835319609967497E-2</v>
      </c>
      <c r="H24" s="61">
        <f t="shared" ref="H24:H28" si="13">(F24-F17)/F17</f>
        <v>-1.2971698113207548E-2</v>
      </c>
      <c r="I24" s="1">
        <f t="shared" ref="I24:J28" si="14">I23+E24</f>
        <v>17824</v>
      </c>
      <c r="J24" s="1">
        <f t="shared" si="14"/>
        <v>14917</v>
      </c>
      <c r="K24" s="1">
        <f>K23+Table6[[#This Row],[Calls Off]]</f>
        <v>17824</v>
      </c>
      <c r="L24" s="1">
        <f>L23+Table6[[#This Row],[Calls Ans]]</f>
        <v>14917</v>
      </c>
      <c r="M24" s="17">
        <v>0.8</v>
      </c>
      <c r="N24" s="17">
        <v>7.0000000000000007E-2</v>
      </c>
      <c r="O24" s="17">
        <v>0.93</v>
      </c>
      <c r="P24" s="17">
        <v>0.66</v>
      </c>
      <c r="Q24" s="148"/>
      <c r="R24" s="39">
        <v>300</v>
      </c>
      <c r="S24" s="149">
        <v>1.8749999999999999E-2</v>
      </c>
      <c r="T24" s="1">
        <v>14</v>
      </c>
      <c r="U24" s="363" t="str">
        <f t="shared" si="0"/>
        <v>Normal</v>
      </c>
      <c r="V24" s="363" t="str">
        <f t="shared" si="1"/>
        <v>Normal</v>
      </c>
      <c r="W24" s="77">
        <f t="shared" si="2"/>
        <v>-2.3835319609967497E-2</v>
      </c>
      <c r="X24" s="398">
        <f t="shared" si="3"/>
        <v>-1.2971698113207548E-2</v>
      </c>
      <c r="AE24" s="289">
        <v>10</v>
      </c>
      <c r="AF24" s="61">
        <v>0.6428571428571429</v>
      </c>
      <c r="AG24" s="405">
        <v>5446</v>
      </c>
      <c r="AH24" s="405">
        <v>4966</v>
      </c>
      <c r="AI24" s="61">
        <v>0.58571428571428574</v>
      </c>
    </row>
    <row r="25" spans="1:35" ht="17.149999999999999" customHeight="1">
      <c r="A25" s="396">
        <v>45406</v>
      </c>
      <c r="B25" s="385">
        <f>IF(YEAR(Table6[[#This Row],[Date]]) = 2024, WEEKNUM(Table6[[#This Row],[Date]])-13, WEEKNUM(Table6[[#This Row],[Date]])+40)</f>
        <v>4</v>
      </c>
      <c r="C25" s="1" t="s">
        <v>50</v>
      </c>
      <c r="D25" s="296" t="s">
        <v>48</v>
      </c>
      <c r="E25" s="1">
        <v>902</v>
      </c>
      <c r="F25" s="1">
        <v>858</v>
      </c>
      <c r="G25" s="61">
        <f t="shared" si="12"/>
        <v>4.0369088811995385E-2</v>
      </c>
      <c r="H25" s="61">
        <f t="shared" si="13"/>
        <v>0.12010443864229765</v>
      </c>
      <c r="I25" s="1">
        <f t="shared" si="14"/>
        <v>18726</v>
      </c>
      <c r="J25" s="1">
        <f t="shared" si="14"/>
        <v>15775</v>
      </c>
      <c r="K25" s="1">
        <f>K24+Table6[[#This Row],[Calls Off]]</f>
        <v>18726</v>
      </c>
      <c r="L25" s="1">
        <f>L24+Table6[[#This Row],[Calls Ans]]</f>
        <v>15775</v>
      </c>
      <c r="M25" s="17">
        <v>0.82</v>
      </c>
      <c r="N25" s="17">
        <v>0.05</v>
      </c>
      <c r="O25" s="17">
        <v>0.95</v>
      </c>
      <c r="P25" s="17">
        <v>0.64</v>
      </c>
      <c r="Q25" s="148"/>
      <c r="R25" s="200">
        <v>300</v>
      </c>
      <c r="S25" s="150">
        <v>1.6666666666666666E-2</v>
      </c>
      <c r="T25" s="1">
        <v>15</v>
      </c>
      <c r="U25" s="363" t="str">
        <f t="shared" si="0"/>
        <v>Normal</v>
      </c>
      <c r="V25" s="363" t="str">
        <f t="shared" si="1"/>
        <v>Normal</v>
      </c>
      <c r="W25" s="77">
        <f t="shared" si="2"/>
        <v>4.0369088811995385E-2</v>
      </c>
      <c r="X25" s="398">
        <f t="shared" si="3"/>
        <v>0.12010443864229765</v>
      </c>
      <c r="AE25" s="289">
        <v>11</v>
      </c>
      <c r="AF25" s="61">
        <v>0.63714285714285712</v>
      </c>
      <c r="AG25" s="405">
        <v>5401</v>
      </c>
      <c r="AH25" s="405">
        <v>4894</v>
      </c>
      <c r="AI25" s="61">
        <v>0.57714285714285718</v>
      </c>
    </row>
    <row r="26" spans="1:35" ht="17.149999999999999" customHeight="1">
      <c r="A26" s="396">
        <v>45407</v>
      </c>
      <c r="B26" s="385">
        <f>IF(YEAR(Table6[[#This Row],[Date]]) = 2024, WEEKNUM(Table6[[#This Row],[Date]])-13, WEEKNUM(Table6[[#This Row],[Date]])+40)</f>
        <v>4</v>
      </c>
      <c r="C26" s="1" t="s">
        <v>51</v>
      </c>
      <c r="D26" s="296" t="s">
        <v>48</v>
      </c>
      <c r="E26" s="1">
        <v>900</v>
      </c>
      <c r="F26" s="1">
        <v>768</v>
      </c>
      <c r="G26" s="61">
        <f t="shared" si="12"/>
        <v>9.356014580801944E-2</v>
      </c>
      <c r="H26" s="61">
        <f t="shared" si="13"/>
        <v>1.5873015873015872E-2</v>
      </c>
      <c r="I26" s="1">
        <f t="shared" si="14"/>
        <v>19626</v>
      </c>
      <c r="J26" s="1">
        <f t="shared" si="14"/>
        <v>16543</v>
      </c>
      <c r="K26" s="1">
        <f>K25+Table6[[#This Row],[Calls Off]]</f>
        <v>19626</v>
      </c>
      <c r="L26" s="1">
        <f>L25+Table6[[#This Row],[Calls Ans]]</f>
        <v>16543</v>
      </c>
      <c r="M26" s="17">
        <v>0.57999999999999996</v>
      </c>
      <c r="N26" s="17">
        <v>0.15</v>
      </c>
      <c r="O26" s="17">
        <v>0.85</v>
      </c>
      <c r="P26" s="17">
        <v>0.78</v>
      </c>
      <c r="Q26" s="148"/>
      <c r="R26" s="39">
        <v>300</v>
      </c>
      <c r="S26" s="149">
        <v>6.9444444444444441E-3</v>
      </c>
      <c r="T26" s="1">
        <v>11</v>
      </c>
      <c r="U26" s="363" t="str">
        <f t="shared" si="0"/>
        <v>Normal</v>
      </c>
      <c r="V26" s="363" t="str">
        <f t="shared" si="1"/>
        <v>Normal</v>
      </c>
      <c r="W26" s="77">
        <f t="shared" si="2"/>
        <v>9.356014580801944E-2</v>
      </c>
      <c r="X26" s="398">
        <f t="shared" si="3"/>
        <v>1.5873015873015872E-2</v>
      </c>
      <c r="AE26" s="289">
        <v>12</v>
      </c>
      <c r="AF26" s="61">
        <v>0.69000000000000006</v>
      </c>
      <c r="AG26" s="405">
        <v>5354</v>
      </c>
      <c r="AH26" s="405">
        <v>4988</v>
      </c>
      <c r="AI26" s="61">
        <v>0.52</v>
      </c>
    </row>
    <row r="27" spans="1:35" ht="17.149999999999999" customHeight="1">
      <c r="A27" s="396">
        <v>45408</v>
      </c>
      <c r="B27" s="385">
        <f>IF(YEAR(Table6[[#This Row],[Date]]) = 2024, WEEKNUM(Table6[[#This Row],[Date]])-13, WEEKNUM(Table6[[#This Row],[Date]])+40)</f>
        <v>4</v>
      </c>
      <c r="C27" s="1" t="s">
        <v>52</v>
      </c>
      <c r="D27" s="296" t="s">
        <v>48</v>
      </c>
      <c r="E27" s="1">
        <v>893</v>
      </c>
      <c r="F27" s="1">
        <v>842</v>
      </c>
      <c r="G27" s="61">
        <f t="shared" si="12"/>
        <v>5.3066037735849059E-2</v>
      </c>
      <c r="H27" s="61">
        <f t="shared" si="13"/>
        <v>9.350649350649351E-2</v>
      </c>
      <c r="I27" s="1">
        <f t="shared" si="14"/>
        <v>20519</v>
      </c>
      <c r="J27" s="1">
        <f t="shared" si="14"/>
        <v>17385</v>
      </c>
      <c r="K27" s="1">
        <f>K26+Table6[[#This Row],[Calls Off]]</f>
        <v>20519</v>
      </c>
      <c r="L27" s="1">
        <f>L26+Table6[[#This Row],[Calls Ans]]</f>
        <v>17385</v>
      </c>
      <c r="M27" s="17">
        <v>0.86</v>
      </c>
      <c r="N27" s="17">
        <v>0.06</v>
      </c>
      <c r="O27" s="17">
        <v>0.94</v>
      </c>
      <c r="P27" s="17">
        <v>0.62</v>
      </c>
      <c r="Q27" s="148"/>
      <c r="R27" s="39">
        <v>300</v>
      </c>
      <c r="S27" s="149">
        <v>1.5972222222222224E-2</v>
      </c>
      <c r="T27" s="1">
        <v>15</v>
      </c>
      <c r="U27" s="363" t="str">
        <f t="shared" si="0"/>
        <v>Normal</v>
      </c>
      <c r="V27" s="363" t="str">
        <f t="shared" si="1"/>
        <v>Normal</v>
      </c>
      <c r="W27" s="77">
        <f t="shared" si="2"/>
        <v>5.3066037735849059E-2</v>
      </c>
      <c r="X27" s="398">
        <f t="shared" si="3"/>
        <v>9.350649350649351E-2</v>
      </c>
      <c r="AE27" s="289">
        <v>13</v>
      </c>
      <c r="AF27" s="61">
        <v>0.56857142857142862</v>
      </c>
      <c r="AG27" s="405">
        <v>5733</v>
      </c>
      <c r="AH27" s="405">
        <v>5080</v>
      </c>
      <c r="AI27" s="61">
        <v>0.62</v>
      </c>
    </row>
    <row r="28" spans="1:35" ht="17.149999999999999" customHeight="1">
      <c r="A28" s="396">
        <v>45409</v>
      </c>
      <c r="B28" s="385">
        <f>IF(YEAR(Table6[[#This Row],[Date]]) = 2024, WEEKNUM(Table6[[#This Row],[Date]])-13, WEEKNUM(Table6[[#This Row],[Date]])+40)</f>
        <v>4</v>
      </c>
      <c r="C28" s="1" t="s">
        <v>53</v>
      </c>
      <c r="D28" s="296" t="s">
        <v>48</v>
      </c>
      <c r="E28" s="1">
        <v>742</v>
      </c>
      <c r="F28" s="1">
        <v>543</v>
      </c>
      <c r="G28" s="61">
        <f t="shared" si="12"/>
        <v>8.4795321637426896E-2</v>
      </c>
      <c r="H28" s="61">
        <f t="shared" si="13"/>
        <v>-1.8083182640144666E-2</v>
      </c>
      <c r="I28" s="1">
        <f t="shared" si="14"/>
        <v>21261</v>
      </c>
      <c r="J28" s="1">
        <f t="shared" si="14"/>
        <v>17928</v>
      </c>
      <c r="K28" s="1">
        <f>K27+Table6[[#This Row],[Calls Off]]</f>
        <v>21261</v>
      </c>
      <c r="L28" s="1">
        <f>L27+Table6[[#This Row],[Calls Ans]]</f>
        <v>17928</v>
      </c>
      <c r="M28" s="17">
        <v>0.33</v>
      </c>
      <c r="N28" s="17">
        <v>0.27</v>
      </c>
      <c r="O28" s="17">
        <v>0.73</v>
      </c>
      <c r="P28" s="17">
        <v>0.86</v>
      </c>
      <c r="Q28" s="148"/>
      <c r="R28" s="39">
        <v>300</v>
      </c>
      <c r="S28" s="149">
        <v>8.3333333333333329E-2</v>
      </c>
      <c r="T28" s="1">
        <v>7</v>
      </c>
      <c r="U28" s="363" t="str">
        <f t="shared" si="0"/>
        <v>Normal</v>
      </c>
      <c r="V28" s="363" t="str">
        <f t="shared" si="1"/>
        <v>Normal</v>
      </c>
      <c r="W28" s="77">
        <f t="shared" si="2"/>
        <v>8.4795321637426896E-2</v>
      </c>
      <c r="X28" s="398">
        <f t="shared" si="3"/>
        <v>-1.8083182640144666E-2</v>
      </c>
      <c r="AE28" s="289">
        <v>14</v>
      </c>
      <c r="AF28" s="61">
        <v>0.26142857142857145</v>
      </c>
      <c r="AG28" s="405">
        <v>3276</v>
      </c>
      <c r="AH28" s="405">
        <v>2157</v>
      </c>
      <c r="AI28" s="61">
        <v>0.37142857142857144</v>
      </c>
    </row>
    <row r="29" spans="1:35" ht="17.149999999999999" customHeight="1">
      <c r="A29" s="396">
        <v>45410</v>
      </c>
      <c r="B29" s="385">
        <f>IF(YEAR(Table6[[#This Row],[Date]]) = 2024, WEEKNUM(Table6[[#This Row],[Date]])-13, WEEKNUM(Table6[[#This Row],[Date]])+40)</f>
        <v>5</v>
      </c>
      <c r="C29" s="1" t="s">
        <v>54</v>
      </c>
      <c r="D29" s="296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f>K28+Table6[[#This Row],[Calls Off]]</f>
        <v>21261</v>
      </c>
      <c r="L29" s="1">
        <f>L28+Table6[[#This Row],[Calls Ans]]</f>
        <v>17928</v>
      </c>
      <c r="M29" s="17">
        <v>0</v>
      </c>
      <c r="N29" s="17">
        <v>0</v>
      </c>
      <c r="O29" s="17">
        <v>0</v>
      </c>
      <c r="P29" s="17">
        <v>0</v>
      </c>
      <c r="Q29" s="148"/>
      <c r="R29" s="39">
        <v>0</v>
      </c>
      <c r="S29" s="149">
        <v>0</v>
      </c>
      <c r="T29" s="1">
        <v>0</v>
      </c>
      <c r="U29" s="363" t="str">
        <f t="shared" si="0"/>
        <v>Normal</v>
      </c>
      <c r="V29" s="363" t="str">
        <f t="shared" si="1"/>
        <v>Normal</v>
      </c>
      <c r="W29" s="77">
        <f t="shared" si="2"/>
        <v>0</v>
      </c>
      <c r="X29" s="398">
        <f t="shared" si="3"/>
        <v>0</v>
      </c>
      <c r="AE29" s="289">
        <v>15</v>
      </c>
      <c r="AF29" s="61">
        <v>0.4514285714285714</v>
      </c>
      <c r="AG29" s="405">
        <v>5095</v>
      </c>
      <c r="AH29" s="405">
        <v>4026</v>
      </c>
      <c r="AI29" s="61">
        <v>0.55285714285714282</v>
      </c>
    </row>
    <row r="30" spans="1:35" ht="17.149999999999999" customHeight="1">
      <c r="A30" s="396">
        <v>45411</v>
      </c>
      <c r="B30" s="385">
        <f>IF(YEAR(Table6[[#This Row],[Date]]) = 2024, WEEKNUM(Table6[[#This Row],[Date]])-13, WEEKNUM(Table6[[#This Row],[Date]])+40)</f>
        <v>5</v>
      </c>
      <c r="C30" s="1" t="s">
        <v>55</v>
      </c>
      <c r="D30" s="296" t="s">
        <v>48</v>
      </c>
      <c r="E30" s="1">
        <v>1092</v>
      </c>
      <c r="F30" s="1">
        <v>922</v>
      </c>
      <c r="G30" s="61">
        <f>(E30-E23)/E23</f>
        <v>5.9165858389912708E-2</v>
      </c>
      <c r="H30" s="61">
        <f>(F30-F23)/F23</f>
        <v>0</v>
      </c>
      <c r="I30" s="1">
        <f>I28+E30</f>
        <v>22353</v>
      </c>
      <c r="J30" s="1">
        <f>J28+F30</f>
        <v>18850</v>
      </c>
      <c r="K30" s="1">
        <f>K29+Table6[[#This Row],[Calls Off]]</f>
        <v>22353</v>
      </c>
      <c r="L30" s="1">
        <f>L29+Table6[[#This Row],[Calls Ans]]</f>
        <v>18850</v>
      </c>
      <c r="M30" s="17">
        <v>0.44</v>
      </c>
      <c r="N30" s="17">
        <v>0.16</v>
      </c>
      <c r="O30" s="17">
        <v>0.84</v>
      </c>
      <c r="P30" s="17">
        <v>0.85</v>
      </c>
      <c r="Q30" s="148"/>
      <c r="R30" s="39">
        <v>300</v>
      </c>
      <c r="S30" s="149">
        <v>5.9027777777777783E-2</v>
      </c>
      <c r="T30" s="1">
        <v>12</v>
      </c>
      <c r="U30" s="363" t="str">
        <f t="shared" si="0"/>
        <v>Normal</v>
      </c>
      <c r="V30" s="363" t="str">
        <f t="shared" si="1"/>
        <v>Normal</v>
      </c>
      <c r="W30" s="77">
        <f t="shared" si="2"/>
        <v>5.9165858389912708E-2</v>
      </c>
      <c r="X30" s="398">
        <f t="shared" si="3"/>
        <v>0</v>
      </c>
      <c r="AE30" s="289">
        <v>16</v>
      </c>
      <c r="AF30" s="61">
        <v>0.4642857142857143</v>
      </c>
      <c r="AG30" s="405">
        <v>5826</v>
      </c>
      <c r="AH30" s="405">
        <v>4689</v>
      </c>
      <c r="AI30" s="61">
        <v>0.55142857142857138</v>
      </c>
    </row>
    <row r="31" spans="1:35" ht="17.149999999999999" customHeight="1">
      <c r="A31" s="396">
        <v>45412</v>
      </c>
      <c r="B31" s="385">
        <f>IF(YEAR(Table6[[#This Row],[Date]]) = 2024, WEEKNUM(Table6[[#This Row],[Date]])-13, WEEKNUM(Table6[[#This Row],[Date]])+40)</f>
        <v>5</v>
      </c>
      <c r="C31" s="1" t="s">
        <v>49</v>
      </c>
      <c r="D31" s="296" t="s">
        <v>48</v>
      </c>
      <c r="E31" s="1">
        <v>1059</v>
      </c>
      <c r="F31" s="1">
        <v>827</v>
      </c>
      <c r="G31" s="61">
        <f t="shared" ref="G31:G35" si="15">(E31-E24)/E24</f>
        <v>0.17536071032186459</v>
      </c>
      <c r="H31" s="61">
        <f t="shared" ref="H31:H35" si="16">(F31-F24)/F24</f>
        <v>-1.1947431302270013E-2</v>
      </c>
      <c r="I31" s="1">
        <f t="shared" ref="I31:J35" si="17">I30+E31</f>
        <v>23412</v>
      </c>
      <c r="J31" s="1">
        <f t="shared" si="17"/>
        <v>19677</v>
      </c>
      <c r="K31" s="1">
        <f>K30+Table6[[#This Row],[Calls Off]]</f>
        <v>23412</v>
      </c>
      <c r="L31" s="1">
        <f>L30+Table6[[#This Row],[Calls Ans]]</f>
        <v>19677</v>
      </c>
      <c r="M31" s="17">
        <v>0.43</v>
      </c>
      <c r="N31" s="17">
        <v>0.22</v>
      </c>
      <c r="O31" s="17">
        <v>0.78</v>
      </c>
      <c r="P31" s="17">
        <v>0.87</v>
      </c>
      <c r="Q31" s="148"/>
      <c r="R31" s="39">
        <v>342</v>
      </c>
      <c r="S31" s="149">
        <v>8.3333333333333329E-2</v>
      </c>
      <c r="T31" s="1">
        <v>12</v>
      </c>
      <c r="U31" s="363" t="str">
        <f t="shared" si="0"/>
        <v>Normal</v>
      </c>
      <c r="V31" s="363" t="str">
        <f t="shared" si="1"/>
        <v>Normal</v>
      </c>
      <c r="W31" s="77">
        <f t="shared" si="2"/>
        <v>0.17536071032186459</v>
      </c>
      <c r="X31" s="398">
        <f t="shared" si="3"/>
        <v>-1.1947431302270013E-2</v>
      </c>
      <c r="AE31" s="289">
        <v>17</v>
      </c>
      <c r="AF31" s="61">
        <v>0.37999999999999995</v>
      </c>
      <c r="AG31" s="405">
        <v>5422</v>
      </c>
      <c r="AH31" s="405">
        <v>4038</v>
      </c>
      <c r="AI31" s="61">
        <v>0.55999999999999994</v>
      </c>
    </row>
    <row r="32" spans="1:35" ht="17.149999999999999" customHeight="1">
      <c r="A32" s="396">
        <v>45413</v>
      </c>
      <c r="B32" s="385">
        <f>IF(YEAR(Table6[[#This Row],[Date]]) = 2024, WEEKNUM(Table6[[#This Row],[Date]])-13, WEEKNUM(Table6[[#This Row],[Date]])+40)</f>
        <v>5</v>
      </c>
      <c r="C32" s="1" t="s">
        <v>50</v>
      </c>
      <c r="D32" s="296" t="s">
        <v>48</v>
      </c>
      <c r="E32" s="1">
        <v>850</v>
      </c>
      <c r="F32" s="1">
        <v>738</v>
      </c>
      <c r="G32" s="61">
        <f t="shared" si="15"/>
        <v>-5.7649667405764965E-2</v>
      </c>
      <c r="H32" s="61">
        <f t="shared" si="16"/>
        <v>-0.13986013986013987</v>
      </c>
      <c r="I32" s="1">
        <f>Table6[[#This Row],[Calls Off]]</f>
        <v>850</v>
      </c>
      <c r="J32" s="1">
        <f>Table6[[#This Row],[Calls Ans]]</f>
        <v>738</v>
      </c>
      <c r="K32" s="1">
        <f>K31+Table6[[#This Row],[Calls Off]]</f>
        <v>24262</v>
      </c>
      <c r="L32" s="1">
        <f>L31+Table6[[#This Row],[Calls Ans]]</f>
        <v>20415</v>
      </c>
      <c r="M32" s="17">
        <v>0.66</v>
      </c>
      <c r="N32" s="17">
        <v>0.13</v>
      </c>
      <c r="O32" s="17">
        <v>0.87</v>
      </c>
      <c r="P32" s="17">
        <v>0.68</v>
      </c>
      <c r="Q32" s="148"/>
      <c r="R32" s="200">
        <v>300</v>
      </c>
      <c r="S32" s="150">
        <v>4.1666666666666664E-2</v>
      </c>
      <c r="T32" s="1">
        <v>12</v>
      </c>
      <c r="U32" s="363" t="str">
        <f t="shared" si="0"/>
        <v>Normal</v>
      </c>
      <c r="V32" s="363" t="str">
        <f t="shared" si="1"/>
        <v>Normal</v>
      </c>
      <c r="W32" s="77">
        <f t="shared" si="2"/>
        <v>-5.7649667405764965E-2</v>
      </c>
      <c r="X32" s="398">
        <f t="shared" si="3"/>
        <v>-0.13986013986013987</v>
      </c>
      <c r="AE32" s="289">
        <v>18</v>
      </c>
      <c r="AF32" s="61">
        <v>0.13857142857142857</v>
      </c>
      <c r="AG32" s="405">
        <v>5771</v>
      </c>
      <c r="AH32" s="405">
        <v>3456</v>
      </c>
      <c r="AI32" s="61">
        <v>0.53714285714285714</v>
      </c>
    </row>
    <row r="33" spans="1:35" ht="17.149999999999999" customHeight="1">
      <c r="A33" s="396">
        <v>45414</v>
      </c>
      <c r="B33" s="385">
        <f>IF(YEAR(Table6[[#This Row],[Date]]) = 2024, WEEKNUM(Table6[[#This Row],[Date]])-13, WEEKNUM(Table6[[#This Row],[Date]])+40)</f>
        <v>5</v>
      </c>
      <c r="C33" s="1" t="s">
        <v>51</v>
      </c>
      <c r="D33" s="296" t="s">
        <v>48</v>
      </c>
      <c r="E33" s="1">
        <v>924</v>
      </c>
      <c r="F33" s="1">
        <v>717</v>
      </c>
      <c r="G33" s="61">
        <f t="shared" si="15"/>
        <v>2.6666666666666668E-2</v>
      </c>
      <c r="H33" s="61">
        <f t="shared" si="16"/>
        <v>-6.640625E-2</v>
      </c>
      <c r="I33" s="1">
        <f t="shared" si="17"/>
        <v>1774</v>
      </c>
      <c r="J33" s="1">
        <f t="shared" si="17"/>
        <v>1455</v>
      </c>
      <c r="K33" s="1">
        <f>K32+Table6[[#This Row],[Calls Off]]</f>
        <v>25186</v>
      </c>
      <c r="L33" s="1">
        <f>L32+Table6[[#This Row],[Calls Ans]]</f>
        <v>21132</v>
      </c>
      <c r="M33" s="17">
        <v>0.38</v>
      </c>
      <c r="N33" s="17">
        <v>0.22</v>
      </c>
      <c r="O33" s="17">
        <v>0.78</v>
      </c>
      <c r="P33" s="17">
        <v>0.67</v>
      </c>
      <c r="Q33" s="148"/>
      <c r="R33" s="39">
        <v>304</v>
      </c>
      <c r="S33" s="149">
        <v>7.4999999999999997E-2</v>
      </c>
      <c r="T33" s="1">
        <v>12</v>
      </c>
      <c r="U33" s="363" t="str">
        <f t="shared" si="0"/>
        <v>Normal</v>
      </c>
      <c r="V33" s="363" t="str">
        <f t="shared" si="1"/>
        <v>Normal</v>
      </c>
      <c r="W33" s="77">
        <f t="shared" si="2"/>
        <v>2.6666666666666668E-2</v>
      </c>
      <c r="X33" s="398">
        <f t="shared" si="3"/>
        <v>-6.640625E-2</v>
      </c>
      <c r="AE33" s="289">
        <v>19</v>
      </c>
      <c r="AF33" s="61">
        <v>0.14857142857142858</v>
      </c>
      <c r="AG33" s="405">
        <v>5166</v>
      </c>
      <c r="AH33" s="405">
        <v>3343</v>
      </c>
      <c r="AI33" s="61">
        <v>0.53857142857142859</v>
      </c>
    </row>
    <row r="34" spans="1:35" ht="17.149999999999999" customHeight="1">
      <c r="A34" s="396">
        <v>45415</v>
      </c>
      <c r="B34" s="385">
        <f>IF(YEAR(Table6[[#This Row],[Date]]) = 2024, WEEKNUM(Table6[[#This Row],[Date]])-13, WEEKNUM(Table6[[#This Row],[Date]])+40)</f>
        <v>5</v>
      </c>
      <c r="C34" s="1" t="s">
        <v>52</v>
      </c>
      <c r="D34" s="296" t="s">
        <v>48</v>
      </c>
      <c r="E34" s="1">
        <v>897</v>
      </c>
      <c r="F34" s="1">
        <v>798</v>
      </c>
      <c r="G34" s="61">
        <f t="shared" si="15"/>
        <v>4.4792833146696529E-3</v>
      </c>
      <c r="H34" s="61">
        <f t="shared" si="16"/>
        <v>-5.2256532066508314E-2</v>
      </c>
      <c r="I34" s="1">
        <f t="shared" si="17"/>
        <v>2671</v>
      </c>
      <c r="J34" s="1">
        <f t="shared" si="17"/>
        <v>2253</v>
      </c>
      <c r="K34" s="1">
        <f>K33+Table6[[#This Row],[Calls Off]]</f>
        <v>26083</v>
      </c>
      <c r="L34" s="1">
        <f>L33+Table6[[#This Row],[Calls Ans]]</f>
        <v>21930</v>
      </c>
      <c r="M34" s="17">
        <v>0.67</v>
      </c>
      <c r="N34" s="17">
        <v>0.11</v>
      </c>
      <c r="O34" s="17">
        <v>0.89</v>
      </c>
      <c r="P34" s="17">
        <v>0.65</v>
      </c>
      <c r="Q34" s="148"/>
      <c r="R34" s="39">
        <v>309</v>
      </c>
      <c r="S34" s="149">
        <v>4.1666666666666664E-2</v>
      </c>
      <c r="T34" s="1">
        <v>14</v>
      </c>
      <c r="U34" s="363" t="str">
        <f t="shared" ref="U34:U65" si="18">IF(OR(G34&lt;$AA$5,G34&gt;$AB$5), "Outlier", "Normal")</f>
        <v>Normal</v>
      </c>
      <c r="V34" s="363" t="str">
        <f t="shared" ref="V34:V65" si="19">IF(OR(H34&lt;$AA$5,H34&gt;$AB$5), "Outlier", "Normal")</f>
        <v>Normal</v>
      </c>
      <c r="W34" s="77">
        <f t="shared" si="2"/>
        <v>4.4792833146696529E-3</v>
      </c>
      <c r="X34" s="398">
        <f t="shared" si="3"/>
        <v>-5.2256532066508314E-2</v>
      </c>
      <c r="AE34" s="289" t="s">
        <v>174</v>
      </c>
      <c r="AF34" s="405">
        <v>0.47151515151515166</v>
      </c>
      <c r="AG34" s="405">
        <v>101539</v>
      </c>
      <c r="AH34" s="405">
        <v>83399</v>
      </c>
      <c r="AI34" s="61">
        <v>0.57325757575757563</v>
      </c>
    </row>
    <row r="35" spans="1:35" ht="17.149999999999999" customHeight="1">
      <c r="A35" s="396">
        <v>45416</v>
      </c>
      <c r="B35" s="385">
        <f>IF(YEAR(Table6[[#This Row],[Date]]) = 2024, WEEKNUM(Table6[[#This Row],[Date]])-13, WEEKNUM(Table6[[#This Row],[Date]])+40)</f>
        <v>5</v>
      </c>
      <c r="C35" s="1" t="s">
        <v>53</v>
      </c>
      <c r="D35" s="296" t="s">
        <v>48</v>
      </c>
      <c r="E35" s="1">
        <v>703</v>
      </c>
      <c r="F35" s="1">
        <v>586</v>
      </c>
      <c r="G35" s="61">
        <f t="shared" si="15"/>
        <v>-5.2560646900269542E-2</v>
      </c>
      <c r="H35" s="61">
        <f t="shared" si="16"/>
        <v>7.918968692449356E-2</v>
      </c>
      <c r="I35" s="1">
        <f t="shared" si="17"/>
        <v>3374</v>
      </c>
      <c r="J35" s="1">
        <f t="shared" si="17"/>
        <v>2839</v>
      </c>
      <c r="K35" s="1">
        <f>K34+Table6[[#This Row],[Calls Off]]</f>
        <v>26786</v>
      </c>
      <c r="L35" s="1">
        <f>L34+Table6[[#This Row],[Calls Ans]]</f>
        <v>22516</v>
      </c>
      <c r="M35" s="17">
        <v>0.65</v>
      </c>
      <c r="N35" s="17">
        <v>0.17</v>
      </c>
      <c r="O35" s="17">
        <v>0.83</v>
      </c>
      <c r="P35" s="17">
        <v>0.72</v>
      </c>
      <c r="Q35" s="148"/>
      <c r="R35" s="39">
        <v>300</v>
      </c>
      <c r="S35" s="149">
        <v>6.9444444444444434E-2</v>
      </c>
      <c r="T35" s="1">
        <v>9</v>
      </c>
      <c r="U35" s="363" t="str">
        <f t="shared" si="18"/>
        <v>Normal</v>
      </c>
      <c r="V35" s="363" t="str">
        <f t="shared" si="19"/>
        <v>Normal</v>
      </c>
      <c r="W35" s="77">
        <f t="shared" si="2"/>
        <v>-5.2560646900269542E-2</v>
      </c>
      <c r="X35" s="398">
        <f t="shared" si="3"/>
        <v>7.918968692449356E-2</v>
      </c>
    </row>
    <row r="36" spans="1:35">
      <c r="A36" s="396">
        <v>45417</v>
      </c>
      <c r="B36" s="385">
        <f>IF(YEAR(Table6[[#This Row],[Date]]) = 2024, WEEKNUM(Table6[[#This Row],[Date]])-13, WEEKNUM(Table6[[#This Row],[Date]])+40)</f>
        <v>6</v>
      </c>
      <c r="C36" s="1" t="s">
        <v>54</v>
      </c>
      <c r="D36" s="296" t="s">
        <v>48</v>
      </c>
      <c r="E36" s="1">
        <v>0</v>
      </c>
      <c r="F36" s="1">
        <v>0</v>
      </c>
      <c r="G36" s="61">
        <v>0</v>
      </c>
      <c r="H36" s="61">
        <v>0</v>
      </c>
      <c r="I36" s="1">
        <v>0</v>
      </c>
      <c r="J36" s="1">
        <v>0</v>
      </c>
      <c r="K36" s="1">
        <f>K35+Table6[[#This Row],[Calls Off]]</f>
        <v>26786</v>
      </c>
      <c r="L36" s="1">
        <f>L35+Table6[[#This Row],[Calls Ans]]</f>
        <v>22516</v>
      </c>
      <c r="M36" s="17">
        <v>0</v>
      </c>
      <c r="N36" s="17">
        <v>0</v>
      </c>
      <c r="O36" s="17">
        <v>0</v>
      </c>
      <c r="P36" s="17">
        <v>0</v>
      </c>
      <c r="Q36" s="148"/>
      <c r="R36" s="39">
        <v>0</v>
      </c>
      <c r="S36" s="149">
        <v>0</v>
      </c>
      <c r="T36" s="1">
        <v>0</v>
      </c>
      <c r="U36" s="363" t="str">
        <f t="shared" si="18"/>
        <v>Normal</v>
      </c>
      <c r="V36" s="363" t="str">
        <f t="shared" si="19"/>
        <v>Normal</v>
      </c>
      <c r="W36" s="77">
        <f t="shared" si="2"/>
        <v>0</v>
      </c>
      <c r="X36" s="398">
        <f t="shared" si="3"/>
        <v>0</v>
      </c>
    </row>
    <row r="37" spans="1:35">
      <c r="A37" s="396">
        <v>45418</v>
      </c>
      <c r="B37" s="385">
        <f>IF(YEAR(Table6[[#This Row],[Date]]) = 2024, WEEKNUM(Table6[[#This Row],[Date]])-13, WEEKNUM(Table6[[#This Row],[Date]])+40)</f>
        <v>6</v>
      </c>
      <c r="C37" s="1" t="s">
        <v>55</v>
      </c>
      <c r="D37" s="296" t="s">
        <v>48</v>
      </c>
      <c r="E37" s="1">
        <v>1044</v>
      </c>
      <c r="F37" s="1">
        <v>968</v>
      </c>
      <c r="G37" s="61">
        <f t="shared" ref="G37:G42" si="20">(E37-E30)/E30</f>
        <v>-4.3956043956043959E-2</v>
      </c>
      <c r="H37" s="61">
        <f t="shared" ref="H37:H42" si="21">(F37-F30)/F30</f>
        <v>4.9891540130151846E-2</v>
      </c>
      <c r="I37" s="1">
        <f>I35+E37</f>
        <v>4418</v>
      </c>
      <c r="J37" s="1">
        <f>J35+F37</f>
        <v>3807</v>
      </c>
      <c r="K37" s="1">
        <f>K36+Table6[[#This Row],[Calls Off]]</f>
        <v>27830</v>
      </c>
      <c r="L37" s="1">
        <f>L36+Table6[[#This Row],[Calls Ans]]</f>
        <v>23484</v>
      </c>
      <c r="M37" s="17">
        <v>0.84</v>
      </c>
      <c r="N37" s="17">
        <v>7.0000000000000007E-2</v>
      </c>
      <c r="O37" s="17">
        <v>0.83</v>
      </c>
      <c r="P37" s="17">
        <v>0.6</v>
      </c>
      <c r="Q37" s="148"/>
      <c r="R37" s="39">
        <v>267</v>
      </c>
      <c r="S37" s="149">
        <v>1.6666666666666666E-2</v>
      </c>
      <c r="T37" s="1">
        <v>16</v>
      </c>
      <c r="U37" s="363" t="str">
        <f t="shared" si="18"/>
        <v>Normal</v>
      </c>
      <c r="V37" s="363" t="str">
        <f t="shared" si="19"/>
        <v>Normal</v>
      </c>
      <c r="W37" s="77">
        <f t="shared" si="2"/>
        <v>-4.3956043956043959E-2</v>
      </c>
      <c r="X37" s="398">
        <f t="shared" si="3"/>
        <v>4.9891540130151846E-2</v>
      </c>
    </row>
    <row r="38" spans="1:35">
      <c r="A38" s="396">
        <v>45419</v>
      </c>
      <c r="B38" s="385">
        <f>IF(YEAR(Table6[[#This Row],[Date]]) = 2024, WEEKNUM(Table6[[#This Row],[Date]])-13, WEEKNUM(Table6[[#This Row],[Date]])+40)</f>
        <v>6</v>
      </c>
      <c r="C38" s="1" t="s">
        <v>49</v>
      </c>
      <c r="D38" s="296" t="s">
        <v>48</v>
      </c>
      <c r="E38" s="1">
        <v>885</v>
      </c>
      <c r="F38" s="1">
        <v>821</v>
      </c>
      <c r="G38" s="61">
        <f t="shared" si="20"/>
        <v>-0.1643059490084986</v>
      </c>
      <c r="H38" s="61">
        <f t="shared" si="21"/>
        <v>-7.2551390568319227E-3</v>
      </c>
      <c r="I38" s="1">
        <f t="shared" ref="I38:J42" si="22">I37+E38</f>
        <v>5303</v>
      </c>
      <c r="J38" s="1">
        <f t="shared" si="22"/>
        <v>4628</v>
      </c>
      <c r="K38" s="1">
        <f>K37+Table6[[#This Row],[Calls Off]]</f>
        <v>28715</v>
      </c>
      <c r="L38" s="1">
        <f>L37+Table6[[#This Row],[Calls Ans]]</f>
        <v>24305</v>
      </c>
      <c r="M38" s="17">
        <v>0.82</v>
      </c>
      <c r="N38" s="17">
        <v>7.0000000000000007E-2</v>
      </c>
      <c r="O38" s="17">
        <v>0.93</v>
      </c>
      <c r="P38" s="17">
        <v>0.65</v>
      </c>
      <c r="Q38" s="148"/>
      <c r="R38" s="39">
        <v>300</v>
      </c>
      <c r="S38" s="149">
        <v>1.7361111111111112E-2</v>
      </c>
      <c r="T38" s="1">
        <v>14</v>
      </c>
      <c r="U38" s="363" t="str">
        <f t="shared" si="18"/>
        <v>Normal</v>
      </c>
      <c r="V38" s="363" t="str">
        <f t="shared" si="19"/>
        <v>Normal</v>
      </c>
      <c r="W38" s="77">
        <f t="shared" si="2"/>
        <v>-0.1643059490084986</v>
      </c>
      <c r="X38" s="398">
        <f t="shared" si="3"/>
        <v>-7.2551390568319227E-3</v>
      </c>
    </row>
    <row r="39" spans="1:35">
      <c r="A39" s="396">
        <v>45420</v>
      </c>
      <c r="B39" s="385">
        <f>IF(YEAR(Table6[[#This Row],[Date]]) = 2024, WEEKNUM(Table6[[#This Row],[Date]])-13, WEEKNUM(Table6[[#This Row],[Date]])+40)</f>
        <v>6</v>
      </c>
      <c r="C39" s="1" t="s">
        <v>50</v>
      </c>
      <c r="D39" s="296" t="s">
        <v>48</v>
      </c>
      <c r="E39" s="1">
        <v>934</v>
      </c>
      <c r="F39" s="1">
        <v>864</v>
      </c>
      <c r="G39" s="61">
        <f t="shared" si="20"/>
        <v>9.8823529411764699E-2</v>
      </c>
      <c r="H39" s="61">
        <f t="shared" si="21"/>
        <v>0.17073170731707318</v>
      </c>
      <c r="I39" s="1">
        <f t="shared" si="22"/>
        <v>6237</v>
      </c>
      <c r="J39" s="1">
        <f t="shared" si="22"/>
        <v>5492</v>
      </c>
      <c r="K39" s="1">
        <f>K38+Table6[[#This Row],[Calls Off]]</f>
        <v>29649</v>
      </c>
      <c r="L39" s="1">
        <f>L38+Table6[[#This Row],[Calls Ans]]</f>
        <v>25169</v>
      </c>
      <c r="M39" s="17">
        <v>0.72</v>
      </c>
      <c r="N39" s="17">
        <v>7.0000000000000007E-2</v>
      </c>
      <c r="O39" s="17">
        <v>0.93</v>
      </c>
      <c r="P39" s="17">
        <v>0.74</v>
      </c>
      <c r="Q39" s="148"/>
      <c r="R39" s="200">
        <v>345</v>
      </c>
      <c r="S39" s="150">
        <v>3.5416666666666666E-2</v>
      </c>
      <c r="T39" s="1">
        <v>15</v>
      </c>
      <c r="U39" s="363" t="str">
        <f t="shared" si="18"/>
        <v>Normal</v>
      </c>
      <c r="V39" s="363" t="str">
        <f t="shared" si="19"/>
        <v>Normal</v>
      </c>
      <c r="W39" s="77">
        <f t="shared" si="2"/>
        <v>9.8823529411764699E-2</v>
      </c>
      <c r="X39" s="398">
        <f t="shared" si="3"/>
        <v>0.17073170731707318</v>
      </c>
    </row>
    <row r="40" spans="1:35">
      <c r="A40" s="396">
        <v>45421</v>
      </c>
      <c r="B40" s="385">
        <f>IF(YEAR(Table6[[#This Row],[Date]]) = 2024, WEEKNUM(Table6[[#This Row],[Date]])-13, WEEKNUM(Table6[[#This Row],[Date]])+40)</f>
        <v>6</v>
      </c>
      <c r="C40" s="1" t="s">
        <v>51</v>
      </c>
      <c r="D40" s="296" t="s">
        <v>48</v>
      </c>
      <c r="E40" s="1">
        <v>954</v>
      </c>
      <c r="F40" s="1">
        <v>841</v>
      </c>
      <c r="G40" s="61">
        <f t="shared" si="20"/>
        <v>3.2467532467532464E-2</v>
      </c>
      <c r="H40" s="61">
        <f t="shared" si="21"/>
        <v>0.17294281729428174</v>
      </c>
      <c r="I40" s="1">
        <f t="shared" si="22"/>
        <v>7191</v>
      </c>
      <c r="J40" s="1">
        <f t="shared" si="22"/>
        <v>6333</v>
      </c>
      <c r="K40" s="1">
        <f>K39+Table6[[#This Row],[Calls Off]]</f>
        <v>30603</v>
      </c>
      <c r="L40" s="1">
        <f>L39+Table6[[#This Row],[Calls Ans]]</f>
        <v>26010</v>
      </c>
      <c r="M40" s="17">
        <v>0.61</v>
      </c>
      <c r="N40" s="17">
        <v>0.12</v>
      </c>
      <c r="O40" s="17">
        <v>0.88</v>
      </c>
      <c r="P40" s="17">
        <v>0.85</v>
      </c>
      <c r="Q40" s="148"/>
      <c r="R40" s="39">
        <v>328</v>
      </c>
      <c r="S40" s="149">
        <v>4.027777777777778E-2</v>
      </c>
      <c r="T40" s="1">
        <v>12</v>
      </c>
      <c r="U40" s="363" t="str">
        <f t="shared" si="18"/>
        <v>Normal</v>
      </c>
      <c r="V40" s="363" t="str">
        <f t="shared" si="19"/>
        <v>Normal</v>
      </c>
      <c r="W40" s="77">
        <f t="shared" si="2"/>
        <v>3.2467532467532464E-2</v>
      </c>
      <c r="X40" s="398">
        <f t="shared" si="3"/>
        <v>0.17294281729428174</v>
      </c>
    </row>
    <row r="41" spans="1:35">
      <c r="A41" s="396">
        <v>45422</v>
      </c>
      <c r="B41" s="385">
        <f>IF(YEAR(Table6[[#This Row],[Date]]) = 2024, WEEKNUM(Table6[[#This Row],[Date]])-13, WEEKNUM(Table6[[#This Row],[Date]])+40)</f>
        <v>6</v>
      </c>
      <c r="C41" s="1" t="s">
        <v>52</v>
      </c>
      <c r="D41" s="296" t="s">
        <v>48</v>
      </c>
      <c r="E41" s="1">
        <v>862</v>
      </c>
      <c r="F41" s="1">
        <v>806</v>
      </c>
      <c r="G41" s="61">
        <f t="shared" si="20"/>
        <v>-3.901895206243032E-2</v>
      </c>
      <c r="H41" s="61">
        <f t="shared" si="21"/>
        <v>1.0025062656641603E-2</v>
      </c>
      <c r="I41" s="1">
        <f t="shared" si="22"/>
        <v>8053</v>
      </c>
      <c r="J41" s="1">
        <f t="shared" si="22"/>
        <v>7139</v>
      </c>
      <c r="K41" s="1">
        <f>K40+Table6[[#This Row],[Calls Off]]</f>
        <v>31465</v>
      </c>
      <c r="L41" s="1">
        <f>L40+Table6[[#This Row],[Calls Ans]]</f>
        <v>26816</v>
      </c>
      <c r="M41" s="17">
        <v>0.83</v>
      </c>
      <c r="N41" s="17">
        <v>0.06</v>
      </c>
      <c r="O41" s="17">
        <v>0.94</v>
      </c>
      <c r="P41" s="17">
        <v>0.64</v>
      </c>
      <c r="Q41" s="148"/>
      <c r="R41" s="39">
        <v>300</v>
      </c>
      <c r="S41" s="149">
        <v>1.5972222222222224E-2</v>
      </c>
      <c r="T41" s="1">
        <v>14</v>
      </c>
      <c r="U41" s="363" t="str">
        <f t="shared" si="18"/>
        <v>Normal</v>
      </c>
      <c r="V41" s="363" t="str">
        <f t="shared" si="19"/>
        <v>Normal</v>
      </c>
      <c r="W41" s="77">
        <f t="shared" si="2"/>
        <v>-3.901895206243032E-2</v>
      </c>
      <c r="X41" s="398">
        <f t="shared" si="3"/>
        <v>1.0025062656641603E-2</v>
      </c>
    </row>
    <row r="42" spans="1:35">
      <c r="A42" s="396">
        <v>45423</v>
      </c>
      <c r="B42" s="385">
        <f>IF(YEAR(Table6[[#This Row],[Date]]) = 2024, WEEKNUM(Table6[[#This Row],[Date]])-13, WEEKNUM(Table6[[#This Row],[Date]])+40)</f>
        <v>6</v>
      </c>
      <c r="C42" s="1" t="s">
        <v>53</v>
      </c>
      <c r="D42" s="296" t="s">
        <v>48</v>
      </c>
      <c r="E42" s="1">
        <v>710</v>
      </c>
      <c r="F42" s="1">
        <v>615</v>
      </c>
      <c r="G42" s="61">
        <f t="shared" si="20"/>
        <v>9.9573257467994308E-3</v>
      </c>
      <c r="H42" s="61">
        <f t="shared" si="21"/>
        <v>4.9488054607508533E-2</v>
      </c>
      <c r="I42" s="1">
        <f t="shared" si="22"/>
        <v>8763</v>
      </c>
      <c r="J42" s="1">
        <f t="shared" si="22"/>
        <v>7754</v>
      </c>
      <c r="K42" s="1">
        <f>K41+Table6[[#This Row],[Calls Off]]</f>
        <v>32175</v>
      </c>
      <c r="L42" s="1">
        <f>L41+Table6[[#This Row],[Calls Ans]]</f>
        <v>27431</v>
      </c>
      <c r="M42" s="17">
        <v>0.66</v>
      </c>
      <c r="N42" s="17">
        <v>0.13</v>
      </c>
      <c r="O42" s="17">
        <v>0.87</v>
      </c>
      <c r="P42" s="17">
        <v>0.76</v>
      </c>
      <c r="Q42" s="148"/>
      <c r="R42" s="39">
        <v>300</v>
      </c>
      <c r="S42" s="149">
        <v>3.888888888888889E-2</v>
      </c>
      <c r="T42" s="1">
        <v>9</v>
      </c>
      <c r="U42" s="363" t="str">
        <f t="shared" si="18"/>
        <v>Normal</v>
      </c>
      <c r="V42" s="363" t="str">
        <f t="shared" si="19"/>
        <v>Normal</v>
      </c>
      <c r="W42" s="77">
        <f t="shared" si="2"/>
        <v>9.9573257467994308E-3</v>
      </c>
      <c r="X42" s="398">
        <f t="shared" si="3"/>
        <v>4.9488054607508533E-2</v>
      </c>
    </row>
    <row r="43" spans="1:35">
      <c r="A43" s="396">
        <v>45424</v>
      </c>
      <c r="B43" s="385">
        <f>IF(YEAR(Table6[[#This Row],[Date]]) = 2024, WEEKNUM(Table6[[#This Row],[Date]])-13, WEEKNUM(Table6[[#This Row],[Date]])+40)</f>
        <v>7</v>
      </c>
      <c r="C43" s="1" t="s">
        <v>54</v>
      </c>
      <c r="D43" s="296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f>K42+Table6[[#This Row],[Calls Off]]</f>
        <v>32175</v>
      </c>
      <c r="L43" s="1">
        <f>L42+Table6[[#This Row],[Calls Ans]]</f>
        <v>27431</v>
      </c>
      <c r="M43" s="17">
        <v>0</v>
      </c>
      <c r="N43" s="17">
        <v>0</v>
      </c>
      <c r="O43" s="17">
        <v>0</v>
      </c>
      <c r="P43" s="17">
        <v>0</v>
      </c>
      <c r="Q43" s="148"/>
      <c r="R43" s="39">
        <v>0</v>
      </c>
      <c r="S43" s="149">
        <v>0</v>
      </c>
      <c r="T43" s="1">
        <v>0</v>
      </c>
      <c r="U43" s="363" t="str">
        <f t="shared" si="18"/>
        <v>Normal</v>
      </c>
      <c r="V43" s="363" t="str">
        <f t="shared" si="19"/>
        <v>Normal</v>
      </c>
      <c r="W43" s="77">
        <f t="shared" si="2"/>
        <v>0</v>
      </c>
      <c r="X43" s="398">
        <f t="shared" si="3"/>
        <v>0</v>
      </c>
    </row>
    <row r="44" spans="1:35">
      <c r="A44" s="396">
        <v>45425</v>
      </c>
      <c r="B44" s="385">
        <f>IF(YEAR(Table6[[#This Row],[Date]]) = 2024, WEEKNUM(Table6[[#This Row],[Date]])-13, WEEKNUM(Table6[[#This Row],[Date]])+40)</f>
        <v>7</v>
      </c>
      <c r="C44" s="1" t="s">
        <v>55</v>
      </c>
      <c r="D44" s="296" t="s">
        <v>48</v>
      </c>
      <c r="E44" s="1">
        <v>1034</v>
      </c>
      <c r="F44" s="1">
        <v>954</v>
      </c>
      <c r="G44" s="61">
        <f t="shared" ref="G44:G49" si="23">(E44-E37)/E37</f>
        <v>-9.5785440613026813E-3</v>
      </c>
      <c r="H44" s="61">
        <f t="shared" ref="H44:H49" si="24">(F44-F37)/F37</f>
        <v>-1.4462809917355372E-2</v>
      </c>
      <c r="I44" s="1">
        <f>I42+E44</f>
        <v>9797</v>
      </c>
      <c r="J44" s="1">
        <f>J42+F44</f>
        <v>8708</v>
      </c>
      <c r="K44" s="1">
        <f>K43+Table6[[#This Row],[Calls Off]]</f>
        <v>33209</v>
      </c>
      <c r="L44" s="1">
        <f>L43+Table6[[#This Row],[Calls Ans]]</f>
        <v>28385</v>
      </c>
      <c r="M44" s="17">
        <v>0.66</v>
      </c>
      <c r="N44" s="17">
        <v>0.13</v>
      </c>
      <c r="O44" s="17">
        <v>0.87</v>
      </c>
      <c r="P44" s="17">
        <v>0.71</v>
      </c>
      <c r="Q44" s="148"/>
      <c r="R44" s="39">
        <v>300</v>
      </c>
      <c r="S44" s="149">
        <v>2.5694444444444447E-2</v>
      </c>
      <c r="T44" s="1">
        <v>15</v>
      </c>
      <c r="U44" s="363" t="str">
        <f t="shared" si="18"/>
        <v>Normal</v>
      </c>
      <c r="V44" s="363" t="str">
        <f t="shared" si="19"/>
        <v>Normal</v>
      </c>
      <c r="W44" s="77">
        <f t="shared" si="2"/>
        <v>-9.5785440613026813E-3</v>
      </c>
      <c r="X44" s="398">
        <f t="shared" si="3"/>
        <v>-1.4462809917355372E-2</v>
      </c>
    </row>
    <row r="45" spans="1:35">
      <c r="A45" s="396">
        <v>45426</v>
      </c>
      <c r="B45" s="385">
        <f>IF(YEAR(Table6[[#This Row],[Date]]) = 2024, WEEKNUM(Table6[[#This Row],[Date]])-13, WEEKNUM(Table6[[#This Row],[Date]])+40)</f>
        <v>7</v>
      </c>
      <c r="C45" s="1" t="s">
        <v>49</v>
      </c>
      <c r="D45" s="296" t="s">
        <v>48</v>
      </c>
      <c r="E45" s="1">
        <v>1049</v>
      </c>
      <c r="F45" s="1">
        <v>991</v>
      </c>
      <c r="G45" s="61">
        <f t="shared" si="23"/>
        <v>0.18531073446327684</v>
      </c>
      <c r="H45" s="61">
        <f t="shared" si="24"/>
        <v>0.20706455542021923</v>
      </c>
      <c r="I45" s="1">
        <f t="shared" ref="I45:J49" si="25">I44+E45</f>
        <v>10846</v>
      </c>
      <c r="J45" s="1">
        <f t="shared" si="25"/>
        <v>9699</v>
      </c>
      <c r="K45" s="1">
        <f>K44+Table6[[#This Row],[Calls Off]]</f>
        <v>34258</v>
      </c>
      <c r="L45" s="1">
        <f>L44+Table6[[#This Row],[Calls Ans]]</f>
        <v>29376</v>
      </c>
      <c r="M45" s="17">
        <v>0.83</v>
      </c>
      <c r="N45" s="17">
        <v>0.06</v>
      </c>
      <c r="O45" s="17">
        <v>0.94</v>
      </c>
      <c r="P45" s="17">
        <v>0.79</v>
      </c>
      <c r="Q45" s="148"/>
      <c r="R45" s="39">
        <v>300</v>
      </c>
      <c r="S45" s="149">
        <v>1.7361111111111112E-2</v>
      </c>
      <c r="T45" s="1">
        <v>14</v>
      </c>
      <c r="U45" s="363" t="str">
        <f t="shared" si="18"/>
        <v>Normal</v>
      </c>
      <c r="V45" s="363" t="str">
        <f t="shared" si="19"/>
        <v>Normal</v>
      </c>
      <c r="W45" s="77">
        <f t="shared" si="2"/>
        <v>0.18531073446327684</v>
      </c>
      <c r="X45" s="398">
        <f t="shared" si="3"/>
        <v>0.20706455542021923</v>
      </c>
    </row>
    <row r="46" spans="1:35">
      <c r="A46" s="396">
        <v>45427</v>
      </c>
      <c r="B46" s="385">
        <f>IF(YEAR(Table6[[#This Row],[Date]]) = 2024, WEEKNUM(Table6[[#This Row],[Date]])-13, WEEKNUM(Table6[[#This Row],[Date]])+40)</f>
        <v>7</v>
      </c>
      <c r="C46" s="1" t="s">
        <v>50</v>
      </c>
      <c r="D46" s="296" t="s">
        <v>48</v>
      </c>
      <c r="E46" s="1">
        <v>1021</v>
      </c>
      <c r="F46" s="1">
        <v>841</v>
      </c>
      <c r="G46" s="61">
        <f t="shared" si="23"/>
        <v>9.3147751605995713E-2</v>
      </c>
      <c r="H46" s="61">
        <f t="shared" si="24"/>
        <v>-2.6620370370370371E-2</v>
      </c>
      <c r="I46" s="1">
        <f t="shared" si="25"/>
        <v>11867</v>
      </c>
      <c r="J46" s="1">
        <f t="shared" si="25"/>
        <v>10540</v>
      </c>
      <c r="K46" s="1">
        <f>K45+Table6[[#This Row],[Calls Off]]</f>
        <v>35279</v>
      </c>
      <c r="L46" s="1">
        <f>L45+Table6[[#This Row],[Calls Ans]]</f>
        <v>30217</v>
      </c>
      <c r="M46" s="17">
        <v>0.56999999999999995</v>
      </c>
      <c r="N46" s="17">
        <v>0.18</v>
      </c>
      <c r="O46" s="17">
        <v>0.82</v>
      </c>
      <c r="P46" s="17">
        <v>0.78</v>
      </c>
      <c r="Q46" s="148"/>
      <c r="R46" s="200">
        <v>326</v>
      </c>
      <c r="S46" s="150">
        <v>4.1666666666666664E-2</v>
      </c>
      <c r="T46" s="1">
        <v>13</v>
      </c>
      <c r="U46" s="363" t="str">
        <f t="shared" si="18"/>
        <v>Normal</v>
      </c>
      <c r="V46" s="363" t="str">
        <f t="shared" si="19"/>
        <v>Normal</v>
      </c>
      <c r="W46" s="77">
        <f t="shared" si="2"/>
        <v>9.3147751605995713E-2</v>
      </c>
      <c r="X46" s="398">
        <f t="shared" si="3"/>
        <v>-2.6620370370370371E-2</v>
      </c>
    </row>
    <row r="47" spans="1:35">
      <c r="A47" s="396">
        <v>45428</v>
      </c>
      <c r="B47" s="385">
        <f>IF(YEAR(Table6[[#This Row],[Date]]) = 2024, WEEKNUM(Table6[[#This Row],[Date]])-13, WEEKNUM(Table6[[#This Row],[Date]])+40)</f>
        <v>7</v>
      </c>
      <c r="C47" s="1" t="s">
        <v>51</v>
      </c>
      <c r="D47" s="296" t="s">
        <v>48</v>
      </c>
      <c r="E47" s="1">
        <v>988</v>
      </c>
      <c r="F47" s="1">
        <v>881</v>
      </c>
      <c r="G47" s="61">
        <f t="shared" si="23"/>
        <v>3.5639412997903561E-2</v>
      </c>
      <c r="H47" s="61">
        <f t="shared" si="24"/>
        <v>4.7562425683709872E-2</v>
      </c>
      <c r="I47" s="1">
        <f t="shared" si="25"/>
        <v>12855</v>
      </c>
      <c r="J47" s="1">
        <f t="shared" si="25"/>
        <v>11421</v>
      </c>
      <c r="K47" s="1">
        <f>K46+Table6[[#This Row],[Calls Off]]</f>
        <v>36267</v>
      </c>
      <c r="L47" s="1">
        <f>L46+Table6[[#This Row],[Calls Ans]]</f>
        <v>31098</v>
      </c>
      <c r="M47" s="17">
        <v>0.77</v>
      </c>
      <c r="N47" s="17">
        <v>0.11</v>
      </c>
      <c r="O47" s="17">
        <v>0.89</v>
      </c>
      <c r="P47" s="17">
        <v>0.65</v>
      </c>
      <c r="Q47" s="148"/>
      <c r="R47" s="39">
        <v>300</v>
      </c>
      <c r="S47" s="149">
        <v>2.9166666666666664E-2</v>
      </c>
      <c r="T47" s="1">
        <v>15</v>
      </c>
      <c r="U47" s="363" t="str">
        <f t="shared" si="18"/>
        <v>Normal</v>
      </c>
      <c r="V47" s="363" t="str">
        <f t="shared" si="19"/>
        <v>Normal</v>
      </c>
      <c r="W47" s="77">
        <f t="shared" si="2"/>
        <v>3.5639412997903561E-2</v>
      </c>
      <c r="X47" s="398">
        <f t="shared" si="3"/>
        <v>4.7562425683709872E-2</v>
      </c>
    </row>
    <row r="48" spans="1:35">
      <c r="A48" s="396">
        <v>45429</v>
      </c>
      <c r="B48" s="385">
        <f>IF(YEAR(Table6[[#This Row],[Date]]) = 2024, WEEKNUM(Table6[[#This Row],[Date]])-13, WEEKNUM(Table6[[#This Row],[Date]])+40)</f>
        <v>7</v>
      </c>
      <c r="C48" s="1" t="s">
        <v>52</v>
      </c>
      <c r="D48" s="296" t="s">
        <v>48</v>
      </c>
      <c r="E48" s="1">
        <v>852</v>
      </c>
      <c r="F48" s="1">
        <v>824</v>
      </c>
      <c r="G48" s="61">
        <f t="shared" si="23"/>
        <v>-1.1600928074245939E-2</v>
      </c>
      <c r="H48" s="61">
        <f t="shared" si="24"/>
        <v>2.2332506203473945E-2</v>
      </c>
      <c r="I48" s="1">
        <f t="shared" si="25"/>
        <v>13707</v>
      </c>
      <c r="J48" s="1">
        <f t="shared" si="25"/>
        <v>12245</v>
      </c>
      <c r="K48" s="1">
        <f>K47+Table6[[#This Row],[Calls Off]]</f>
        <v>37119</v>
      </c>
      <c r="L48" s="1">
        <f>L47+Table6[[#This Row],[Calls Ans]]</f>
        <v>31922</v>
      </c>
      <c r="M48" s="17">
        <v>0.9</v>
      </c>
      <c r="N48" s="17">
        <v>0.03</v>
      </c>
      <c r="O48" s="17">
        <v>0.97</v>
      </c>
      <c r="P48" s="17">
        <v>0.7</v>
      </c>
      <c r="Q48" s="148"/>
      <c r="R48" s="39">
        <v>300</v>
      </c>
      <c r="S48" s="149">
        <v>1.0416666666666666E-2</v>
      </c>
      <c r="T48" s="1">
        <v>13</v>
      </c>
      <c r="U48" s="363" t="str">
        <f t="shared" si="18"/>
        <v>Normal</v>
      </c>
      <c r="V48" s="363" t="str">
        <f t="shared" si="19"/>
        <v>Normal</v>
      </c>
      <c r="W48" s="77">
        <f t="shared" si="2"/>
        <v>-1.1600928074245939E-2</v>
      </c>
      <c r="X48" s="398">
        <f t="shared" si="3"/>
        <v>2.2332506203473945E-2</v>
      </c>
    </row>
    <row r="49" spans="1:24">
      <c r="A49" s="396">
        <v>45430</v>
      </c>
      <c r="B49" s="385">
        <f>IF(YEAR(Table6[[#This Row],[Date]]) = 2024, WEEKNUM(Table6[[#This Row],[Date]])-13, WEEKNUM(Table6[[#This Row],[Date]])+40)</f>
        <v>7</v>
      </c>
      <c r="C49" s="1" t="s">
        <v>53</v>
      </c>
      <c r="D49" s="296" t="s">
        <v>48</v>
      </c>
      <c r="E49" s="1">
        <v>766</v>
      </c>
      <c r="F49" s="1">
        <v>589</v>
      </c>
      <c r="G49" s="61">
        <f t="shared" si="23"/>
        <v>7.8873239436619724E-2</v>
      </c>
      <c r="H49" s="61">
        <f t="shared" si="24"/>
        <v>-4.2276422764227641E-2</v>
      </c>
      <c r="I49" s="1">
        <f t="shared" si="25"/>
        <v>14473</v>
      </c>
      <c r="J49" s="1">
        <f t="shared" si="25"/>
        <v>12834</v>
      </c>
      <c r="K49" s="1">
        <f>K48+Table6[[#This Row],[Calls Off]]</f>
        <v>37885</v>
      </c>
      <c r="L49" s="1">
        <f>L48+Table6[[#This Row],[Calls Ans]]</f>
        <v>32511</v>
      </c>
      <c r="M49" s="17">
        <v>0.46</v>
      </c>
      <c r="N49" s="17">
        <v>0.23</v>
      </c>
      <c r="O49" s="17">
        <v>0.77</v>
      </c>
      <c r="P49" s="17">
        <v>0.73</v>
      </c>
      <c r="Q49" s="148"/>
      <c r="R49" s="39">
        <v>300</v>
      </c>
      <c r="S49" s="149">
        <v>1.0416666666666666E-2</v>
      </c>
      <c r="T49" s="1">
        <v>9</v>
      </c>
      <c r="U49" s="363" t="str">
        <f t="shared" si="18"/>
        <v>Normal</v>
      </c>
      <c r="V49" s="363" t="str">
        <f t="shared" si="19"/>
        <v>Normal</v>
      </c>
      <c r="W49" s="77">
        <f t="shared" si="2"/>
        <v>7.8873239436619724E-2</v>
      </c>
      <c r="X49" s="398">
        <f t="shared" si="3"/>
        <v>-4.2276422764227641E-2</v>
      </c>
    </row>
    <row r="50" spans="1:24">
      <c r="A50" s="396">
        <v>45431</v>
      </c>
      <c r="B50" s="385">
        <f>IF(YEAR(Table6[[#This Row],[Date]]) = 2024, WEEKNUM(Table6[[#This Row],[Date]])-13, WEEKNUM(Table6[[#This Row],[Date]])+40)</f>
        <v>8</v>
      </c>
      <c r="C50" s="1" t="s">
        <v>54</v>
      </c>
      <c r="D50" s="296" t="s">
        <v>48</v>
      </c>
      <c r="E50" s="1">
        <v>0</v>
      </c>
      <c r="F50" s="1">
        <v>0</v>
      </c>
      <c r="G50" s="61">
        <v>0</v>
      </c>
      <c r="H50" s="61">
        <v>0</v>
      </c>
      <c r="I50" s="1">
        <v>0</v>
      </c>
      <c r="J50" s="1">
        <v>0</v>
      </c>
      <c r="K50" s="1">
        <f>K49+Table6[[#This Row],[Calls Off]]</f>
        <v>37885</v>
      </c>
      <c r="L50" s="1">
        <f>L49+Table6[[#This Row],[Calls Ans]]</f>
        <v>32511</v>
      </c>
      <c r="M50" s="17">
        <v>0</v>
      </c>
      <c r="N50" s="17">
        <v>0</v>
      </c>
      <c r="O50" s="17">
        <v>0</v>
      </c>
      <c r="P50" s="17">
        <v>0</v>
      </c>
      <c r="Q50" s="148"/>
      <c r="R50" s="39">
        <v>0</v>
      </c>
      <c r="S50" s="149">
        <v>0</v>
      </c>
      <c r="T50" s="1">
        <v>0</v>
      </c>
      <c r="U50" s="363" t="str">
        <f t="shared" si="18"/>
        <v>Normal</v>
      </c>
      <c r="V50" s="363" t="str">
        <f t="shared" si="19"/>
        <v>Normal</v>
      </c>
      <c r="W50" s="77">
        <f t="shared" si="2"/>
        <v>0</v>
      </c>
      <c r="X50" s="398">
        <f t="shared" si="3"/>
        <v>0</v>
      </c>
    </row>
    <row r="51" spans="1:24">
      <c r="A51" s="396">
        <v>45432</v>
      </c>
      <c r="B51" s="385">
        <f>IF(YEAR(Table6[[#This Row],[Date]]) = 2024, WEEKNUM(Table6[[#This Row],[Date]])-13, WEEKNUM(Table6[[#This Row],[Date]])+40)</f>
        <v>8</v>
      </c>
      <c r="C51" s="1" t="s">
        <v>55</v>
      </c>
      <c r="D51" s="296" t="s">
        <v>48</v>
      </c>
      <c r="E51" s="1">
        <v>1054</v>
      </c>
      <c r="F51" s="1">
        <v>969</v>
      </c>
      <c r="G51" s="61">
        <f t="shared" ref="G51:G53" si="26">(E51-E44)/E44</f>
        <v>1.9342359767891684E-2</v>
      </c>
      <c r="H51" s="61">
        <f t="shared" ref="H51:H53" si="27">(F51-F44)/F44</f>
        <v>1.5723270440251572E-2</v>
      </c>
      <c r="I51" s="1">
        <f>I49+E51</f>
        <v>15527</v>
      </c>
      <c r="J51" s="1">
        <f>J49+F51</f>
        <v>13803</v>
      </c>
      <c r="K51" s="1">
        <f>K50+Table6[[#This Row],[Calls Off]]</f>
        <v>38939</v>
      </c>
      <c r="L51" s="1">
        <f>L50+Table6[[#This Row],[Calls Ans]]</f>
        <v>33480</v>
      </c>
      <c r="M51" s="17">
        <v>0.74</v>
      </c>
      <c r="N51" s="17">
        <v>0.08</v>
      </c>
      <c r="O51" s="17">
        <v>0.92</v>
      </c>
      <c r="P51" s="17">
        <v>0.65</v>
      </c>
      <c r="Q51" s="148"/>
      <c r="R51" s="39">
        <v>271</v>
      </c>
      <c r="S51" s="149">
        <v>2.4305555555555556E-2</v>
      </c>
      <c r="T51" s="1">
        <v>15</v>
      </c>
      <c r="U51" s="363" t="str">
        <f t="shared" si="18"/>
        <v>Normal</v>
      </c>
      <c r="V51" s="363" t="str">
        <f t="shared" si="19"/>
        <v>Normal</v>
      </c>
      <c r="W51" s="77">
        <f t="shared" si="2"/>
        <v>1.9342359767891684E-2</v>
      </c>
      <c r="X51" s="398">
        <f t="shared" si="3"/>
        <v>1.5723270440251572E-2</v>
      </c>
    </row>
    <row r="52" spans="1:24">
      <c r="A52" s="396">
        <v>45433</v>
      </c>
      <c r="B52" s="385">
        <f>IF(YEAR(Table6[[#This Row],[Date]]) = 2024, WEEKNUM(Table6[[#This Row],[Date]])-13, WEEKNUM(Table6[[#This Row],[Date]])+40)</f>
        <v>8</v>
      </c>
      <c r="C52" s="1" t="s">
        <v>49</v>
      </c>
      <c r="D52" s="296" t="s">
        <v>48</v>
      </c>
      <c r="E52" s="1">
        <v>964</v>
      </c>
      <c r="F52" s="1">
        <v>841</v>
      </c>
      <c r="G52" s="61">
        <f t="shared" si="26"/>
        <v>-8.1029551954242135E-2</v>
      </c>
      <c r="H52" s="61">
        <f t="shared" si="27"/>
        <v>-0.15136226034308778</v>
      </c>
      <c r="I52" s="1">
        <f>I51+E52</f>
        <v>16491</v>
      </c>
      <c r="J52" s="1">
        <f>J51+F52</f>
        <v>14644</v>
      </c>
      <c r="K52" s="1">
        <f>K51+Table6[[#This Row],[Calls Off]]</f>
        <v>39903</v>
      </c>
      <c r="L52" s="1">
        <f>L51+Table6[[#This Row],[Calls Ans]]</f>
        <v>34321</v>
      </c>
      <c r="M52" s="17">
        <v>0.64</v>
      </c>
      <c r="N52" s="17">
        <v>0.13</v>
      </c>
      <c r="O52" s="17">
        <v>0.87</v>
      </c>
      <c r="P52" s="17">
        <v>0.67</v>
      </c>
      <c r="Q52" s="148"/>
      <c r="R52" s="39">
        <v>300</v>
      </c>
      <c r="S52" s="149">
        <v>4.8611111111111112E-2</v>
      </c>
      <c r="T52" s="1">
        <v>14</v>
      </c>
      <c r="U52" s="363" t="str">
        <f t="shared" si="18"/>
        <v>Normal</v>
      </c>
      <c r="V52" s="363" t="str">
        <f t="shared" si="19"/>
        <v>Normal</v>
      </c>
      <c r="W52" s="77">
        <f t="shared" si="2"/>
        <v>-8.1029551954242135E-2</v>
      </c>
      <c r="X52" s="398">
        <f t="shared" si="3"/>
        <v>-0.15136226034308778</v>
      </c>
    </row>
    <row r="53" spans="1:24">
      <c r="A53" s="396">
        <v>45434</v>
      </c>
      <c r="B53" s="385">
        <f>IF(YEAR(Table6[[#This Row],[Date]]) = 2024, WEEKNUM(Table6[[#This Row],[Date]])-13, WEEKNUM(Table6[[#This Row],[Date]])+40)</f>
        <v>8</v>
      </c>
      <c r="C53" s="1" t="s">
        <v>50</v>
      </c>
      <c r="D53" s="296" t="s">
        <v>48</v>
      </c>
      <c r="E53" s="1">
        <v>969</v>
      </c>
      <c r="F53" s="1">
        <v>911</v>
      </c>
      <c r="G53" s="61">
        <f t="shared" si="26"/>
        <v>-5.0930460333006855E-2</v>
      </c>
      <c r="H53" s="61">
        <f t="shared" si="27"/>
        <v>8.3234244946492272E-2</v>
      </c>
      <c r="I53" s="1">
        <f>I52+E53</f>
        <v>17460</v>
      </c>
      <c r="J53" s="1">
        <f>J52+F53</f>
        <v>15555</v>
      </c>
      <c r="K53" s="1">
        <f>K52+Table6[[#This Row],[Calls Off]]</f>
        <v>40872</v>
      </c>
      <c r="L53" s="1">
        <f>L52+Table6[[#This Row],[Calls Ans]]</f>
        <v>35232</v>
      </c>
      <c r="M53" s="17">
        <v>0.77</v>
      </c>
      <c r="N53" s="17">
        <v>0.06</v>
      </c>
      <c r="O53" s="17">
        <v>0.94</v>
      </c>
      <c r="P53" s="17">
        <v>0.67</v>
      </c>
      <c r="Q53" s="148"/>
      <c r="R53" s="200">
        <v>300</v>
      </c>
      <c r="S53" s="150">
        <v>2.361111111111111E-2</v>
      </c>
      <c r="T53" s="1">
        <v>15</v>
      </c>
      <c r="U53" s="363" t="str">
        <f t="shared" si="18"/>
        <v>Normal</v>
      </c>
      <c r="V53" s="363" t="str">
        <f t="shared" si="19"/>
        <v>Normal</v>
      </c>
      <c r="W53" s="77">
        <f t="shared" si="2"/>
        <v>-5.0930460333006855E-2</v>
      </c>
      <c r="X53" s="398">
        <f t="shared" si="3"/>
        <v>8.3234244946492272E-2</v>
      </c>
    </row>
    <row r="54" spans="1:24">
      <c r="A54" s="396">
        <v>45435</v>
      </c>
      <c r="B54" s="385">
        <f>IF(YEAR(Table6[[#This Row],[Date]]) = 2024, WEEKNUM(Table6[[#This Row],[Date]])-13, WEEKNUM(Table6[[#This Row],[Date]])+40)</f>
        <v>8</v>
      </c>
      <c r="C54" s="1" t="s">
        <v>51</v>
      </c>
      <c r="D54" s="296" t="s">
        <v>48</v>
      </c>
      <c r="E54" s="113">
        <v>0</v>
      </c>
      <c r="F54" s="113">
        <v>0</v>
      </c>
      <c r="G54" s="61">
        <v>0</v>
      </c>
      <c r="H54" s="61">
        <v>0</v>
      </c>
      <c r="I54" s="1">
        <v>0</v>
      </c>
      <c r="J54" s="1">
        <v>0</v>
      </c>
      <c r="K54" s="1">
        <f>K53+Table6[[#This Row],[Calls Off]]</f>
        <v>40872</v>
      </c>
      <c r="L54" s="1">
        <f>L53+Table6[[#This Row],[Calls Ans]]</f>
        <v>35232</v>
      </c>
      <c r="M54" s="57">
        <v>0</v>
      </c>
      <c r="N54" s="57">
        <v>0</v>
      </c>
      <c r="O54" s="57">
        <v>0</v>
      </c>
      <c r="P54" s="57">
        <v>0</v>
      </c>
      <c r="Q54" s="148"/>
      <c r="R54" s="180">
        <v>0</v>
      </c>
      <c r="S54" s="167">
        <v>0</v>
      </c>
      <c r="T54" s="1">
        <v>0</v>
      </c>
      <c r="U54" s="363" t="str">
        <f t="shared" si="18"/>
        <v>Normal</v>
      </c>
      <c r="V54" s="363" t="str">
        <f t="shared" si="19"/>
        <v>Normal</v>
      </c>
      <c r="W54" s="77">
        <f t="shared" si="2"/>
        <v>0</v>
      </c>
      <c r="X54" s="398">
        <f t="shared" si="3"/>
        <v>0</v>
      </c>
    </row>
    <row r="55" spans="1:24">
      <c r="A55" s="396">
        <v>45436</v>
      </c>
      <c r="B55" s="385">
        <f>IF(YEAR(Table6[[#This Row],[Date]]) = 2024, WEEKNUM(Table6[[#This Row],[Date]])-13, WEEKNUM(Table6[[#This Row],[Date]])+40)</f>
        <v>8</v>
      </c>
      <c r="C55" s="1" t="s">
        <v>52</v>
      </c>
      <c r="D55" s="296" t="s">
        <v>48</v>
      </c>
      <c r="E55" s="1">
        <v>1363</v>
      </c>
      <c r="F55" s="1">
        <v>809</v>
      </c>
      <c r="G55" s="61">
        <f t="shared" ref="G55:G56" si="28">(E55-E48)/E48</f>
        <v>0.59976525821596249</v>
      </c>
      <c r="H55" s="61">
        <f t="shared" ref="H55:H56" si="29">(F55-F48)/F48</f>
        <v>-1.820388349514563E-2</v>
      </c>
      <c r="I55" s="1">
        <f>I53+E55</f>
        <v>18823</v>
      </c>
      <c r="J55" s="1">
        <f>J53+F55</f>
        <v>16364</v>
      </c>
      <c r="K55" s="1">
        <f>K54+Table6[[#This Row],[Calls Off]]</f>
        <v>42235</v>
      </c>
      <c r="L55" s="1">
        <f>L54+Table6[[#This Row],[Calls Ans]]</f>
        <v>36041</v>
      </c>
      <c r="M55" s="17">
        <v>7.0000000000000007E-2</v>
      </c>
      <c r="N55" s="17">
        <v>0.41</v>
      </c>
      <c r="O55" s="17">
        <v>0.59</v>
      </c>
      <c r="P55" s="17">
        <v>0.83</v>
      </c>
      <c r="Q55" s="148"/>
      <c r="R55" s="39">
        <v>360</v>
      </c>
      <c r="S55" s="149">
        <v>0.17361111111111113</v>
      </c>
      <c r="T55" s="1">
        <v>13</v>
      </c>
      <c r="U55" s="363" t="str">
        <f t="shared" si="18"/>
        <v>Outlier</v>
      </c>
      <c r="V55" s="363" t="str">
        <f t="shared" si="19"/>
        <v>Normal</v>
      </c>
      <c r="W55" s="77">
        <f t="shared" si="2"/>
        <v>2.7235622912365934E-2</v>
      </c>
      <c r="X55" s="398">
        <f t="shared" si="3"/>
        <v>-1.820388349514563E-2</v>
      </c>
    </row>
    <row r="56" spans="1:24">
      <c r="A56" s="396">
        <v>45437</v>
      </c>
      <c r="B56" s="385">
        <f>IF(YEAR(Table6[[#This Row],[Date]]) = 2024, WEEKNUM(Table6[[#This Row],[Date]])-13, WEEKNUM(Table6[[#This Row],[Date]])+40)</f>
        <v>8</v>
      </c>
      <c r="C56" s="1" t="s">
        <v>53</v>
      </c>
      <c r="D56" s="296" t="s">
        <v>48</v>
      </c>
      <c r="E56" s="1">
        <v>829</v>
      </c>
      <c r="F56" s="1">
        <v>767</v>
      </c>
      <c r="G56" s="61">
        <f t="shared" si="28"/>
        <v>8.2245430809399472E-2</v>
      </c>
      <c r="H56" s="61">
        <f t="shared" si="29"/>
        <v>0.30220713073005095</v>
      </c>
      <c r="I56" s="1">
        <f>I55+E56</f>
        <v>19652</v>
      </c>
      <c r="J56" s="1">
        <f>J55+F56</f>
        <v>17131</v>
      </c>
      <c r="K56" s="1">
        <f>K55+Table6[[#This Row],[Calls Off]]</f>
        <v>43064</v>
      </c>
      <c r="L56" s="1">
        <f>L55+Table6[[#This Row],[Calls Ans]]</f>
        <v>36808</v>
      </c>
      <c r="M56" s="17">
        <v>0.7</v>
      </c>
      <c r="N56" s="17">
        <v>7.0000000000000007E-2</v>
      </c>
      <c r="O56" s="17">
        <v>0.93</v>
      </c>
      <c r="P56" s="17">
        <v>0.68</v>
      </c>
      <c r="Q56" s="148"/>
      <c r="R56" s="39">
        <v>310</v>
      </c>
      <c r="S56" s="149">
        <v>2.8472222222222222E-2</v>
      </c>
      <c r="T56" s="1">
        <v>13</v>
      </c>
      <c r="U56" s="363" t="str">
        <f t="shared" si="18"/>
        <v>Normal</v>
      </c>
      <c r="V56" s="363" t="str">
        <f t="shared" si="19"/>
        <v>Outlier</v>
      </c>
      <c r="W56" s="77">
        <f t="shared" si="2"/>
        <v>8.2245430809399472E-2</v>
      </c>
      <c r="X56" s="398">
        <f t="shared" si="3"/>
        <v>0.14911975585572834</v>
      </c>
    </row>
    <row r="57" spans="1:24">
      <c r="A57" s="396">
        <v>45438</v>
      </c>
      <c r="B57" s="385">
        <f>IF(YEAR(Table6[[#This Row],[Date]]) = 2024, WEEKNUM(Table6[[#This Row],[Date]])-13, WEEKNUM(Table6[[#This Row],[Date]])+40)</f>
        <v>9</v>
      </c>
      <c r="C57" s="1" t="s">
        <v>54</v>
      </c>
      <c r="D57" s="296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f>K56+Table6[[#This Row],[Calls Off]]</f>
        <v>43064</v>
      </c>
      <c r="L57" s="1">
        <f>L56+Table6[[#This Row],[Calls Ans]]</f>
        <v>36808</v>
      </c>
      <c r="M57" s="17">
        <v>0</v>
      </c>
      <c r="N57" s="17">
        <v>0</v>
      </c>
      <c r="O57" s="17">
        <v>0</v>
      </c>
      <c r="P57" s="17">
        <v>0</v>
      </c>
      <c r="Q57" s="148"/>
      <c r="R57" s="39">
        <v>0</v>
      </c>
      <c r="S57" s="149">
        <v>0</v>
      </c>
      <c r="T57" s="1">
        <v>0</v>
      </c>
      <c r="U57" s="363" t="str">
        <f t="shared" si="18"/>
        <v>Normal</v>
      </c>
      <c r="V57" s="363" t="str">
        <f t="shared" si="19"/>
        <v>Normal</v>
      </c>
      <c r="W57" s="77">
        <f t="shared" si="2"/>
        <v>0</v>
      </c>
      <c r="X57" s="398">
        <f t="shared" si="3"/>
        <v>0</v>
      </c>
    </row>
    <row r="58" spans="1:24">
      <c r="A58" s="396">
        <v>45439</v>
      </c>
      <c r="B58" s="385">
        <f>IF(YEAR(Table6[[#This Row],[Date]]) = 2024, WEEKNUM(Table6[[#This Row],[Date]])-13, WEEKNUM(Table6[[#This Row],[Date]])+40)</f>
        <v>9</v>
      </c>
      <c r="C58" s="1" t="s">
        <v>55</v>
      </c>
      <c r="D58" s="296" t="s">
        <v>48</v>
      </c>
      <c r="E58" s="1">
        <v>1287</v>
      </c>
      <c r="F58" s="1">
        <v>862</v>
      </c>
      <c r="G58" s="61">
        <f t="shared" ref="G58:G63" si="30">(E58-E51)/E51</f>
        <v>0.22106261859582543</v>
      </c>
      <c r="H58" s="61">
        <f t="shared" ref="H58:H63" si="31">(F58-F51)/F51</f>
        <v>-0.11042311661506708</v>
      </c>
      <c r="I58" s="1">
        <f>I56+E58</f>
        <v>20939</v>
      </c>
      <c r="J58" s="1">
        <f>J56+F58</f>
        <v>17993</v>
      </c>
      <c r="K58" s="1">
        <f>K57+Table6[[#This Row],[Calls Off]]</f>
        <v>44351</v>
      </c>
      <c r="L58" s="1">
        <f>L57+Table6[[#This Row],[Calls Ans]]</f>
        <v>37670</v>
      </c>
      <c r="M58" s="17">
        <v>0.21</v>
      </c>
      <c r="N58" s="17">
        <v>0.33</v>
      </c>
      <c r="O58" s="17">
        <v>0.67</v>
      </c>
      <c r="P58" s="17">
        <v>0.8</v>
      </c>
      <c r="Q58" s="148"/>
      <c r="R58" s="39">
        <v>301</v>
      </c>
      <c r="S58" s="149">
        <v>0.13263888888888889</v>
      </c>
      <c r="T58" s="1">
        <v>12</v>
      </c>
      <c r="U58" s="363" t="str">
        <f t="shared" si="18"/>
        <v>Outlier</v>
      </c>
      <c r="V58" s="363" t="str">
        <f t="shared" si="19"/>
        <v>Normal</v>
      </c>
      <c r="W58" s="77">
        <f t="shared" si="2"/>
        <v>2.7235622912365934E-2</v>
      </c>
      <c r="X58" s="398">
        <f t="shared" si="3"/>
        <v>-0.11042311661506708</v>
      </c>
    </row>
    <row r="59" spans="1:24">
      <c r="A59" s="396">
        <v>45440</v>
      </c>
      <c r="B59" s="385">
        <f>IF(YEAR(Table6[[#This Row],[Date]]) = 2024, WEEKNUM(Table6[[#This Row],[Date]])-13, WEEKNUM(Table6[[#This Row],[Date]])+40)</f>
        <v>9</v>
      </c>
      <c r="C59" s="1" t="s">
        <v>49</v>
      </c>
      <c r="D59" s="296" t="s">
        <v>48</v>
      </c>
      <c r="E59" s="1">
        <v>1080</v>
      </c>
      <c r="F59" s="1">
        <v>973</v>
      </c>
      <c r="G59" s="61">
        <f t="shared" si="30"/>
        <v>0.12033195020746888</v>
      </c>
      <c r="H59" s="61">
        <f t="shared" si="31"/>
        <v>0.15695600475624258</v>
      </c>
      <c r="I59" s="1">
        <f t="shared" ref="I59:J62" si="32">I58+E59</f>
        <v>22019</v>
      </c>
      <c r="J59" s="1">
        <f t="shared" si="32"/>
        <v>18966</v>
      </c>
      <c r="K59" s="1">
        <f>K58+Table6[[#This Row],[Calls Off]]</f>
        <v>45431</v>
      </c>
      <c r="L59" s="1">
        <f>L58+Table6[[#This Row],[Calls Ans]]</f>
        <v>38643</v>
      </c>
      <c r="M59" s="17">
        <v>0.76</v>
      </c>
      <c r="N59" s="17">
        <v>0.1</v>
      </c>
      <c r="O59" s="17">
        <v>0.9</v>
      </c>
      <c r="P59" s="17">
        <v>0.72</v>
      </c>
      <c r="Q59" s="148"/>
      <c r="R59" s="39">
        <v>300</v>
      </c>
      <c r="S59" s="149">
        <v>2.2222222222222223E-2</v>
      </c>
      <c r="T59" s="1">
        <v>15</v>
      </c>
      <c r="U59" s="363" t="str">
        <f t="shared" si="18"/>
        <v>Normal</v>
      </c>
      <c r="V59" s="363" t="str">
        <f t="shared" si="19"/>
        <v>Normal</v>
      </c>
      <c r="W59" s="77">
        <f t="shared" si="2"/>
        <v>0.12033195020746888</v>
      </c>
      <c r="X59" s="398">
        <f t="shared" si="3"/>
        <v>0.15695600475624258</v>
      </c>
    </row>
    <row r="60" spans="1:24">
      <c r="A60" s="396">
        <v>45441</v>
      </c>
      <c r="B60" s="385">
        <f>IF(YEAR(Table6[[#This Row],[Date]]) = 2024, WEEKNUM(Table6[[#This Row],[Date]])-13, WEEKNUM(Table6[[#This Row],[Date]])+40)</f>
        <v>9</v>
      </c>
      <c r="C60" s="1" t="s">
        <v>50</v>
      </c>
      <c r="D60" s="296" t="s">
        <v>48</v>
      </c>
      <c r="E60" s="1">
        <v>987</v>
      </c>
      <c r="F60" s="1">
        <v>762</v>
      </c>
      <c r="G60" s="61">
        <f t="shared" si="30"/>
        <v>1.8575851393188854E-2</v>
      </c>
      <c r="H60" s="61">
        <f t="shared" si="31"/>
        <v>-0.16355653128430298</v>
      </c>
      <c r="I60" s="1">
        <f t="shared" si="32"/>
        <v>23006</v>
      </c>
      <c r="J60" s="1">
        <f t="shared" si="32"/>
        <v>19728</v>
      </c>
      <c r="K60" s="1">
        <f>K59+Table6[[#This Row],[Calls Off]]</f>
        <v>46418</v>
      </c>
      <c r="L60" s="1">
        <f>L59+Table6[[#This Row],[Calls Ans]]</f>
        <v>39405</v>
      </c>
      <c r="M60" s="17">
        <v>0.38</v>
      </c>
      <c r="N60" s="17">
        <v>0.23</v>
      </c>
      <c r="O60" s="17">
        <v>0.77</v>
      </c>
      <c r="P60" s="17">
        <v>0.8</v>
      </c>
      <c r="Q60" s="148"/>
      <c r="R60" s="200">
        <v>340</v>
      </c>
      <c r="S60" s="150">
        <v>8.4027777777777771E-2</v>
      </c>
      <c r="T60" s="1">
        <v>12</v>
      </c>
      <c r="U60" s="363" t="str">
        <f t="shared" si="18"/>
        <v>Normal</v>
      </c>
      <c r="V60" s="363" t="str">
        <f t="shared" si="19"/>
        <v>Normal</v>
      </c>
      <c r="W60" s="77">
        <f t="shared" si="2"/>
        <v>1.8575851393188854E-2</v>
      </c>
      <c r="X60" s="398">
        <f t="shared" si="3"/>
        <v>-0.16355653128430298</v>
      </c>
    </row>
    <row r="61" spans="1:24">
      <c r="A61" s="396">
        <v>45442</v>
      </c>
      <c r="B61" s="385">
        <f>IF(YEAR(Table6[[#This Row],[Date]]) = 2024, WEEKNUM(Table6[[#This Row],[Date]])-13, WEEKNUM(Table6[[#This Row],[Date]])+40)</f>
        <v>9</v>
      </c>
      <c r="C61" s="1" t="s">
        <v>51</v>
      </c>
      <c r="D61" s="296" t="s">
        <v>48</v>
      </c>
      <c r="E61" s="1">
        <v>934</v>
      </c>
      <c r="F61" s="1">
        <v>843</v>
      </c>
      <c r="G61" s="61">
        <v>0</v>
      </c>
      <c r="H61" s="61">
        <v>0</v>
      </c>
      <c r="I61" s="1">
        <f t="shared" si="32"/>
        <v>23940</v>
      </c>
      <c r="J61" s="1">
        <f t="shared" si="32"/>
        <v>20571</v>
      </c>
      <c r="K61" s="1">
        <f>K60+Table6[[#This Row],[Calls Off]]</f>
        <v>47352</v>
      </c>
      <c r="L61" s="1">
        <f>L60+Table6[[#This Row],[Calls Ans]]</f>
        <v>40248</v>
      </c>
      <c r="M61" s="17">
        <v>0.66</v>
      </c>
      <c r="N61" s="17">
        <v>0.1</v>
      </c>
      <c r="O61" s="17">
        <v>0.9</v>
      </c>
      <c r="P61" s="17">
        <v>0.78</v>
      </c>
      <c r="Q61" s="148"/>
      <c r="R61" s="39">
        <v>300</v>
      </c>
      <c r="S61" s="149">
        <v>3.2638888888888891E-2</v>
      </c>
      <c r="T61" s="1">
        <v>12</v>
      </c>
      <c r="U61" s="363" t="str">
        <f t="shared" si="18"/>
        <v>Normal</v>
      </c>
      <c r="V61" s="363" t="str">
        <f t="shared" si="19"/>
        <v>Normal</v>
      </c>
      <c r="W61" s="77">
        <f t="shared" si="2"/>
        <v>0</v>
      </c>
      <c r="X61" s="398">
        <f t="shared" si="3"/>
        <v>0</v>
      </c>
    </row>
    <row r="62" spans="1:24">
      <c r="A62" s="396">
        <v>45443</v>
      </c>
      <c r="B62" s="385">
        <f>IF(YEAR(Table6[[#This Row],[Date]]) = 2024, WEEKNUM(Table6[[#This Row],[Date]])-13, WEEKNUM(Table6[[#This Row],[Date]])+40)</f>
        <v>9</v>
      </c>
      <c r="C62" s="1" t="s">
        <v>52</v>
      </c>
      <c r="D62" s="296" t="s">
        <v>48</v>
      </c>
      <c r="E62" s="1">
        <v>989</v>
      </c>
      <c r="F62" s="1">
        <v>916</v>
      </c>
      <c r="G62" s="61">
        <f t="shared" si="30"/>
        <v>-0.27439471753484962</v>
      </c>
      <c r="H62" s="61">
        <f t="shared" si="31"/>
        <v>0.13226205191594562</v>
      </c>
      <c r="I62" s="1">
        <f t="shared" si="32"/>
        <v>24929</v>
      </c>
      <c r="J62" s="1">
        <f t="shared" si="32"/>
        <v>21487</v>
      </c>
      <c r="K62" s="1">
        <f>K61+Table6[[#This Row],[Calls Off]]</f>
        <v>48341</v>
      </c>
      <c r="L62" s="1">
        <f>L61+Table6[[#This Row],[Calls Ans]]</f>
        <v>41164</v>
      </c>
      <c r="M62" s="17">
        <v>0.78</v>
      </c>
      <c r="N62" s="17">
        <v>7.0000000000000007E-2</v>
      </c>
      <c r="O62" s="17">
        <v>0.93</v>
      </c>
      <c r="P62" s="17">
        <v>0.67</v>
      </c>
      <c r="Q62" s="71"/>
      <c r="R62" s="39">
        <v>298</v>
      </c>
      <c r="S62" s="149">
        <v>2.361111111111111E-2</v>
      </c>
      <c r="T62" s="1">
        <v>15</v>
      </c>
      <c r="U62" s="363" t="str">
        <f t="shared" si="18"/>
        <v>Outlier</v>
      </c>
      <c r="V62" s="363" t="str">
        <f t="shared" si="19"/>
        <v>Normal</v>
      </c>
      <c r="W62" s="77">
        <f t="shared" si="2"/>
        <v>2.7235622912365934E-2</v>
      </c>
      <c r="X62" s="398">
        <f t="shared" si="3"/>
        <v>0.13226205191594562</v>
      </c>
    </row>
    <row r="63" spans="1:24">
      <c r="A63" s="396">
        <v>45444</v>
      </c>
      <c r="B63" s="385">
        <f>IF(YEAR(Table6[[#This Row],[Date]]) = 2024, WEEKNUM(Table6[[#This Row],[Date]])-13, WEEKNUM(Table6[[#This Row],[Date]])+40)</f>
        <v>9</v>
      </c>
      <c r="C63" s="1" t="s">
        <v>53</v>
      </c>
      <c r="D63" s="296" t="s">
        <v>48</v>
      </c>
      <c r="E63" s="1">
        <v>708</v>
      </c>
      <c r="F63" s="1">
        <v>598</v>
      </c>
      <c r="G63" s="61">
        <f t="shared" si="30"/>
        <v>-0.14595898673100122</v>
      </c>
      <c r="H63" s="61">
        <f t="shared" si="31"/>
        <v>-0.22033898305084745</v>
      </c>
      <c r="I63" s="1">
        <f>Table6[[#This Row],[Calls Off]]</f>
        <v>708</v>
      </c>
      <c r="J63" s="1">
        <f>Table6[[#This Row],[Calls Ans]]</f>
        <v>598</v>
      </c>
      <c r="K63" s="1">
        <f>K62+Table6[[#This Row],[Calls Off]]</f>
        <v>49049</v>
      </c>
      <c r="L63" s="1">
        <f>L62+Table6[[#This Row],[Calls Ans]]</f>
        <v>41762</v>
      </c>
      <c r="M63" s="17">
        <v>0.63</v>
      </c>
      <c r="N63" s="17">
        <v>0.16</v>
      </c>
      <c r="O63" s="17">
        <v>0.84</v>
      </c>
      <c r="P63" s="17">
        <v>0.72</v>
      </c>
      <c r="Q63" s="148"/>
      <c r="R63" s="39">
        <v>294</v>
      </c>
      <c r="S63" s="149">
        <v>5.2777777777777778E-2</v>
      </c>
      <c r="T63" s="1">
        <v>9</v>
      </c>
      <c r="U63" s="363" t="str">
        <f t="shared" si="18"/>
        <v>Normal</v>
      </c>
      <c r="V63" s="363" t="str">
        <f t="shared" si="19"/>
        <v>Outlier</v>
      </c>
      <c r="W63" s="77">
        <f t="shared" si="2"/>
        <v>-0.14595898673100122</v>
      </c>
      <c r="X63" s="398">
        <f t="shared" si="3"/>
        <v>0.14911975585572834</v>
      </c>
    </row>
    <row r="64" spans="1:24">
      <c r="A64" s="396">
        <v>45445</v>
      </c>
      <c r="B64" s="385">
        <f>IF(YEAR(Table6[[#This Row],[Date]]) = 2024, WEEKNUM(Table6[[#This Row],[Date]])-13, WEEKNUM(Table6[[#This Row],[Date]])+40)</f>
        <v>10</v>
      </c>
      <c r="C64" s="1" t="s">
        <v>54</v>
      </c>
      <c r="D64" s="296" t="s">
        <v>48</v>
      </c>
      <c r="E64" s="1">
        <v>0</v>
      </c>
      <c r="F64" s="1">
        <v>0</v>
      </c>
      <c r="G64" s="61">
        <v>0</v>
      </c>
      <c r="H64" s="61">
        <v>0</v>
      </c>
      <c r="I64" s="1">
        <v>0</v>
      </c>
      <c r="J64" s="1">
        <v>0</v>
      </c>
      <c r="K64" s="1">
        <f>K63+Table6[[#This Row],[Calls Off]]</f>
        <v>49049</v>
      </c>
      <c r="L64" s="1">
        <f>L63+Table6[[#This Row],[Calls Ans]]</f>
        <v>41762</v>
      </c>
      <c r="M64" s="17">
        <v>0</v>
      </c>
      <c r="N64" s="17">
        <v>0</v>
      </c>
      <c r="O64" s="17">
        <v>0</v>
      </c>
      <c r="P64" s="17">
        <v>0</v>
      </c>
      <c r="Q64" s="148"/>
      <c r="R64" s="39">
        <v>0</v>
      </c>
      <c r="S64" s="150">
        <v>0</v>
      </c>
      <c r="T64" s="1">
        <v>0</v>
      </c>
      <c r="U64" s="363" t="str">
        <f t="shared" si="18"/>
        <v>Normal</v>
      </c>
      <c r="V64" s="363" t="str">
        <f t="shared" si="19"/>
        <v>Normal</v>
      </c>
      <c r="W64" s="77">
        <f t="shared" si="2"/>
        <v>0</v>
      </c>
      <c r="X64" s="398">
        <f t="shared" si="3"/>
        <v>0</v>
      </c>
    </row>
    <row r="65" spans="1:24">
      <c r="A65" s="396">
        <v>45446</v>
      </c>
      <c r="B65" s="385">
        <f>IF(YEAR(Table6[[#This Row],[Date]]) = 2024, WEEKNUM(Table6[[#This Row],[Date]])-13, WEEKNUM(Table6[[#This Row],[Date]])+40)</f>
        <v>10</v>
      </c>
      <c r="C65" s="1" t="s">
        <v>55</v>
      </c>
      <c r="D65" s="296" t="s">
        <v>48</v>
      </c>
      <c r="E65" s="1">
        <v>1013</v>
      </c>
      <c r="F65" s="1">
        <v>947</v>
      </c>
      <c r="G65" s="61">
        <f t="shared" ref="G65:G70" si="33">(E65-E58)/E58</f>
        <v>-0.2128982128982129</v>
      </c>
      <c r="H65" s="61">
        <f t="shared" ref="H65:H70" si="34">(F65-F58)/F58</f>
        <v>9.860788863109049E-2</v>
      </c>
      <c r="I65" s="1">
        <f>I63+E65</f>
        <v>1721</v>
      </c>
      <c r="J65" s="1">
        <f>J63+F65</f>
        <v>1545</v>
      </c>
      <c r="K65" s="1">
        <f>K64+Table6[[#This Row],[Calls Off]]</f>
        <v>50062</v>
      </c>
      <c r="L65" s="1">
        <f>L64+Table6[[#This Row],[Calls Ans]]</f>
        <v>42709</v>
      </c>
      <c r="M65" s="17">
        <v>0.83</v>
      </c>
      <c r="N65" s="17">
        <v>7.0000000000000007E-2</v>
      </c>
      <c r="O65" s="17">
        <v>0.93</v>
      </c>
      <c r="P65" s="17">
        <v>0.7</v>
      </c>
      <c r="Q65" s="148"/>
      <c r="R65" s="39">
        <v>300</v>
      </c>
      <c r="S65" s="150">
        <v>1.8055555555555557E-2</v>
      </c>
      <c r="T65" s="1">
        <v>15</v>
      </c>
      <c r="U65" s="363" t="str">
        <f t="shared" si="18"/>
        <v>Normal</v>
      </c>
      <c r="V65" s="363" t="str">
        <f t="shared" si="19"/>
        <v>Normal</v>
      </c>
      <c r="W65" s="77">
        <f t="shared" si="2"/>
        <v>-0.2128982128982129</v>
      </c>
      <c r="X65" s="398">
        <f t="shared" si="3"/>
        <v>9.860788863109049E-2</v>
      </c>
    </row>
    <row r="66" spans="1:24">
      <c r="A66" s="396">
        <v>45447</v>
      </c>
      <c r="B66" s="385">
        <f>IF(YEAR(Table6[[#This Row],[Date]]) = 2024, WEEKNUM(Table6[[#This Row],[Date]])-13, WEEKNUM(Table6[[#This Row],[Date]])+40)</f>
        <v>10</v>
      </c>
      <c r="C66" s="1" t="s">
        <v>49</v>
      </c>
      <c r="D66" s="296" t="s">
        <v>48</v>
      </c>
      <c r="E66" s="1">
        <v>912</v>
      </c>
      <c r="F66" s="1">
        <v>782</v>
      </c>
      <c r="G66" s="61">
        <f t="shared" si="33"/>
        <v>-0.15555555555555556</v>
      </c>
      <c r="H66" s="61">
        <f t="shared" si="34"/>
        <v>-0.19630010277492291</v>
      </c>
      <c r="I66" s="1">
        <f t="shared" ref="I66:J70" si="35">I65+E66</f>
        <v>2633</v>
      </c>
      <c r="J66" s="1">
        <f t="shared" si="35"/>
        <v>2327</v>
      </c>
      <c r="K66" s="1">
        <f>K65+Table6[[#This Row],[Calls Off]]</f>
        <v>50974</v>
      </c>
      <c r="L66" s="1">
        <f>L65+Table6[[#This Row],[Calls Ans]]</f>
        <v>43491</v>
      </c>
      <c r="M66" s="17">
        <v>0.67</v>
      </c>
      <c r="N66" s="17">
        <v>0.14000000000000001</v>
      </c>
      <c r="O66" s="17">
        <v>0.86</v>
      </c>
      <c r="P66" s="17">
        <v>0.79</v>
      </c>
      <c r="Q66" s="148"/>
      <c r="R66" s="39">
        <v>300</v>
      </c>
      <c r="S66" s="150">
        <v>4.1666666666666664E-2</v>
      </c>
      <c r="T66" s="1">
        <v>11</v>
      </c>
      <c r="U66" s="363" t="str">
        <f t="shared" ref="U66:U97" si="36">IF(OR(G66&lt;$AA$5,G66&gt;$AB$5), "Outlier", "Normal")</f>
        <v>Normal</v>
      </c>
      <c r="V66" s="363" t="str">
        <f t="shared" ref="V66:V97" si="37">IF(OR(H66&lt;$AA$5,H66&gt;$AB$5), "Outlier", "Normal")</f>
        <v>Normal</v>
      </c>
      <c r="W66" s="77">
        <f t="shared" si="2"/>
        <v>-0.15555555555555556</v>
      </c>
      <c r="X66" s="398">
        <f t="shared" si="3"/>
        <v>-0.19630010277492291</v>
      </c>
    </row>
    <row r="67" spans="1:24">
      <c r="A67" s="396">
        <v>45448</v>
      </c>
      <c r="B67" s="385">
        <f>IF(YEAR(Table6[[#This Row],[Date]]) = 2024, WEEKNUM(Table6[[#This Row],[Date]])-13, WEEKNUM(Table6[[#This Row],[Date]])+40)</f>
        <v>10</v>
      </c>
      <c r="C67" s="1" t="s">
        <v>50</v>
      </c>
      <c r="D67" s="296" t="s">
        <v>48</v>
      </c>
      <c r="E67" s="1">
        <v>908</v>
      </c>
      <c r="F67" s="1">
        <v>832</v>
      </c>
      <c r="G67" s="61">
        <f t="shared" si="33"/>
        <v>-8.0040526849037494E-2</v>
      </c>
      <c r="H67" s="61">
        <f t="shared" si="34"/>
        <v>9.1863517060367453E-2</v>
      </c>
      <c r="I67" s="1">
        <f t="shared" si="35"/>
        <v>3541</v>
      </c>
      <c r="J67" s="1">
        <f t="shared" si="35"/>
        <v>3159</v>
      </c>
      <c r="K67" s="1">
        <f>K66+Table6[[#This Row],[Calls Off]]</f>
        <v>51882</v>
      </c>
      <c r="L67" s="1">
        <f>L66+Table6[[#This Row],[Calls Ans]]</f>
        <v>44323</v>
      </c>
      <c r="M67" s="17">
        <v>0.75</v>
      </c>
      <c r="N67" s="17">
        <v>0.08</v>
      </c>
      <c r="O67" s="17">
        <v>0.92</v>
      </c>
      <c r="P67" s="17">
        <v>0.71</v>
      </c>
      <c r="Q67" s="148"/>
      <c r="R67" s="39">
        <v>300</v>
      </c>
      <c r="S67" s="150">
        <v>2.361111111111111E-2</v>
      </c>
      <c r="T67" s="1">
        <v>13</v>
      </c>
      <c r="U67" s="363" t="str">
        <f t="shared" si="36"/>
        <v>Normal</v>
      </c>
      <c r="V67" s="363" t="str">
        <f t="shared" si="37"/>
        <v>Normal</v>
      </c>
      <c r="W67" s="77">
        <f t="shared" ref="W67:W123" si="38">IF(U67="Normal",$G67,$AA$9)</f>
        <v>-8.0040526849037494E-2</v>
      </c>
      <c r="X67" s="398">
        <f t="shared" ref="X67:X123" si="39">IF(V67="Normal",$H67,$AE$9)</f>
        <v>9.1863517060367453E-2</v>
      </c>
    </row>
    <row r="68" spans="1:24">
      <c r="A68" s="396">
        <v>45449</v>
      </c>
      <c r="B68" s="385">
        <f>IF(YEAR(Table6[[#This Row],[Date]]) = 2024, WEEKNUM(Table6[[#This Row],[Date]])-13, WEEKNUM(Table6[[#This Row],[Date]])+40)</f>
        <v>10</v>
      </c>
      <c r="C68" s="1" t="s">
        <v>51</v>
      </c>
      <c r="D68" s="296" t="s">
        <v>48</v>
      </c>
      <c r="E68" s="1">
        <v>895</v>
      </c>
      <c r="F68" s="1">
        <v>813</v>
      </c>
      <c r="G68" s="61">
        <f t="shared" si="33"/>
        <v>-4.17558886509636E-2</v>
      </c>
      <c r="H68" s="61">
        <f t="shared" si="34"/>
        <v>-3.5587188612099648E-2</v>
      </c>
      <c r="I68" s="1">
        <f t="shared" si="35"/>
        <v>4436</v>
      </c>
      <c r="J68" s="1">
        <f t="shared" si="35"/>
        <v>3972</v>
      </c>
      <c r="K68" s="1">
        <f>K67+Table6[[#This Row],[Calls Off]]</f>
        <v>52777</v>
      </c>
      <c r="L68" s="1">
        <f>L67+Table6[[#This Row],[Calls Ans]]</f>
        <v>45136</v>
      </c>
      <c r="M68" s="17">
        <v>0.72</v>
      </c>
      <c r="N68" s="17">
        <v>0.09</v>
      </c>
      <c r="O68" s="17">
        <v>0.91</v>
      </c>
      <c r="P68" s="17">
        <v>0.69</v>
      </c>
      <c r="Q68" s="148"/>
      <c r="R68" s="39">
        <v>300</v>
      </c>
      <c r="S68" s="150">
        <v>4.1666666666666664E-2</v>
      </c>
      <c r="T68" s="1">
        <v>13</v>
      </c>
      <c r="U68" s="363" t="str">
        <f t="shared" si="36"/>
        <v>Normal</v>
      </c>
      <c r="V68" s="363" t="str">
        <f t="shared" si="37"/>
        <v>Normal</v>
      </c>
      <c r="W68" s="77">
        <f t="shared" si="38"/>
        <v>-4.17558886509636E-2</v>
      </c>
      <c r="X68" s="398">
        <f t="shared" si="39"/>
        <v>-3.5587188612099648E-2</v>
      </c>
    </row>
    <row r="69" spans="1:24">
      <c r="A69" s="396">
        <v>45450</v>
      </c>
      <c r="B69" s="385">
        <f>IF(YEAR(Table6[[#This Row],[Date]]) = 2024, WEEKNUM(Table6[[#This Row],[Date]])-13, WEEKNUM(Table6[[#This Row],[Date]])+40)</f>
        <v>10</v>
      </c>
      <c r="C69" s="1" t="s">
        <v>52</v>
      </c>
      <c r="D69" s="296" t="s">
        <v>48</v>
      </c>
      <c r="E69" s="1">
        <v>922</v>
      </c>
      <c r="F69" s="1">
        <v>884</v>
      </c>
      <c r="G69" s="61">
        <f t="shared" si="33"/>
        <v>-6.7745197168857435E-2</v>
      </c>
      <c r="H69" s="61">
        <f t="shared" si="34"/>
        <v>-3.4934497816593885E-2</v>
      </c>
      <c r="I69" s="1">
        <f t="shared" si="35"/>
        <v>5358</v>
      </c>
      <c r="J69" s="1">
        <f t="shared" si="35"/>
        <v>4856</v>
      </c>
      <c r="K69" s="1">
        <f>K68+Table6[[#This Row],[Calls Off]]</f>
        <v>53699</v>
      </c>
      <c r="L69" s="1">
        <f>L68+Table6[[#This Row],[Calls Ans]]</f>
        <v>46020</v>
      </c>
      <c r="M69" s="17">
        <v>0.92</v>
      </c>
      <c r="N69" s="17">
        <v>0.04</v>
      </c>
      <c r="O69" s="17">
        <v>0.96</v>
      </c>
      <c r="P69" s="17">
        <v>0.55000000000000004</v>
      </c>
      <c r="Q69" s="148"/>
      <c r="R69" s="39">
        <v>270</v>
      </c>
      <c r="S69" s="150">
        <v>1.2499999999999999E-2</v>
      </c>
      <c r="T69" s="1">
        <v>16</v>
      </c>
      <c r="U69" s="363" t="str">
        <f t="shared" si="36"/>
        <v>Normal</v>
      </c>
      <c r="V69" s="363" t="str">
        <f t="shared" si="37"/>
        <v>Normal</v>
      </c>
      <c r="W69" s="77">
        <f t="shared" si="38"/>
        <v>-6.7745197168857435E-2</v>
      </c>
      <c r="X69" s="398">
        <f t="shared" si="39"/>
        <v>-3.4934497816593885E-2</v>
      </c>
    </row>
    <row r="70" spans="1:24">
      <c r="A70" s="396">
        <v>45451</v>
      </c>
      <c r="B70" s="385">
        <f>IF(YEAR(Table6[[#This Row],[Date]]) = 2024, WEEKNUM(Table6[[#This Row],[Date]])-13, WEEKNUM(Table6[[#This Row],[Date]])+40)</f>
        <v>10</v>
      </c>
      <c r="C70" s="1" t="s">
        <v>53</v>
      </c>
      <c r="D70" s="296" t="s">
        <v>48</v>
      </c>
      <c r="E70" s="1">
        <v>796</v>
      </c>
      <c r="F70" s="1">
        <v>708</v>
      </c>
      <c r="G70" s="61">
        <f t="shared" si="33"/>
        <v>0.12429378531073447</v>
      </c>
      <c r="H70" s="61">
        <f t="shared" si="34"/>
        <v>0.18394648829431437</v>
      </c>
      <c r="I70" s="1">
        <f t="shared" si="35"/>
        <v>6154</v>
      </c>
      <c r="J70" s="1">
        <f t="shared" si="35"/>
        <v>5564</v>
      </c>
      <c r="K70" s="1">
        <f>K69+Table6[[#This Row],[Calls Off]]</f>
        <v>54495</v>
      </c>
      <c r="L70" s="1">
        <f>L69+Table6[[#This Row],[Calls Ans]]</f>
        <v>46728</v>
      </c>
      <c r="M70" s="17">
        <v>0.61</v>
      </c>
      <c r="N70" s="17">
        <v>0.11</v>
      </c>
      <c r="O70" s="17">
        <v>0.89</v>
      </c>
      <c r="P70" s="17">
        <v>0.66</v>
      </c>
      <c r="Q70" s="148"/>
      <c r="R70" s="39">
        <v>300</v>
      </c>
      <c r="S70" s="150">
        <v>4.1666666666666664E-2</v>
      </c>
      <c r="T70" s="1">
        <v>12</v>
      </c>
      <c r="U70" s="363" t="str">
        <f t="shared" si="36"/>
        <v>Normal</v>
      </c>
      <c r="V70" s="363" t="str">
        <f t="shared" si="37"/>
        <v>Normal</v>
      </c>
      <c r="W70" s="77">
        <f t="shared" si="38"/>
        <v>0.12429378531073447</v>
      </c>
      <c r="X70" s="398">
        <f t="shared" si="39"/>
        <v>0.18394648829431437</v>
      </c>
    </row>
    <row r="71" spans="1:24">
      <c r="A71" s="396">
        <v>45452</v>
      </c>
      <c r="B71" s="385">
        <f>IF(YEAR(Table6[[#This Row],[Date]]) = 2024, WEEKNUM(Table6[[#This Row],[Date]])-13, WEEKNUM(Table6[[#This Row],[Date]])+40)</f>
        <v>11</v>
      </c>
      <c r="C71" s="1" t="s">
        <v>54</v>
      </c>
      <c r="D71" s="296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f>K70+Table6[[#This Row],[Calls Off]]</f>
        <v>54495</v>
      </c>
      <c r="L71" s="1">
        <f>L70+Table6[[#This Row],[Calls Ans]]</f>
        <v>46728</v>
      </c>
      <c r="M71" s="17">
        <v>0</v>
      </c>
      <c r="N71" s="17">
        <v>0</v>
      </c>
      <c r="O71" s="17">
        <v>0</v>
      </c>
      <c r="P71" s="17">
        <v>0</v>
      </c>
      <c r="Q71" s="148"/>
      <c r="R71" s="39">
        <v>0</v>
      </c>
      <c r="S71" s="150">
        <v>0</v>
      </c>
      <c r="T71" s="1">
        <v>0</v>
      </c>
      <c r="U71" s="363" t="str">
        <f t="shared" si="36"/>
        <v>Normal</v>
      </c>
      <c r="V71" s="363" t="str">
        <f t="shared" si="37"/>
        <v>Normal</v>
      </c>
      <c r="W71" s="77">
        <f t="shared" si="38"/>
        <v>0</v>
      </c>
      <c r="X71" s="398">
        <f t="shared" si="39"/>
        <v>0</v>
      </c>
    </row>
    <row r="72" spans="1:24">
      <c r="A72" s="396">
        <v>45453</v>
      </c>
      <c r="B72" s="385">
        <f>IF(YEAR(Table6[[#This Row],[Date]]) = 2024, WEEKNUM(Table6[[#This Row],[Date]])-13, WEEKNUM(Table6[[#This Row],[Date]])+40)</f>
        <v>11</v>
      </c>
      <c r="C72" s="1" t="s">
        <v>55</v>
      </c>
      <c r="D72" s="296" t="s">
        <v>48</v>
      </c>
      <c r="E72" s="1">
        <v>1051</v>
      </c>
      <c r="F72" s="1">
        <v>902</v>
      </c>
      <c r="G72" s="61">
        <f t="shared" ref="G72:G77" si="40">(E72-E65)/E65</f>
        <v>3.751233958538993E-2</v>
      </c>
      <c r="H72" s="61">
        <f t="shared" ref="H72:H77" si="41">(F72-F65)/F65</f>
        <v>-4.7518479408658922E-2</v>
      </c>
      <c r="I72" s="1">
        <f>I70+E72</f>
        <v>7205</v>
      </c>
      <c r="J72" s="1">
        <f>J70+F72</f>
        <v>6466</v>
      </c>
      <c r="K72" s="1">
        <f>K71+Table6[[#This Row],[Calls Off]]</f>
        <v>55546</v>
      </c>
      <c r="L72" s="1">
        <f>L71+Table6[[#This Row],[Calls Ans]]</f>
        <v>47630</v>
      </c>
      <c r="M72" s="17">
        <v>0.52</v>
      </c>
      <c r="N72" s="17">
        <v>0.14000000000000001</v>
      </c>
      <c r="O72" s="17">
        <v>0.86</v>
      </c>
      <c r="P72" s="17">
        <v>0.77</v>
      </c>
      <c r="Q72" s="148"/>
      <c r="R72" s="39">
        <v>300</v>
      </c>
      <c r="S72" s="150">
        <v>60</v>
      </c>
      <c r="T72" s="1">
        <v>13</v>
      </c>
      <c r="U72" s="363" t="str">
        <f t="shared" si="36"/>
        <v>Normal</v>
      </c>
      <c r="V72" s="363" t="str">
        <f t="shared" si="37"/>
        <v>Normal</v>
      </c>
      <c r="W72" s="77">
        <f t="shared" si="38"/>
        <v>3.751233958538993E-2</v>
      </c>
      <c r="X72" s="398">
        <f t="shared" si="39"/>
        <v>-4.7518479408658922E-2</v>
      </c>
    </row>
    <row r="73" spans="1:24">
      <c r="A73" s="396">
        <v>45454</v>
      </c>
      <c r="B73" s="385">
        <f>IF(YEAR(Table6[[#This Row],[Date]]) = 2024, WEEKNUM(Table6[[#This Row],[Date]])-13, WEEKNUM(Table6[[#This Row],[Date]])+40)</f>
        <v>11</v>
      </c>
      <c r="C73" s="1" t="s">
        <v>49</v>
      </c>
      <c r="D73" s="296" t="s">
        <v>48</v>
      </c>
      <c r="E73" s="1">
        <v>933</v>
      </c>
      <c r="F73" s="1">
        <v>887</v>
      </c>
      <c r="G73" s="61">
        <f t="shared" si="40"/>
        <v>2.3026315789473683E-2</v>
      </c>
      <c r="H73" s="61">
        <f t="shared" si="41"/>
        <v>0.13427109974424553</v>
      </c>
      <c r="I73" s="1">
        <f t="shared" ref="I73:J77" si="42">I72+E73</f>
        <v>8138</v>
      </c>
      <c r="J73" s="1">
        <f t="shared" si="42"/>
        <v>7353</v>
      </c>
      <c r="K73" s="1">
        <f>K72+Table6[[#This Row],[Calls Off]]</f>
        <v>56479</v>
      </c>
      <c r="L73" s="1">
        <f>L72+Table6[[#This Row],[Calls Ans]]</f>
        <v>48517</v>
      </c>
      <c r="M73" s="17">
        <v>0.89</v>
      </c>
      <c r="N73" s="17">
        <v>0.05</v>
      </c>
      <c r="O73" s="17">
        <v>0.95</v>
      </c>
      <c r="P73" s="17">
        <v>0.65</v>
      </c>
      <c r="Q73" s="148"/>
      <c r="R73" s="39">
        <v>279</v>
      </c>
      <c r="S73" s="150">
        <v>1.6666666666666666E-2</v>
      </c>
      <c r="T73" s="1">
        <v>14</v>
      </c>
      <c r="U73" s="363" t="str">
        <f t="shared" si="36"/>
        <v>Normal</v>
      </c>
      <c r="V73" s="363" t="str">
        <f t="shared" si="37"/>
        <v>Normal</v>
      </c>
      <c r="W73" s="77">
        <f t="shared" si="38"/>
        <v>2.3026315789473683E-2</v>
      </c>
      <c r="X73" s="398">
        <f t="shared" si="39"/>
        <v>0.13427109974424553</v>
      </c>
    </row>
    <row r="74" spans="1:24">
      <c r="A74" s="396">
        <v>45455</v>
      </c>
      <c r="B74" s="385">
        <f>IF(YEAR(Table6[[#This Row],[Date]]) = 2024, WEEKNUM(Table6[[#This Row],[Date]])-13, WEEKNUM(Table6[[#This Row],[Date]])+40)</f>
        <v>11</v>
      </c>
      <c r="C74" s="1" t="s">
        <v>50</v>
      </c>
      <c r="D74" s="296" t="s">
        <v>48</v>
      </c>
      <c r="E74" s="1">
        <v>934</v>
      </c>
      <c r="F74" s="1">
        <v>876</v>
      </c>
      <c r="G74" s="61">
        <f t="shared" si="40"/>
        <v>2.8634361233480177E-2</v>
      </c>
      <c r="H74" s="61">
        <f t="shared" si="41"/>
        <v>5.2884615384615384E-2</v>
      </c>
      <c r="I74" s="1">
        <f t="shared" si="42"/>
        <v>9072</v>
      </c>
      <c r="J74" s="1">
        <f t="shared" si="42"/>
        <v>8229</v>
      </c>
      <c r="K74" s="1">
        <f>K73+Table6[[#This Row],[Calls Off]]</f>
        <v>57413</v>
      </c>
      <c r="L74" s="1">
        <f>L73+Table6[[#This Row],[Calls Ans]]</f>
        <v>49393</v>
      </c>
      <c r="M74" s="17">
        <v>0.85</v>
      </c>
      <c r="N74" s="17">
        <v>0.06</v>
      </c>
      <c r="O74" s="17">
        <v>0.94</v>
      </c>
      <c r="P74" s="17">
        <v>0.56999999999999995</v>
      </c>
      <c r="Q74" s="148"/>
      <c r="R74" s="39">
        <v>246</v>
      </c>
      <c r="S74" s="150">
        <v>1.5277777777777777E-2</v>
      </c>
      <c r="T74" s="1">
        <v>14</v>
      </c>
      <c r="U74" s="363" t="str">
        <f t="shared" si="36"/>
        <v>Normal</v>
      </c>
      <c r="V74" s="363" t="str">
        <f t="shared" si="37"/>
        <v>Normal</v>
      </c>
      <c r="W74" s="77">
        <f t="shared" si="38"/>
        <v>2.8634361233480177E-2</v>
      </c>
      <c r="X74" s="398">
        <f t="shared" si="39"/>
        <v>5.2884615384615384E-2</v>
      </c>
    </row>
    <row r="75" spans="1:24">
      <c r="A75" s="396">
        <v>45456</v>
      </c>
      <c r="B75" s="385">
        <f>IF(YEAR(Table6[[#This Row],[Date]]) = 2024, WEEKNUM(Table6[[#This Row],[Date]])-13, WEEKNUM(Table6[[#This Row],[Date]])+40)</f>
        <v>11</v>
      </c>
      <c r="C75" s="1" t="s">
        <v>51</v>
      </c>
      <c r="D75" s="296" t="s">
        <v>48</v>
      </c>
      <c r="E75" s="1">
        <v>887</v>
      </c>
      <c r="F75" s="1">
        <v>701</v>
      </c>
      <c r="G75" s="61">
        <f t="shared" si="40"/>
        <v>-8.9385474860335188E-3</v>
      </c>
      <c r="H75" s="61">
        <f t="shared" si="41"/>
        <v>-0.13776137761377613</v>
      </c>
      <c r="I75" s="1">
        <f t="shared" si="42"/>
        <v>9959</v>
      </c>
      <c r="J75" s="1">
        <f t="shared" si="42"/>
        <v>8930</v>
      </c>
      <c r="K75" s="1">
        <f>K74+Table6[[#This Row],[Calls Off]]</f>
        <v>58300</v>
      </c>
      <c r="L75" s="1">
        <f>L74+Table6[[#This Row],[Calls Ans]]</f>
        <v>50094</v>
      </c>
      <c r="M75" s="17">
        <v>0.45</v>
      </c>
      <c r="N75" s="17">
        <v>0.21</v>
      </c>
      <c r="O75" s="17">
        <v>0.79</v>
      </c>
      <c r="P75" s="17">
        <v>0.85</v>
      </c>
      <c r="Q75" s="148"/>
      <c r="R75" s="39">
        <v>360</v>
      </c>
      <c r="S75" s="150">
        <v>7.6388888888888895E-2</v>
      </c>
      <c r="T75" s="1">
        <v>11</v>
      </c>
      <c r="U75" s="363" t="str">
        <f t="shared" si="36"/>
        <v>Normal</v>
      </c>
      <c r="V75" s="363" t="str">
        <f t="shared" si="37"/>
        <v>Normal</v>
      </c>
      <c r="W75" s="77">
        <f t="shared" si="38"/>
        <v>-8.9385474860335188E-3</v>
      </c>
      <c r="X75" s="398">
        <f t="shared" si="39"/>
        <v>-0.13776137761377613</v>
      </c>
    </row>
    <row r="76" spans="1:24">
      <c r="A76" s="396">
        <v>45457</v>
      </c>
      <c r="B76" s="385">
        <f>IF(YEAR(Table6[[#This Row],[Date]]) = 2024, WEEKNUM(Table6[[#This Row],[Date]])-13, WEEKNUM(Table6[[#This Row],[Date]])+40)</f>
        <v>11</v>
      </c>
      <c r="C76" s="1" t="s">
        <v>52</v>
      </c>
      <c r="D76" s="296" t="s">
        <v>48</v>
      </c>
      <c r="E76" s="1">
        <v>870</v>
      </c>
      <c r="F76" s="1">
        <v>822</v>
      </c>
      <c r="G76" s="61">
        <f t="shared" si="40"/>
        <v>-5.6399132321041212E-2</v>
      </c>
      <c r="H76" s="61">
        <f t="shared" si="41"/>
        <v>-7.0135746606334842E-2</v>
      </c>
      <c r="I76" s="1">
        <f t="shared" si="42"/>
        <v>10829</v>
      </c>
      <c r="J76" s="1">
        <f t="shared" si="42"/>
        <v>9752</v>
      </c>
      <c r="K76" s="1">
        <f>K75+Table6[[#This Row],[Calls Off]]</f>
        <v>59170</v>
      </c>
      <c r="L76" s="1">
        <f>L75+Table6[[#This Row],[Calls Ans]]</f>
        <v>50916</v>
      </c>
      <c r="M76" s="17">
        <v>0.86</v>
      </c>
      <c r="N76" s="17">
        <v>0.06</v>
      </c>
      <c r="O76" s="17">
        <v>0.94</v>
      </c>
      <c r="P76" s="17">
        <v>0.65</v>
      </c>
      <c r="Q76" s="148"/>
      <c r="R76" s="39">
        <v>300</v>
      </c>
      <c r="S76" s="150">
        <v>1.3194444444444444E-2</v>
      </c>
      <c r="T76" s="1">
        <v>14</v>
      </c>
      <c r="U76" s="363" t="str">
        <f t="shared" si="36"/>
        <v>Normal</v>
      </c>
      <c r="V76" s="363" t="str">
        <f t="shared" si="37"/>
        <v>Normal</v>
      </c>
      <c r="W76" s="77">
        <f t="shared" si="38"/>
        <v>-5.6399132321041212E-2</v>
      </c>
      <c r="X76" s="398">
        <f t="shared" si="39"/>
        <v>-7.0135746606334842E-2</v>
      </c>
    </row>
    <row r="77" spans="1:24">
      <c r="A77" s="396">
        <v>45458</v>
      </c>
      <c r="B77" s="385">
        <f>IF(YEAR(Table6[[#This Row],[Date]]) = 2024, WEEKNUM(Table6[[#This Row],[Date]])-13, WEEKNUM(Table6[[#This Row],[Date]])+40)</f>
        <v>11</v>
      </c>
      <c r="C77" s="1" t="s">
        <v>53</v>
      </c>
      <c r="D77" s="296" t="s">
        <v>48</v>
      </c>
      <c r="E77" s="1">
        <v>726</v>
      </c>
      <c r="F77" s="1">
        <v>706</v>
      </c>
      <c r="G77" s="61">
        <f t="shared" si="40"/>
        <v>-8.7939698492462318E-2</v>
      </c>
      <c r="H77" s="61">
        <f t="shared" si="41"/>
        <v>-2.8248587570621469E-3</v>
      </c>
      <c r="I77" s="1">
        <f t="shared" si="42"/>
        <v>11555</v>
      </c>
      <c r="J77" s="1">
        <f t="shared" si="42"/>
        <v>10458</v>
      </c>
      <c r="K77" s="1">
        <f>K76+Table6[[#This Row],[Calls Off]]</f>
        <v>59896</v>
      </c>
      <c r="L77" s="1">
        <f>L76+Table6[[#This Row],[Calls Ans]]</f>
        <v>51622</v>
      </c>
      <c r="M77" s="17">
        <v>0.89</v>
      </c>
      <c r="N77" s="17">
        <v>0.03</v>
      </c>
      <c r="O77" s="17">
        <v>0.97</v>
      </c>
      <c r="P77" s="17">
        <v>0.55000000000000004</v>
      </c>
      <c r="Q77" s="148"/>
      <c r="R77" s="39">
        <v>254</v>
      </c>
      <c r="S77" s="150">
        <v>1.1111111111111112E-2</v>
      </c>
      <c r="T77" s="1">
        <v>12</v>
      </c>
      <c r="U77" s="363" t="str">
        <f t="shared" si="36"/>
        <v>Normal</v>
      </c>
      <c r="V77" s="363" t="str">
        <f t="shared" si="37"/>
        <v>Normal</v>
      </c>
      <c r="W77" s="77">
        <f t="shared" si="38"/>
        <v>-8.7939698492462318E-2</v>
      </c>
      <c r="X77" s="398">
        <f t="shared" si="39"/>
        <v>-2.8248587570621469E-3</v>
      </c>
    </row>
    <row r="78" spans="1:24">
      <c r="A78" s="396">
        <v>45459</v>
      </c>
      <c r="B78" s="385">
        <f>IF(YEAR(Table6[[#This Row],[Date]]) = 2024, WEEKNUM(Table6[[#This Row],[Date]])-13, WEEKNUM(Table6[[#This Row],[Date]])+40)</f>
        <v>12</v>
      </c>
      <c r="C78" s="1" t="s">
        <v>54</v>
      </c>
      <c r="D78" s="296" t="s">
        <v>48</v>
      </c>
      <c r="E78" s="1">
        <v>0</v>
      </c>
      <c r="F78" s="1">
        <v>0</v>
      </c>
      <c r="G78" s="61">
        <v>0</v>
      </c>
      <c r="H78" s="61">
        <v>0</v>
      </c>
      <c r="I78" s="1">
        <v>0</v>
      </c>
      <c r="J78" s="1">
        <v>0</v>
      </c>
      <c r="K78" s="1">
        <f>K77+Table6[[#This Row],[Calls Off]]</f>
        <v>59896</v>
      </c>
      <c r="L78" s="1">
        <f>L77+Table6[[#This Row],[Calls Ans]]</f>
        <v>51622</v>
      </c>
      <c r="M78" s="17">
        <v>0</v>
      </c>
      <c r="N78" s="17">
        <v>0</v>
      </c>
      <c r="O78" s="17">
        <v>0</v>
      </c>
      <c r="P78" s="17">
        <v>0</v>
      </c>
      <c r="Q78" s="148"/>
      <c r="R78" s="39">
        <v>0</v>
      </c>
      <c r="S78" s="150">
        <v>0</v>
      </c>
      <c r="T78" s="1">
        <v>0</v>
      </c>
      <c r="U78" s="363" t="str">
        <f t="shared" si="36"/>
        <v>Normal</v>
      </c>
      <c r="V78" s="363" t="str">
        <f t="shared" si="37"/>
        <v>Normal</v>
      </c>
      <c r="W78" s="77">
        <f t="shared" si="38"/>
        <v>0</v>
      </c>
      <c r="X78" s="398">
        <f t="shared" si="39"/>
        <v>0</v>
      </c>
    </row>
    <row r="79" spans="1:24">
      <c r="A79" s="396">
        <v>45460</v>
      </c>
      <c r="B79" s="385">
        <f>IF(YEAR(Table6[[#This Row],[Date]]) = 2024, WEEKNUM(Table6[[#This Row],[Date]])-13, WEEKNUM(Table6[[#This Row],[Date]])+40)</f>
        <v>12</v>
      </c>
      <c r="C79" s="1" t="s">
        <v>55</v>
      </c>
      <c r="D79" s="296" t="s">
        <v>48</v>
      </c>
      <c r="E79" s="1">
        <v>1102</v>
      </c>
      <c r="F79" s="1">
        <v>1034</v>
      </c>
      <c r="G79" s="61">
        <f t="shared" ref="G79:G84" si="43">(E79-E72)/E72</f>
        <v>4.8525214081826834E-2</v>
      </c>
      <c r="H79" s="61">
        <f t="shared" ref="H79:H84" si="44">(F79-F72)/F72</f>
        <v>0.14634146341463414</v>
      </c>
      <c r="I79" s="1">
        <f>I77+E79</f>
        <v>12657</v>
      </c>
      <c r="J79" s="1">
        <f>J77+F79</f>
        <v>11492</v>
      </c>
      <c r="K79" s="1">
        <f>K78+Table6[[#This Row],[Calls Off]]</f>
        <v>60998</v>
      </c>
      <c r="L79" s="1">
        <f>L78+Table6[[#This Row],[Calls Ans]]</f>
        <v>52656</v>
      </c>
      <c r="M79" s="17">
        <v>0.84</v>
      </c>
      <c r="N79" s="17">
        <v>0.06</v>
      </c>
      <c r="O79" s="17">
        <v>0.94</v>
      </c>
      <c r="P79" s="17">
        <v>0.68</v>
      </c>
      <c r="Q79" s="148"/>
      <c r="R79" s="39">
        <v>284</v>
      </c>
      <c r="S79" s="150">
        <v>1.6666666666666666E-2</v>
      </c>
      <c r="T79" s="1">
        <v>16</v>
      </c>
      <c r="U79" s="363" t="str">
        <f t="shared" si="36"/>
        <v>Normal</v>
      </c>
      <c r="V79" s="363" t="str">
        <f t="shared" si="37"/>
        <v>Normal</v>
      </c>
      <c r="W79" s="77">
        <f t="shared" si="38"/>
        <v>4.8525214081826834E-2</v>
      </c>
      <c r="X79" s="398">
        <f t="shared" si="39"/>
        <v>0.14634146341463414</v>
      </c>
    </row>
    <row r="80" spans="1:24">
      <c r="A80" s="396">
        <v>45461</v>
      </c>
      <c r="B80" s="385">
        <f>IF(YEAR(Table6[[#This Row],[Date]]) = 2024, WEEKNUM(Table6[[#This Row],[Date]])-13, WEEKNUM(Table6[[#This Row],[Date]])+40)</f>
        <v>12</v>
      </c>
      <c r="C80" s="1" t="s">
        <v>49</v>
      </c>
      <c r="D80" s="296" t="s">
        <v>48</v>
      </c>
      <c r="E80" s="1">
        <v>1004</v>
      </c>
      <c r="F80" s="1">
        <v>934</v>
      </c>
      <c r="G80" s="61">
        <f t="shared" si="43"/>
        <v>7.6098606645230438E-2</v>
      </c>
      <c r="H80" s="61">
        <f t="shared" si="44"/>
        <v>5.2987598647125142E-2</v>
      </c>
      <c r="I80" s="1">
        <f t="shared" ref="I80:J84" si="45">I79+E80</f>
        <v>13661</v>
      </c>
      <c r="J80" s="1">
        <f t="shared" si="45"/>
        <v>12426</v>
      </c>
      <c r="K80" s="1">
        <f>K79+Table6[[#This Row],[Calls Off]]</f>
        <v>62002</v>
      </c>
      <c r="L80" s="1">
        <f>L79+Table6[[#This Row],[Calls Ans]]</f>
        <v>53590</v>
      </c>
      <c r="M80" s="17">
        <v>0.81</v>
      </c>
      <c r="N80" s="17">
        <v>7.0000000000000007E-2</v>
      </c>
      <c r="O80" s="17">
        <v>0.93</v>
      </c>
      <c r="P80" s="17">
        <v>0.55000000000000004</v>
      </c>
      <c r="Q80" s="148"/>
      <c r="R80" s="39">
        <v>255</v>
      </c>
      <c r="S80" s="150">
        <v>1.8749999999999999E-2</v>
      </c>
      <c r="T80" s="1">
        <v>16</v>
      </c>
      <c r="U80" s="363" t="str">
        <f t="shared" si="36"/>
        <v>Normal</v>
      </c>
      <c r="V80" s="363" t="str">
        <f t="shared" si="37"/>
        <v>Normal</v>
      </c>
      <c r="W80" s="77">
        <f t="shared" si="38"/>
        <v>7.6098606645230438E-2</v>
      </c>
      <c r="X80" s="398">
        <f t="shared" si="39"/>
        <v>5.2987598647125142E-2</v>
      </c>
    </row>
    <row r="81" spans="1:24">
      <c r="A81" s="396">
        <v>45462</v>
      </c>
      <c r="B81" s="385">
        <f>IF(YEAR(Table6[[#This Row],[Date]]) = 2024, WEEKNUM(Table6[[#This Row],[Date]])-13, WEEKNUM(Table6[[#This Row],[Date]])+40)</f>
        <v>12</v>
      </c>
      <c r="C81" s="1" t="s">
        <v>50</v>
      </c>
      <c r="D81" s="296" t="s">
        <v>48</v>
      </c>
      <c r="E81" s="1">
        <v>948</v>
      </c>
      <c r="F81" s="1">
        <v>889</v>
      </c>
      <c r="G81" s="61">
        <f t="shared" si="43"/>
        <v>1.4989293361884369E-2</v>
      </c>
      <c r="H81" s="61">
        <f t="shared" si="44"/>
        <v>1.4840182648401826E-2</v>
      </c>
      <c r="I81" s="1">
        <f t="shared" si="45"/>
        <v>14609</v>
      </c>
      <c r="J81" s="1">
        <f t="shared" si="45"/>
        <v>13315</v>
      </c>
      <c r="K81" s="1">
        <f>K80+Table6[[#This Row],[Calls Off]]</f>
        <v>62950</v>
      </c>
      <c r="L81" s="1">
        <f>L80+Table6[[#This Row],[Calls Ans]]</f>
        <v>54479</v>
      </c>
      <c r="M81" s="17">
        <v>0.75</v>
      </c>
      <c r="N81" s="17">
        <v>0.06</v>
      </c>
      <c r="O81" s="17">
        <v>0.94</v>
      </c>
      <c r="P81" s="17">
        <v>0.6</v>
      </c>
      <c r="Q81" s="148"/>
      <c r="R81" s="39">
        <v>274</v>
      </c>
      <c r="S81" s="150">
        <v>3.6805555555555557E-2</v>
      </c>
      <c r="T81" s="1">
        <v>15</v>
      </c>
      <c r="U81" s="363" t="str">
        <f t="shared" si="36"/>
        <v>Normal</v>
      </c>
      <c r="V81" s="363" t="str">
        <f t="shared" si="37"/>
        <v>Normal</v>
      </c>
      <c r="W81" s="77">
        <f t="shared" si="38"/>
        <v>1.4989293361884369E-2</v>
      </c>
      <c r="X81" s="398">
        <f t="shared" si="39"/>
        <v>1.4840182648401826E-2</v>
      </c>
    </row>
    <row r="82" spans="1:24">
      <c r="A82" s="396">
        <v>45463</v>
      </c>
      <c r="B82" s="385">
        <f>IF(YEAR(Table6[[#This Row],[Date]]) = 2024, WEEKNUM(Table6[[#This Row],[Date]])-13, WEEKNUM(Table6[[#This Row],[Date]])+40)</f>
        <v>12</v>
      </c>
      <c r="C82" s="1" t="s">
        <v>51</v>
      </c>
      <c r="D82" s="296" t="s">
        <v>48</v>
      </c>
      <c r="E82" s="1">
        <v>836</v>
      </c>
      <c r="F82" s="1">
        <v>759</v>
      </c>
      <c r="G82" s="61">
        <f t="shared" si="43"/>
        <v>-5.749718151071026E-2</v>
      </c>
      <c r="H82" s="61">
        <f t="shared" si="44"/>
        <v>8.2738944365192579E-2</v>
      </c>
      <c r="I82" s="1">
        <f t="shared" si="45"/>
        <v>15445</v>
      </c>
      <c r="J82" s="1">
        <f t="shared" si="45"/>
        <v>14074</v>
      </c>
      <c r="K82" s="1">
        <f>K81+Table6[[#This Row],[Calls Off]]</f>
        <v>63786</v>
      </c>
      <c r="L82" s="1">
        <f>L81+Table6[[#This Row],[Calls Ans]]</f>
        <v>55238</v>
      </c>
      <c r="M82" s="17">
        <v>0.76</v>
      </c>
      <c r="N82" s="17">
        <v>0.09</v>
      </c>
      <c r="O82" s="17">
        <v>0.91</v>
      </c>
      <c r="P82" s="17">
        <v>0.56000000000000005</v>
      </c>
      <c r="Q82" s="148"/>
      <c r="R82" s="39">
        <v>300</v>
      </c>
      <c r="S82" s="150">
        <v>2.2222222222222223E-2</v>
      </c>
      <c r="T82" s="1">
        <v>15</v>
      </c>
      <c r="U82" s="363" t="str">
        <f t="shared" si="36"/>
        <v>Normal</v>
      </c>
      <c r="V82" s="363" t="str">
        <f t="shared" si="37"/>
        <v>Normal</v>
      </c>
      <c r="W82" s="77">
        <f t="shared" si="38"/>
        <v>-5.749718151071026E-2</v>
      </c>
      <c r="X82" s="398">
        <f t="shared" si="39"/>
        <v>8.2738944365192579E-2</v>
      </c>
    </row>
    <row r="83" spans="1:24">
      <c r="A83" s="396">
        <v>45464</v>
      </c>
      <c r="B83" s="385">
        <f>IF(YEAR(Table6[[#This Row],[Date]]) = 2024, WEEKNUM(Table6[[#This Row],[Date]])-13, WEEKNUM(Table6[[#This Row],[Date]])+40)</f>
        <v>12</v>
      </c>
      <c r="C83" s="1" t="s">
        <v>52</v>
      </c>
      <c r="D83" s="296" t="s">
        <v>48</v>
      </c>
      <c r="E83" s="1">
        <v>758</v>
      </c>
      <c r="F83" s="1">
        <v>730</v>
      </c>
      <c r="G83" s="61">
        <f t="shared" si="43"/>
        <v>-0.12873563218390804</v>
      </c>
      <c r="H83" s="61">
        <f t="shared" si="44"/>
        <v>-0.11192214111922141</v>
      </c>
      <c r="I83" s="1">
        <f t="shared" si="45"/>
        <v>16203</v>
      </c>
      <c r="J83" s="1">
        <f t="shared" si="45"/>
        <v>14804</v>
      </c>
      <c r="K83" s="1">
        <f>K82+Table6[[#This Row],[Calls Off]]</f>
        <v>64544</v>
      </c>
      <c r="L83" s="1">
        <f>L82+Table6[[#This Row],[Calls Ans]]</f>
        <v>55968</v>
      </c>
      <c r="M83" s="17">
        <v>0.93</v>
      </c>
      <c r="N83" s="17">
        <v>0.04</v>
      </c>
      <c r="O83" s="17">
        <v>0.96</v>
      </c>
      <c r="P83" s="17">
        <v>0.59</v>
      </c>
      <c r="Q83" s="148"/>
      <c r="R83" s="39">
        <v>303</v>
      </c>
      <c r="S83" s="150">
        <v>9.7222222222222224E-3</v>
      </c>
      <c r="T83" s="1">
        <v>15</v>
      </c>
      <c r="U83" s="363" t="str">
        <f t="shared" si="36"/>
        <v>Normal</v>
      </c>
      <c r="V83" s="363" t="str">
        <f t="shared" si="37"/>
        <v>Normal</v>
      </c>
      <c r="W83" s="77">
        <f t="shared" si="38"/>
        <v>-0.12873563218390804</v>
      </c>
      <c r="X83" s="398">
        <f t="shared" si="39"/>
        <v>-0.11192214111922141</v>
      </c>
    </row>
    <row r="84" spans="1:24">
      <c r="A84" s="396">
        <v>45465</v>
      </c>
      <c r="B84" s="385">
        <f>IF(YEAR(Table6[[#This Row],[Date]]) = 2024, WEEKNUM(Table6[[#This Row],[Date]])-13, WEEKNUM(Table6[[#This Row],[Date]])+40)</f>
        <v>12</v>
      </c>
      <c r="C84" s="1" t="s">
        <v>53</v>
      </c>
      <c r="D84" s="296" t="s">
        <v>48</v>
      </c>
      <c r="E84" s="1">
        <v>706</v>
      </c>
      <c r="F84" s="1">
        <v>642</v>
      </c>
      <c r="G84" s="61">
        <f t="shared" si="43"/>
        <v>-2.7548209366391185E-2</v>
      </c>
      <c r="H84" s="61">
        <f t="shared" si="44"/>
        <v>-9.0651558073654395E-2</v>
      </c>
      <c r="I84" s="1">
        <f t="shared" si="45"/>
        <v>16909</v>
      </c>
      <c r="J84" s="1">
        <f t="shared" si="45"/>
        <v>15446</v>
      </c>
      <c r="K84" s="1">
        <f>K83+Table6[[#This Row],[Calls Off]]</f>
        <v>65250</v>
      </c>
      <c r="L84" s="1">
        <f>L83+Table6[[#This Row],[Calls Ans]]</f>
        <v>56610</v>
      </c>
      <c r="M84" s="17">
        <v>0.74</v>
      </c>
      <c r="N84" s="17">
        <v>0.09</v>
      </c>
      <c r="O84" s="17">
        <v>0.91</v>
      </c>
      <c r="P84" s="17">
        <v>0.66</v>
      </c>
      <c r="Q84" s="148"/>
      <c r="R84" s="39">
        <v>248</v>
      </c>
      <c r="S84" s="150">
        <v>2.6388888888888889E-2</v>
      </c>
      <c r="T84" s="1">
        <v>9</v>
      </c>
      <c r="U84" s="363" t="str">
        <f t="shared" si="36"/>
        <v>Normal</v>
      </c>
      <c r="V84" s="363" t="str">
        <f t="shared" si="37"/>
        <v>Normal</v>
      </c>
      <c r="W84" s="77">
        <f t="shared" si="38"/>
        <v>-2.7548209366391185E-2</v>
      </c>
      <c r="X84" s="398">
        <f t="shared" si="39"/>
        <v>-9.0651558073654395E-2</v>
      </c>
    </row>
    <row r="85" spans="1:24">
      <c r="A85" s="396">
        <v>45466</v>
      </c>
      <c r="B85" s="385">
        <f>IF(YEAR(Table6[[#This Row],[Date]]) = 2024, WEEKNUM(Table6[[#This Row],[Date]])-13, WEEKNUM(Table6[[#This Row],[Date]])+40)</f>
        <v>13</v>
      </c>
      <c r="C85" s="1" t="s">
        <v>54</v>
      </c>
      <c r="D85" s="296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f>K84+Table6[[#This Row],[Calls Off]]</f>
        <v>65250</v>
      </c>
      <c r="L85" s="1">
        <f>L84+Table6[[#This Row],[Calls Ans]]</f>
        <v>56610</v>
      </c>
      <c r="M85" s="17">
        <v>0</v>
      </c>
      <c r="N85" s="17">
        <v>0</v>
      </c>
      <c r="O85" s="17">
        <v>0</v>
      </c>
      <c r="P85" s="17">
        <v>0</v>
      </c>
      <c r="Q85" s="148"/>
      <c r="R85" s="39">
        <v>0</v>
      </c>
      <c r="S85" s="150">
        <v>0</v>
      </c>
      <c r="T85" s="1">
        <v>0</v>
      </c>
      <c r="U85" s="363" t="str">
        <f t="shared" si="36"/>
        <v>Normal</v>
      </c>
      <c r="V85" s="363" t="str">
        <f t="shared" si="37"/>
        <v>Normal</v>
      </c>
      <c r="W85" s="77">
        <f t="shared" si="38"/>
        <v>0</v>
      </c>
      <c r="X85" s="398">
        <f t="shared" si="39"/>
        <v>0</v>
      </c>
    </row>
    <row r="86" spans="1:24">
      <c r="A86" s="396">
        <v>45467</v>
      </c>
      <c r="B86" s="385">
        <f>IF(YEAR(Table6[[#This Row],[Date]]) = 2024, WEEKNUM(Table6[[#This Row],[Date]])-13, WEEKNUM(Table6[[#This Row],[Date]])+40)</f>
        <v>13</v>
      </c>
      <c r="C86" s="1" t="s">
        <v>55</v>
      </c>
      <c r="D86" s="296" t="s">
        <v>48</v>
      </c>
      <c r="E86" s="1">
        <v>1033</v>
      </c>
      <c r="F86" s="1">
        <v>964</v>
      </c>
      <c r="G86" s="61">
        <f t="shared" ref="G86:G91" si="46">(E86-E79)/E79</f>
        <v>-6.2613430127041736E-2</v>
      </c>
      <c r="H86" s="61">
        <f t="shared" ref="H86:H91" si="47">(F86-F79)/F79</f>
        <v>-6.7698259187620888E-2</v>
      </c>
      <c r="I86" s="1">
        <f>I84+E86</f>
        <v>17942</v>
      </c>
      <c r="J86" s="1">
        <f>J84+F86</f>
        <v>16410</v>
      </c>
      <c r="K86" s="1">
        <f>K85+Table6[[#This Row],[Calls Off]]</f>
        <v>66283</v>
      </c>
      <c r="L86" s="1">
        <f>L85+Table6[[#This Row],[Calls Ans]]</f>
        <v>57574</v>
      </c>
      <c r="M86" s="17">
        <v>0.85</v>
      </c>
      <c r="N86" s="17">
        <v>7.0000000000000007E-2</v>
      </c>
      <c r="O86" s="17">
        <v>0.93</v>
      </c>
      <c r="P86" s="17">
        <v>0.77</v>
      </c>
      <c r="Q86" s="148"/>
      <c r="R86" s="39">
        <v>300</v>
      </c>
      <c r="S86" s="150">
        <v>1.5277777777777777E-2</v>
      </c>
      <c r="T86" s="1">
        <v>14</v>
      </c>
      <c r="U86" s="363" t="str">
        <f t="shared" si="36"/>
        <v>Normal</v>
      </c>
      <c r="V86" s="363" t="str">
        <f t="shared" si="37"/>
        <v>Normal</v>
      </c>
      <c r="W86" s="77">
        <f t="shared" si="38"/>
        <v>-6.2613430127041736E-2</v>
      </c>
      <c r="X86" s="398">
        <f t="shared" si="39"/>
        <v>-6.7698259187620888E-2</v>
      </c>
    </row>
    <row r="87" spans="1:24">
      <c r="A87" s="396">
        <v>45468</v>
      </c>
      <c r="B87" s="385">
        <f>IF(YEAR(Table6[[#This Row],[Date]]) = 2024, WEEKNUM(Table6[[#This Row],[Date]])-13, WEEKNUM(Table6[[#This Row],[Date]])+40)</f>
        <v>13</v>
      </c>
      <c r="C87" s="1" t="s">
        <v>49</v>
      </c>
      <c r="D87" s="296" t="s">
        <v>48</v>
      </c>
      <c r="E87" s="1">
        <v>928</v>
      </c>
      <c r="F87" s="1">
        <v>877</v>
      </c>
      <c r="G87" s="61">
        <f t="shared" si="46"/>
        <v>-7.5697211155378488E-2</v>
      </c>
      <c r="H87" s="61">
        <f t="shared" si="47"/>
        <v>-6.1027837259100645E-2</v>
      </c>
      <c r="I87" s="1">
        <f t="shared" ref="I87:J91" si="48">I86+E87</f>
        <v>18870</v>
      </c>
      <c r="J87" s="1">
        <f t="shared" si="48"/>
        <v>17287</v>
      </c>
      <c r="K87" s="1">
        <f>K86+Table6[[#This Row],[Calls Off]]</f>
        <v>67211</v>
      </c>
      <c r="L87" s="1">
        <f>L86+Table6[[#This Row],[Calls Ans]]</f>
        <v>58451</v>
      </c>
      <c r="M87" s="17">
        <v>0.84</v>
      </c>
      <c r="N87" s="17">
        <v>0.05</v>
      </c>
      <c r="O87" s="17">
        <v>0.95</v>
      </c>
      <c r="P87" s="17">
        <v>0.56999999999999995</v>
      </c>
      <c r="Q87" s="148"/>
      <c r="R87" s="39">
        <v>283</v>
      </c>
      <c r="S87" s="150">
        <v>1.6666666666666666E-2</v>
      </c>
      <c r="T87" s="1">
        <v>16</v>
      </c>
      <c r="U87" s="363" t="str">
        <f t="shared" si="36"/>
        <v>Normal</v>
      </c>
      <c r="V87" s="363" t="str">
        <f t="shared" si="37"/>
        <v>Normal</v>
      </c>
      <c r="W87" s="77">
        <f t="shared" si="38"/>
        <v>-7.5697211155378488E-2</v>
      </c>
      <c r="X87" s="398">
        <f t="shared" si="39"/>
        <v>-6.1027837259100645E-2</v>
      </c>
    </row>
    <row r="88" spans="1:24">
      <c r="A88" s="396">
        <v>45469</v>
      </c>
      <c r="B88" s="385">
        <f>IF(YEAR(Table6[[#This Row],[Date]]) = 2024, WEEKNUM(Table6[[#This Row],[Date]])-13, WEEKNUM(Table6[[#This Row],[Date]])+40)</f>
        <v>13</v>
      </c>
      <c r="C88" s="1" t="s">
        <v>50</v>
      </c>
      <c r="D88" s="296" t="s">
        <v>48</v>
      </c>
      <c r="E88" s="1">
        <v>981</v>
      </c>
      <c r="F88" s="1">
        <v>852</v>
      </c>
      <c r="G88" s="61">
        <f t="shared" si="46"/>
        <v>3.4810126582278479E-2</v>
      </c>
      <c r="H88" s="61">
        <f t="shared" si="47"/>
        <v>-4.1619797525309338E-2</v>
      </c>
      <c r="I88" s="1">
        <f t="shared" si="48"/>
        <v>19851</v>
      </c>
      <c r="J88" s="1">
        <f t="shared" si="48"/>
        <v>18139</v>
      </c>
      <c r="K88" s="1">
        <f>K87+Table6[[#This Row],[Calls Off]]</f>
        <v>68192</v>
      </c>
      <c r="L88" s="1">
        <f>L87+Table6[[#This Row],[Calls Ans]]</f>
        <v>59303</v>
      </c>
      <c r="M88" s="17">
        <v>0.61</v>
      </c>
      <c r="N88" s="17">
        <v>0.13</v>
      </c>
      <c r="O88" s="17">
        <v>0.87</v>
      </c>
      <c r="P88" s="17">
        <v>0.69</v>
      </c>
      <c r="Q88" s="148"/>
      <c r="R88" s="39">
        <v>285</v>
      </c>
      <c r="S88" s="150">
        <v>4.1666666666666664E-2</v>
      </c>
      <c r="T88" s="1">
        <v>13</v>
      </c>
      <c r="U88" s="363" t="str">
        <f t="shared" si="36"/>
        <v>Normal</v>
      </c>
      <c r="V88" s="363" t="str">
        <f t="shared" si="37"/>
        <v>Normal</v>
      </c>
      <c r="W88" s="77">
        <f t="shared" si="38"/>
        <v>3.4810126582278479E-2</v>
      </c>
      <c r="X88" s="398">
        <f t="shared" si="39"/>
        <v>-4.1619797525309338E-2</v>
      </c>
    </row>
    <row r="89" spans="1:24">
      <c r="A89" s="396">
        <v>45470</v>
      </c>
      <c r="B89" s="385">
        <f>IF(YEAR(Table6[[#This Row],[Date]]) = 2024, WEEKNUM(Table6[[#This Row],[Date]])-13, WEEKNUM(Table6[[#This Row],[Date]])+40)</f>
        <v>13</v>
      </c>
      <c r="C89" s="1" t="s">
        <v>51</v>
      </c>
      <c r="D89" s="296" t="s">
        <v>48</v>
      </c>
      <c r="E89" s="1">
        <v>969</v>
      </c>
      <c r="F89" s="1">
        <v>857</v>
      </c>
      <c r="G89" s="61">
        <f t="shared" si="46"/>
        <v>0.15909090909090909</v>
      </c>
      <c r="H89" s="61">
        <f t="shared" si="47"/>
        <v>0.12911725955204217</v>
      </c>
      <c r="I89" s="1">
        <f t="shared" si="48"/>
        <v>20820</v>
      </c>
      <c r="J89" s="1">
        <f t="shared" si="48"/>
        <v>18996</v>
      </c>
      <c r="K89" s="1">
        <f>K88+Table6[[#This Row],[Calls Off]]</f>
        <v>69161</v>
      </c>
      <c r="L89" s="1">
        <f>L88+Table6[[#This Row],[Calls Ans]]</f>
        <v>60160</v>
      </c>
      <c r="M89" s="17">
        <v>0.6</v>
      </c>
      <c r="N89" s="17">
        <v>0.12</v>
      </c>
      <c r="O89" s="17">
        <v>0.88</v>
      </c>
      <c r="P89" s="17">
        <v>0.72</v>
      </c>
      <c r="Q89" s="148"/>
      <c r="R89" s="39">
        <v>295</v>
      </c>
      <c r="S89" s="150">
        <v>4.1666666666666664E-2</v>
      </c>
      <c r="T89" s="1">
        <v>13</v>
      </c>
      <c r="U89" s="363" t="str">
        <f t="shared" si="36"/>
        <v>Normal</v>
      </c>
      <c r="V89" s="363" t="str">
        <f t="shared" si="37"/>
        <v>Normal</v>
      </c>
      <c r="W89" s="77">
        <f t="shared" si="38"/>
        <v>0.15909090909090909</v>
      </c>
      <c r="X89" s="398">
        <f t="shared" si="39"/>
        <v>0.12911725955204217</v>
      </c>
    </row>
    <row r="90" spans="1:24">
      <c r="A90" s="396">
        <v>45471</v>
      </c>
      <c r="B90" s="385">
        <f>IF(YEAR(Table6[[#This Row],[Date]]) = 2024, WEEKNUM(Table6[[#This Row],[Date]])-13, WEEKNUM(Table6[[#This Row],[Date]])+40)</f>
        <v>13</v>
      </c>
      <c r="C90" s="1" t="s">
        <v>52</v>
      </c>
      <c r="D90" s="296" t="s">
        <v>48</v>
      </c>
      <c r="E90" s="1">
        <v>1035</v>
      </c>
      <c r="F90" s="1">
        <v>932</v>
      </c>
      <c r="G90" s="61">
        <f t="shared" si="46"/>
        <v>0.36543535620052769</v>
      </c>
      <c r="H90" s="61">
        <f t="shared" si="47"/>
        <v>0.27671232876712326</v>
      </c>
      <c r="I90" s="1">
        <f t="shared" si="48"/>
        <v>21855</v>
      </c>
      <c r="J90" s="1">
        <f t="shared" si="48"/>
        <v>19928</v>
      </c>
      <c r="K90" s="1">
        <f>K89+Table6[[#This Row],[Calls Off]]</f>
        <v>70196</v>
      </c>
      <c r="L90" s="1">
        <f>L89+Table6[[#This Row],[Calls Ans]]</f>
        <v>61092</v>
      </c>
      <c r="M90" s="17">
        <v>0.71</v>
      </c>
      <c r="N90" s="17">
        <v>0.1</v>
      </c>
      <c r="O90" s="17">
        <v>0.9</v>
      </c>
      <c r="P90" s="17">
        <v>0.64</v>
      </c>
      <c r="Q90" s="148"/>
      <c r="R90" s="39">
        <v>279</v>
      </c>
      <c r="S90" s="150">
        <v>3.125E-2</v>
      </c>
      <c r="T90" s="1">
        <v>15</v>
      </c>
      <c r="U90" s="363" t="str">
        <f t="shared" si="36"/>
        <v>Outlier</v>
      </c>
      <c r="V90" s="363" t="str">
        <f t="shared" si="37"/>
        <v>Outlier</v>
      </c>
      <c r="W90" s="77">
        <f t="shared" si="38"/>
        <v>2.7235622912365934E-2</v>
      </c>
      <c r="X90" s="398">
        <f t="shared" si="39"/>
        <v>0.14911975585572834</v>
      </c>
    </row>
    <row r="91" spans="1:24">
      <c r="A91" s="396">
        <v>45472</v>
      </c>
      <c r="B91" s="385">
        <f>IF(YEAR(Table6[[#This Row],[Date]]) = 2024, WEEKNUM(Table6[[#This Row],[Date]])-13, WEEKNUM(Table6[[#This Row],[Date]])+40)</f>
        <v>13</v>
      </c>
      <c r="C91" s="1" t="s">
        <v>53</v>
      </c>
      <c r="D91" s="296" t="s">
        <v>48</v>
      </c>
      <c r="E91" s="1">
        <v>787</v>
      </c>
      <c r="F91" s="1">
        <v>598</v>
      </c>
      <c r="G91" s="61">
        <f t="shared" si="46"/>
        <v>0.11473087818696884</v>
      </c>
      <c r="H91" s="61">
        <f t="shared" si="47"/>
        <v>-6.8535825545171333E-2</v>
      </c>
      <c r="I91" s="1">
        <f t="shared" si="48"/>
        <v>22642</v>
      </c>
      <c r="J91" s="1">
        <f t="shared" si="48"/>
        <v>20526</v>
      </c>
      <c r="K91" s="1">
        <f>K90+Table6[[#This Row],[Calls Off]]</f>
        <v>70983</v>
      </c>
      <c r="L91" s="1">
        <f>L90+Table6[[#This Row],[Calls Ans]]</f>
        <v>61690</v>
      </c>
      <c r="M91" s="17">
        <v>0.37</v>
      </c>
      <c r="N91" s="17">
        <v>0.24</v>
      </c>
      <c r="O91" s="17">
        <v>0.76</v>
      </c>
      <c r="P91" s="17">
        <v>0.95</v>
      </c>
      <c r="Q91" s="148"/>
      <c r="R91" s="39">
        <v>300</v>
      </c>
      <c r="S91" s="150">
        <v>8.3333333333333329E-2</v>
      </c>
      <c r="T91" s="1">
        <v>7</v>
      </c>
      <c r="U91" s="363" t="str">
        <f t="shared" si="36"/>
        <v>Normal</v>
      </c>
      <c r="V91" s="363" t="str">
        <f t="shared" si="37"/>
        <v>Normal</v>
      </c>
      <c r="W91" s="77">
        <f t="shared" si="38"/>
        <v>0.11473087818696884</v>
      </c>
      <c r="X91" s="398">
        <f t="shared" si="39"/>
        <v>-6.8535825545171333E-2</v>
      </c>
    </row>
    <row r="92" spans="1:24">
      <c r="A92" s="396">
        <v>45473</v>
      </c>
      <c r="B92" s="385">
        <f>IF(YEAR(Table6[[#This Row],[Date]]) = 2024, WEEKNUM(Table6[[#This Row],[Date]])-13, WEEKNUM(Table6[[#This Row],[Date]])+40)</f>
        <v>14</v>
      </c>
      <c r="C92" s="62" t="s">
        <v>54</v>
      </c>
      <c r="D92" s="296" t="s">
        <v>48</v>
      </c>
      <c r="E92" s="62">
        <v>0</v>
      </c>
      <c r="F92" s="62">
        <v>0</v>
      </c>
      <c r="G92" s="75">
        <v>0</v>
      </c>
      <c r="H92" s="75">
        <v>0</v>
      </c>
      <c r="I92" s="62">
        <v>0</v>
      </c>
      <c r="J92" s="62">
        <v>0</v>
      </c>
      <c r="K92" s="62">
        <f>K91+Table6[[#This Row],[Calls Off]]</f>
        <v>70983</v>
      </c>
      <c r="L92" s="62">
        <f>L91+Table6[[#This Row],[Calls Ans]]</f>
        <v>61690</v>
      </c>
      <c r="M92" s="2">
        <v>0</v>
      </c>
      <c r="N92" s="2">
        <v>0</v>
      </c>
      <c r="O92" s="2">
        <v>0</v>
      </c>
      <c r="P92" s="2">
        <v>0</v>
      </c>
      <c r="Q92" s="148"/>
      <c r="R92" s="39">
        <v>0</v>
      </c>
      <c r="S92" s="152">
        <v>0</v>
      </c>
      <c r="T92" s="1">
        <v>0</v>
      </c>
      <c r="U92" s="363" t="str">
        <f t="shared" si="36"/>
        <v>Normal</v>
      </c>
      <c r="V92" s="363" t="str">
        <f t="shared" si="37"/>
        <v>Normal</v>
      </c>
      <c r="W92" s="77">
        <f t="shared" si="38"/>
        <v>0</v>
      </c>
      <c r="X92" s="398">
        <f t="shared" si="39"/>
        <v>0</v>
      </c>
    </row>
    <row r="93" spans="1:24">
      <c r="A93" s="396">
        <v>45474</v>
      </c>
      <c r="B93" s="385">
        <f>IF(YEAR(Table6[[#This Row],[Date]]) = 2024, WEEKNUM(Table6[[#This Row],[Date]])-13, WEEKNUM(Table6[[#This Row],[Date]])+40)</f>
        <v>14</v>
      </c>
      <c r="C93" s="1" t="s">
        <v>55</v>
      </c>
      <c r="D93" s="296" t="s">
        <v>48</v>
      </c>
      <c r="E93" s="1">
        <v>981</v>
      </c>
      <c r="F93" s="1">
        <v>922</v>
      </c>
      <c r="G93" s="61">
        <f t="shared" ref="G93:G94" si="49">(E93-E86)/E86</f>
        <v>-5.033881897386254E-2</v>
      </c>
      <c r="H93" s="61">
        <f t="shared" ref="H93:H94" si="50">(F93-F86)/F86</f>
        <v>-4.3568464730290454E-2</v>
      </c>
      <c r="I93" s="1">
        <f>Table6[[#This Row],[Calls Off]]</f>
        <v>981</v>
      </c>
      <c r="J93" s="1">
        <f>Table6[[#This Row],[Calls Ans]]</f>
        <v>922</v>
      </c>
      <c r="K93" s="1">
        <f>K92+Table6[[#This Row],[Calls Off]]</f>
        <v>71964</v>
      </c>
      <c r="L93" s="1">
        <f>L92+Table6[[#This Row],[Calls Ans]]</f>
        <v>62612</v>
      </c>
      <c r="M93" s="17">
        <v>0.85</v>
      </c>
      <c r="N93" s="17">
        <v>0.06</v>
      </c>
      <c r="O93" s="17">
        <v>0.94</v>
      </c>
      <c r="P93" s="17">
        <v>0.73</v>
      </c>
      <c r="Q93" s="148"/>
      <c r="R93" s="39">
        <v>300</v>
      </c>
      <c r="S93" s="150">
        <v>1.5972222222222224E-2</v>
      </c>
      <c r="T93" s="1">
        <v>14</v>
      </c>
      <c r="U93" s="363" t="str">
        <f t="shared" si="36"/>
        <v>Normal</v>
      </c>
      <c r="V93" s="363" t="str">
        <f t="shared" si="37"/>
        <v>Normal</v>
      </c>
      <c r="W93" s="77">
        <f t="shared" si="38"/>
        <v>-5.033881897386254E-2</v>
      </c>
      <c r="X93" s="398">
        <f t="shared" si="39"/>
        <v>-4.3568464730290454E-2</v>
      </c>
    </row>
    <row r="94" spans="1:24">
      <c r="A94" s="396">
        <v>45475</v>
      </c>
      <c r="B94" s="385">
        <f>IF(YEAR(Table6[[#This Row],[Date]]) = 2024, WEEKNUM(Table6[[#This Row],[Date]])-13, WEEKNUM(Table6[[#This Row],[Date]])+40)</f>
        <v>14</v>
      </c>
      <c r="C94" s="1" t="s">
        <v>49</v>
      </c>
      <c r="D94" s="296" t="s">
        <v>48</v>
      </c>
      <c r="E94" s="1">
        <v>389</v>
      </c>
      <c r="F94" s="1">
        <v>143</v>
      </c>
      <c r="G94" s="61">
        <f t="shared" si="49"/>
        <v>-0.58081896551724133</v>
      </c>
      <c r="H94" s="61">
        <f t="shared" si="50"/>
        <v>-0.83694412770809579</v>
      </c>
      <c r="I94" s="1">
        <f>I93+E94</f>
        <v>1370</v>
      </c>
      <c r="J94" s="1">
        <f>J93+F94</f>
        <v>1065</v>
      </c>
      <c r="K94" s="1">
        <f>K93+Table6[[#This Row],[Calls Off]]</f>
        <v>72353</v>
      </c>
      <c r="L94" s="1">
        <f>L93+Table6[[#This Row],[Calls Ans]]</f>
        <v>62755</v>
      </c>
      <c r="M94" s="17">
        <v>0.27</v>
      </c>
      <c r="N94" s="17">
        <v>0.63</v>
      </c>
      <c r="O94" s="17">
        <v>0.37</v>
      </c>
      <c r="P94" s="17">
        <v>0.4</v>
      </c>
      <c r="Q94" s="148"/>
      <c r="R94" s="39">
        <v>300</v>
      </c>
      <c r="S94" s="150">
        <v>0.25</v>
      </c>
      <c r="T94" s="1">
        <v>4</v>
      </c>
      <c r="U94" s="363" t="str">
        <f t="shared" si="36"/>
        <v>Outlier</v>
      </c>
      <c r="V94" s="363" t="str">
        <f t="shared" si="37"/>
        <v>Outlier</v>
      </c>
      <c r="W94" s="77">
        <f t="shared" si="38"/>
        <v>2.7235622912365934E-2</v>
      </c>
      <c r="X94" s="398">
        <f t="shared" si="39"/>
        <v>0.14911975585572834</v>
      </c>
    </row>
    <row r="95" spans="1:24">
      <c r="A95" s="396">
        <v>45476</v>
      </c>
      <c r="B95" s="385">
        <f>IF(YEAR(Table6[[#This Row],[Date]]) = 2024, WEEKNUM(Table6[[#This Row],[Date]])-13, WEEKNUM(Table6[[#This Row],[Date]])+40)</f>
        <v>14</v>
      </c>
      <c r="C95" s="1" t="s">
        <v>50</v>
      </c>
      <c r="D95" s="296" t="s">
        <v>48</v>
      </c>
      <c r="E95" s="1">
        <v>0</v>
      </c>
      <c r="F95" s="1">
        <v>0</v>
      </c>
      <c r="G95" s="61">
        <v>0</v>
      </c>
      <c r="H95" s="61">
        <v>0</v>
      </c>
      <c r="I95" s="1">
        <v>0</v>
      </c>
      <c r="J95" s="1">
        <v>0</v>
      </c>
      <c r="K95" s="1">
        <f>K94+Table6[[#This Row],[Calls Off]]</f>
        <v>72353</v>
      </c>
      <c r="L95" s="1">
        <f>L94+Table6[[#This Row],[Calls Ans]]</f>
        <v>62755</v>
      </c>
      <c r="M95" s="17">
        <v>0</v>
      </c>
      <c r="N95" s="17">
        <v>0</v>
      </c>
      <c r="O95" s="17">
        <v>0</v>
      </c>
      <c r="P95" s="17">
        <v>0</v>
      </c>
      <c r="Q95" s="148"/>
      <c r="R95" s="39">
        <v>0</v>
      </c>
      <c r="S95" s="150">
        <v>0</v>
      </c>
      <c r="T95" s="1">
        <v>0</v>
      </c>
      <c r="U95" s="363" t="str">
        <f t="shared" si="36"/>
        <v>Normal</v>
      </c>
      <c r="V95" s="363" t="str">
        <f t="shared" si="37"/>
        <v>Normal</v>
      </c>
      <c r="W95" s="77">
        <f t="shared" si="38"/>
        <v>0</v>
      </c>
      <c r="X95" s="398">
        <f t="shared" si="39"/>
        <v>0</v>
      </c>
    </row>
    <row r="96" spans="1:24">
      <c r="A96" s="396">
        <v>45477</v>
      </c>
      <c r="B96" s="385">
        <f>IF(YEAR(Table6[[#This Row],[Date]]) = 2024, WEEKNUM(Table6[[#This Row],[Date]])-13, WEEKNUM(Table6[[#This Row],[Date]])+40)</f>
        <v>14</v>
      </c>
      <c r="C96" s="1" t="s">
        <v>51</v>
      </c>
      <c r="D96" s="296" t="s">
        <v>48</v>
      </c>
      <c r="E96" s="1">
        <v>394</v>
      </c>
      <c r="F96" s="1">
        <v>44</v>
      </c>
      <c r="G96" s="61">
        <f t="shared" ref="G96:G98" si="51">(E96-E89)/E89</f>
        <v>-0.59339525283797734</v>
      </c>
      <c r="H96" s="61">
        <f t="shared" ref="H96:H98" si="52">(F96-F89)/F89</f>
        <v>-0.94865810968494746</v>
      </c>
      <c r="I96" s="1">
        <f>I94+E96</f>
        <v>1764</v>
      </c>
      <c r="J96" s="1">
        <f>J94+F96</f>
        <v>1109</v>
      </c>
      <c r="K96" s="1">
        <f>K95+Table6[[#This Row],[Calls Off]]</f>
        <v>72747</v>
      </c>
      <c r="L96" s="1">
        <f>L95+Table6[[#This Row],[Calls Ans]]</f>
        <v>62799</v>
      </c>
      <c r="M96" s="17">
        <v>0.11</v>
      </c>
      <c r="N96" s="17">
        <v>0.89</v>
      </c>
      <c r="O96" s="17">
        <v>0.11</v>
      </c>
      <c r="P96" s="17">
        <v>0.1</v>
      </c>
      <c r="Q96" s="148"/>
      <c r="R96" s="39">
        <v>380</v>
      </c>
      <c r="S96" s="150">
        <v>0.29166666666666669</v>
      </c>
      <c r="T96" s="1">
        <v>6</v>
      </c>
      <c r="U96" s="363" t="str">
        <f t="shared" si="36"/>
        <v>Outlier</v>
      </c>
      <c r="V96" s="363" t="str">
        <f t="shared" si="37"/>
        <v>Outlier</v>
      </c>
      <c r="W96" s="77">
        <f t="shared" si="38"/>
        <v>2.7235622912365934E-2</v>
      </c>
      <c r="X96" s="398">
        <f t="shared" si="39"/>
        <v>0.14911975585572834</v>
      </c>
    </row>
    <row r="97" spans="1:35">
      <c r="A97" s="396">
        <v>45478</v>
      </c>
      <c r="B97" s="385">
        <f>IF(YEAR(Table6[[#This Row],[Date]]) = 2024, WEEKNUM(Table6[[#This Row],[Date]])-13, WEEKNUM(Table6[[#This Row],[Date]])+40)</f>
        <v>14</v>
      </c>
      <c r="C97" s="1" t="s">
        <v>52</v>
      </c>
      <c r="D97" s="296" t="s">
        <v>48</v>
      </c>
      <c r="E97" s="1">
        <v>829</v>
      </c>
      <c r="F97" s="1">
        <v>602</v>
      </c>
      <c r="G97" s="61">
        <f t="shared" si="51"/>
        <v>-0.19903381642512077</v>
      </c>
      <c r="H97" s="61">
        <f t="shared" si="52"/>
        <v>-0.35407725321888411</v>
      </c>
      <c r="I97" s="1">
        <f>I96+E97</f>
        <v>2593</v>
      </c>
      <c r="J97" s="1">
        <f>J96+F97</f>
        <v>1711</v>
      </c>
      <c r="K97" s="1">
        <f>K96+Table6[[#This Row],[Calls Off]]</f>
        <v>73576</v>
      </c>
      <c r="L97" s="1">
        <f>L96+Table6[[#This Row],[Calls Ans]]</f>
        <v>63401</v>
      </c>
      <c r="M97" s="17">
        <v>0.31</v>
      </c>
      <c r="N97" s="17">
        <v>0.27</v>
      </c>
      <c r="O97" s="17">
        <v>0.73</v>
      </c>
      <c r="P97" s="17">
        <v>0.75</v>
      </c>
      <c r="Q97" s="148"/>
      <c r="R97" s="39">
        <v>270</v>
      </c>
      <c r="S97" s="150">
        <v>8.3333333333333329E-2</v>
      </c>
      <c r="T97" s="1">
        <v>8</v>
      </c>
      <c r="U97" s="363" t="str">
        <f t="shared" si="36"/>
        <v>Normal</v>
      </c>
      <c r="V97" s="363" t="str">
        <f t="shared" si="37"/>
        <v>Outlier</v>
      </c>
      <c r="W97" s="77">
        <f t="shared" si="38"/>
        <v>-0.19903381642512077</v>
      </c>
      <c r="X97" s="398">
        <f t="shared" si="39"/>
        <v>0.14911975585572834</v>
      </c>
    </row>
    <row r="98" spans="1:35">
      <c r="A98" s="396">
        <v>45479</v>
      </c>
      <c r="B98" s="385">
        <f>IF(YEAR(Table6[[#This Row],[Date]]) = 2024, WEEKNUM(Table6[[#This Row],[Date]])-13, WEEKNUM(Table6[[#This Row],[Date]])+40)</f>
        <v>14</v>
      </c>
      <c r="C98" s="1" t="s">
        <v>53</v>
      </c>
      <c r="D98" s="296" t="s">
        <v>48</v>
      </c>
      <c r="E98" s="1">
        <v>683</v>
      </c>
      <c r="F98" s="1">
        <v>446</v>
      </c>
      <c r="G98" s="61">
        <f t="shared" si="51"/>
        <v>-0.13214739517153748</v>
      </c>
      <c r="H98" s="61">
        <f t="shared" si="52"/>
        <v>-0.25418060200668896</v>
      </c>
      <c r="I98" s="1">
        <f>I97+E98</f>
        <v>3276</v>
      </c>
      <c r="J98" s="1">
        <f>J97+F98</f>
        <v>2157</v>
      </c>
      <c r="K98" s="1">
        <f>K97+Table6[[#This Row],[Calls Off]]</f>
        <v>74259</v>
      </c>
      <c r="L98" s="1">
        <f>L97+Table6[[#This Row],[Calls Ans]]</f>
        <v>63847</v>
      </c>
      <c r="M98" s="17">
        <v>0.28999999999999998</v>
      </c>
      <c r="N98" s="17">
        <v>0.35</v>
      </c>
      <c r="O98" s="17">
        <v>0.65</v>
      </c>
      <c r="P98" s="17">
        <v>0.62</v>
      </c>
      <c r="Q98" s="148"/>
      <c r="R98" s="39">
        <v>300</v>
      </c>
      <c r="S98" s="150">
        <v>0.125</v>
      </c>
      <c r="T98" s="1">
        <v>8</v>
      </c>
      <c r="U98" s="363" t="str">
        <f t="shared" ref="U98:U123" si="53">IF(OR(G98&lt;$AA$5,G98&gt;$AB$5), "Outlier", "Normal")</f>
        <v>Normal</v>
      </c>
      <c r="V98" s="363" t="str">
        <f t="shared" ref="V98:V123" si="54">IF(OR(H98&lt;$AA$5,H98&gt;$AB$5), "Outlier", "Normal")</f>
        <v>Outlier</v>
      </c>
      <c r="W98" s="77">
        <f t="shared" si="38"/>
        <v>-0.13214739517153748</v>
      </c>
      <c r="X98" s="398">
        <f t="shared" si="39"/>
        <v>0.14911975585572834</v>
      </c>
    </row>
    <row r="99" spans="1:35">
      <c r="A99" s="396">
        <v>45480</v>
      </c>
      <c r="B99" s="385">
        <f>IF(YEAR(Table6[[#This Row],[Date]]) = 2024, WEEKNUM(Table6[[#This Row],[Date]])-13, WEEKNUM(Table6[[#This Row],[Date]])+40)</f>
        <v>15</v>
      </c>
      <c r="C99" s="1" t="s">
        <v>54</v>
      </c>
      <c r="D99" s="296" t="s">
        <v>48</v>
      </c>
      <c r="E99" s="1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f>K98+Table6[[#This Row],[Calls Off]]</f>
        <v>74259</v>
      </c>
      <c r="L99" s="1">
        <f>L98+Table6[[#This Row],[Calls Ans]]</f>
        <v>63847</v>
      </c>
      <c r="M99" s="17">
        <v>0</v>
      </c>
      <c r="N99" s="17">
        <v>0</v>
      </c>
      <c r="O99" s="17">
        <v>0</v>
      </c>
      <c r="P99" s="17">
        <v>0</v>
      </c>
      <c r="Q99" s="148"/>
      <c r="R99" s="39">
        <v>0</v>
      </c>
      <c r="S99" s="150">
        <v>0</v>
      </c>
      <c r="T99" s="1">
        <v>0</v>
      </c>
      <c r="U99" s="363" t="str">
        <f t="shared" si="53"/>
        <v>Normal</v>
      </c>
      <c r="V99" s="363" t="str">
        <f t="shared" si="54"/>
        <v>Normal</v>
      </c>
      <c r="W99" s="77">
        <f t="shared" si="38"/>
        <v>0</v>
      </c>
      <c r="X99" s="398">
        <f t="shared" si="39"/>
        <v>0</v>
      </c>
    </row>
    <row r="100" spans="1:35">
      <c r="A100" s="396">
        <v>45481</v>
      </c>
      <c r="B100" s="385">
        <f>IF(YEAR(Table6[[#This Row],[Date]]) = 2024, WEEKNUM(Table6[[#This Row],[Date]])-13, WEEKNUM(Table6[[#This Row],[Date]])+40)</f>
        <v>15</v>
      </c>
      <c r="C100" s="1" t="s">
        <v>55</v>
      </c>
      <c r="D100" s="296" t="s">
        <v>48</v>
      </c>
      <c r="E100" s="1">
        <v>930</v>
      </c>
      <c r="F100" s="1">
        <v>761</v>
      </c>
      <c r="G100" s="61">
        <f t="shared" ref="G100:G105" si="55">(E100-E93)/E93</f>
        <v>-5.1987767584097858E-2</v>
      </c>
      <c r="H100" s="61">
        <f t="shared" ref="H100:H105" si="56">(F100-F93)/F93</f>
        <v>-0.17462039045553146</v>
      </c>
      <c r="I100" s="1">
        <f>I98+E100</f>
        <v>4206</v>
      </c>
      <c r="J100" s="1">
        <f>J98+F100</f>
        <v>2918</v>
      </c>
      <c r="K100" s="1">
        <f>K99+Table6[[#This Row],[Calls Off]]</f>
        <v>75189</v>
      </c>
      <c r="L100" s="1">
        <f>L99+Table6[[#This Row],[Calls Ans]]</f>
        <v>64608</v>
      </c>
      <c r="M100" s="17">
        <v>0.55000000000000004</v>
      </c>
      <c r="N100" s="17">
        <v>0.18</v>
      </c>
      <c r="O100" s="17">
        <v>0.82</v>
      </c>
      <c r="P100" s="17">
        <v>0.7</v>
      </c>
      <c r="Q100" s="148"/>
      <c r="R100" s="39">
        <v>300</v>
      </c>
      <c r="S100" s="150">
        <v>0.14305555555555557</v>
      </c>
      <c r="T100" s="1">
        <v>12</v>
      </c>
      <c r="U100" s="363" t="str">
        <f t="shared" si="53"/>
        <v>Normal</v>
      </c>
      <c r="V100" s="363" t="str">
        <f t="shared" si="54"/>
        <v>Normal</v>
      </c>
      <c r="W100" s="77">
        <f t="shared" si="38"/>
        <v>-5.1987767584097858E-2</v>
      </c>
      <c r="X100" s="398">
        <f t="shared" si="39"/>
        <v>-0.17462039045553146</v>
      </c>
    </row>
    <row r="101" spans="1:35">
      <c r="A101" s="396">
        <v>45482</v>
      </c>
      <c r="B101" s="385">
        <f>IF(YEAR(Table6[[#This Row],[Date]]) = 2024, WEEKNUM(Table6[[#This Row],[Date]])-13, WEEKNUM(Table6[[#This Row],[Date]])+40)</f>
        <v>15</v>
      </c>
      <c r="C101" s="1" t="s">
        <v>49</v>
      </c>
      <c r="D101" s="296" t="s">
        <v>48</v>
      </c>
      <c r="E101" s="1">
        <v>532</v>
      </c>
      <c r="F101" s="1">
        <v>437</v>
      </c>
      <c r="G101" s="61">
        <f t="shared" si="55"/>
        <v>0.36760925449871468</v>
      </c>
      <c r="H101" s="61">
        <f t="shared" si="56"/>
        <v>2.0559440559440558</v>
      </c>
      <c r="I101" s="1">
        <f t="shared" ref="I101:J105" si="57">I100+E101</f>
        <v>4738</v>
      </c>
      <c r="J101" s="1">
        <f t="shared" si="57"/>
        <v>3355</v>
      </c>
      <c r="K101" s="1">
        <f>K100+Table6[[#This Row],[Calls Off]]</f>
        <v>75721</v>
      </c>
      <c r="L101" s="1">
        <f>L100+Table6[[#This Row],[Calls Ans]]</f>
        <v>65045</v>
      </c>
      <c r="M101" s="17">
        <v>0.62</v>
      </c>
      <c r="N101" s="17">
        <v>0.18</v>
      </c>
      <c r="O101" s="17">
        <v>0.82</v>
      </c>
      <c r="P101" s="17">
        <v>0.54</v>
      </c>
      <c r="Q101" s="148"/>
      <c r="R101" s="39">
        <v>300</v>
      </c>
      <c r="S101" s="150">
        <v>7.6388888888888895E-2</v>
      </c>
      <c r="T101" s="1">
        <v>9</v>
      </c>
      <c r="U101" s="363" t="str">
        <f t="shared" si="53"/>
        <v>Outlier</v>
      </c>
      <c r="V101" s="363" t="str">
        <f t="shared" si="54"/>
        <v>Outlier</v>
      </c>
      <c r="W101" s="77">
        <f t="shared" si="38"/>
        <v>2.7235622912365934E-2</v>
      </c>
      <c r="X101" s="398">
        <f t="shared" si="39"/>
        <v>0.14911975585572834</v>
      </c>
    </row>
    <row r="102" spans="1:35">
      <c r="A102" s="396">
        <v>45483</v>
      </c>
      <c r="B102" s="385">
        <f>IF(YEAR(Table6[[#This Row],[Date]]) = 2024, WEEKNUM(Table6[[#This Row],[Date]])-13, WEEKNUM(Table6[[#This Row],[Date]])+40)</f>
        <v>15</v>
      </c>
      <c r="C102" s="1" t="s">
        <v>50</v>
      </c>
      <c r="D102" s="296" t="s">
        <v>48</v>
      </c>
      <c r="E102" s="1">
        <v>990</v>
      </c>
      <c r="F102" s="1">
        <v>671</v>
      </c>
      <c r="G102" s="61">
        <v>0</v>
      </c>
      <c r="H102" s="61">
        <v>0</v>
      </c>
      <c r="I102" s="1">
        <f t="shared" si="57"/>
        <v>5728</v>
      </c>
      <c r="J102" s="1">
        <f t="shared" si="57"/>
        <v>4026</v>
      </c>
      <c r="K102" s="1">
        <f>K101+Table6[[#This Row],[Calls Off]]</f>
        <v>76711</v>
      </c>
      <c r="L102" s="1">
        <f>L101+Table6[[#This Row],[Calls Ans]]</f>
        <v>65716</v>
      </c>
      <c r="M102" s="17">
        <v>0.27</v>
      </c>
      <c r="N102" s="17">
        <v>0.32</v>
      </c>
      <c r="O102" s="17">
        <v>0.68</v>
      </c>
      <c r="P102" s="17">
        <v>0.62</v>
      </c>
      <c r="Q102" s="148"/>
      <c r="R102" s="39">
        <v>300</v>
      </c>
      <c r="S102" s="150">
        <v>0.125</v>
      </c>
      <c r="T102" s="1">
        <v>12</v>
      </c>
      <c r="U102" s="363" t="str">
        <f t="shared" si="53"/>
        <v>Normal</v>
      </c>
      <c r="V102" s="363" t="str">
        <f t="shared" si="54"/>
        <v>Normal</v>
      </c>
      <c r="W102" s="77">
        <f t="shared" si="38"/>
        <v>0</v>
      </c>
      <c r="X102" s="398">
        <f t="shared" si="39"/>
        <v>0</v>
      </c>
    </row>
    <row r="103" spans="1:35">
      <c r="A103" s="396">
        <v>45484</v>
      </c>
      <c r="B103" s="385">
        <f>IF(YEAR(Table6[[#This Row],[Date]]) = 2024, WEEKNUM(Table6[[#This Row],[Date]])-13, WEEKNUM(Table6[[#This Row],[Date]])+40)</f>
        <v>15</v>
      </c>
      <c r="C103" s="1" t="s">
        <v>51</v>
      </c>
      <c r="D103" s="296" t="s">
        <v>48</v>
      </c>
      <c r="E103" s="1">
        <v>964</v>
      </c>
      <c r="F103" s="1">
        <v>770</v>
      </c>
      <c r="G103" s="61">
        <f t="shared" si="55"/>
        <v>1.4467005076142132</v>
      </c>
      <c r="H103" s="61">
        <f t="shared" si="56"/>
        <v>16.5</v>
      </c>
      <c r="I103" s="1">
        <f t="shared" si="57"/>
        <v>6692</v>
      </c>
      <c r="J103" s="1">
        <f t="shared" si="57"/>
        <v>4796</v>
      </c>
      <c r="K103" s="1">
        <f>K102+Table6[[#This Row],[Calls Off]]</f>
        <v>77675</v>
      </c>
      <c r="L103" s="1">
        <f>L102+Table6[[#This Row],[Calls Ans]]</f>
        <v>66486</v>
      </c>
      <c r="M103" s="17">
        <v>0.53</v>
      </c>
      <c r="N103" s="17">
        <v>0.2</v>
      </c>
      <c r="O103" s="17">
        <v>0.8</v>
      </c>
      <c r="P103" s="17">
        <v>0.71</v>
      </c>
      <c r="Q103" s="148"/>
      <c r="R103" s="39">
        <v>300</v>
      </c>
      <c r="S103" s="150">
        <v>4.1666666666666664E-2</v>
      </c>
      <c r="T103" s="1">
        <v>12</v>
      </c>
      <c r="U103" s="363" t="str">
        <f t="shared" si="53"/>
        <v>Outlier</v>
      </c>
      <c r="V103" s="363" t="str">
        <f t="shared" si="54"/>
        <v>Outlier</v>
      </c>
      <c r="W103" s="77">
        <f t="shared" si="38"/>
        <v>2.7235622912365934E-2</v>
      </c>
      <c r="X103" s="398">
        <f t="shared" si="39"/>
        <v>0.14911975585572834</v>
      </c>
    </row>
    <row r="104" spans="1:35">
      <c r="A104" s="396">
        <v>45485</v>
      </c>
      <c r="B104" s="385">
        <f>IF(YEAR(Table6[[#This Row],[Date]]) = 2024, WEEKNUM(Table6[[#This Row],[Date]])-13, WEEKNUM(Table6[[#This Row],[Date]])+40)</f>
        <v>15</v>
      </c>
      <c r="C104" s="1" t="s">
        <v>52</v>
      </c>
      <c r="D104" s="296" t="s">
        <v>48</v>
      </c>
      <c r="E104" s="1">
        <v>946</v>
      </c>
      <c r="F104" s="1">
        <v>803</v>
      </c>
      <c r="G104" s="61">
        <f t="shared" si="55"/>
        <v>0.14113389626055489</v>
      </c>
      <c r="H104" s="61">
        <f t="shared" si="56"/>
        <v>0.33388704318936879</v>
      </c>
      <c r="I104" s="1">
        <f t="shared" si="57"/>
        <v>7638</v>
      </c>
      <c r="J104" s="1">
        <f t="shared" si="57"/>
        <v>5599</v>
      </c>
      <c r="K104" s="1">
        <f>K103+Table6[[#This Row],[Calls Off]]</f>
        <v>78621</v>
      </c>
      <c r="L104" s="1">
        <f>L103+Table6[[#This Row],[Calls Ans]]</f>
        <v>67289</v>
      </c>
      <c r="M104" s="17">
        <v>0.62</v>
      </c>
      <c r="N104" s="17">
        <v>0.15</v>
      </c>
      <c r="O104" s="17">
        <v>0.85</v>
      </c>
      <c r="P104" s="17">
        <v>0.64</v>
      </c>
      <c r="Q104" s="148"/>
      <c r="R104" s="39">
        <v>300</v>
      </c>
      <c r="S104" s="150">
        <v>4.1666666666666664E-2</v>
      </c>
      <c r="T104" s="1">
        <v>14</v>
      </c>
      <c r="U104" s="363" t="str">
        <f t="shared" si="53"/>
        <v>Normal</v>
      </c>
      <c r="V104" s="363" t="str">
        <f t="shared" si="54"/>
        <v>Outlier</v>
      </c>
      <c r="W104" s="77">
        <f t="shared" si="38"/>
        <v>0.14113389626055489</v>
      </c>
      <c r="X104" s="398">
        <f t="shared" si="39"/>
        <v>0.14911975585572834</v>
      </c>
    </row>
    <row r="105" spans="1:35">
      <c r="A105" s="396">
        <v>45486</v>
      </c>
      <c r="B105" s="385">
        <f>IF(YEAR(Table6[[#This Row],[Date]]) = 2024, WEEKNUM(Table6[[#This Row],[Date]])-13, WEEKNUM(Table6[[#This Row],[Date]])+40)</f>
        <v>15</v>
      </c>
      <c r="C105" s="1" t="s">
        <v>53</v>
      </c>
      <c r="D105" s="296" t="s">
        <v>48</v>
      </c>
      <c r="E105" s="1">
        <v>733</v>
      </c>
      <c r="F105" s="1">
        <v>584</v>
      </c>
      <c r="G105" s="61">
        <f t="shared" si="55"/>
        <v>7.320644216691069E-2</v>
      </c>
      <c r="H105" s="61">
        <f t="shared" si="56"/>
        <v>0.3094170403587444</v>
      </c>
      <c r="I105" s="1">
        <f t="shared" si="57"/>
        <v>8371</v>
      </c>
      <c r="J105" s="1">
        <f t="shared" si="57"/>
        <v>6183</v>
      </c>
      <c r="K105" s="1">
        <f>K104+Table6[[#This Row],[Calls Off]]</f>
        <v>79354</v>
      </c>
      <c r="L105" s="1">
        <f>L104+Table6[[#This Row],[Calls Ans]]</f>
        <v>67873</v>
      </c>
      <c r="M105" s="17">
        <v>0.56999999999999995</v>
      </c>
      <c r="N105" s="17">
        <v>0.2</v>
      </c>
      <c r="O105" s="17">
        <v>0.8</v>
      </c>
      <c r="P105" s="17">
        <v>0.66</v>
      </c>
      <c r="Q105" s="148"/>
      <c r="R105" s="39">
        <v>276</v>
      </c>
      <c r="S105" s="150">
        <v>7.0833333333333331E-2</v>
      </c>
      <c r="T105" s="1">
        <v>9</v>
      </c>
      <c r="U105" s="363" t="str">
        <f t="shared" si="53"/>
        <v>Normal</v>
      </c>
      <c r="V105" s="363" t="str">
        <f t="shared" si="54"/>
        <v>Outlier</v>
      </c>
      <c r="W105" s="77">
        <f t="shared" si="38"/>
        <v>7.320644216691069E-2</v>
      </c>
      <c r="X105" s="398">
        <f t="shared" si="39"/>
        <v>0.14911975585572834</v>
      </c>
    </row>
    <row r="106" spans="1:35">
      <c r="A106" s="396">
        <v>45487</v>
      </c>
      <c r="B106" s="385">
        <f>IF(YEAR(Table6[[#This Row],[Date]]) = 2024, WEEKNUM(Table6[[#This Row],[Date]])-13, WEEKNUM(Table6[[#This Row],[Date]])+40)</f>
        <v>16</v>
      </c>
      <c r="C106" s="1" t="s">
        <v>54</v>
      </c>
      <c r="D106" s="296" t="s">
        <v>48</v>
      </c>
      <c r="E106" s="1">
        <v>0</v>
      </c>
      <c r="F106" s="1">
        <v>0</v>
      </c>
      <c r="G106" s="61">
        <v>0</v>
      </c>
      <c r="H106" s="61">
        <v>0</v>
      </c>
      <c r="I106" s="1">
        <v>0</v>
      </c>
      <c r="J106" s="1">
        <v>0</v>
      </c>
      <c r="K106" s="1">
        <f>K105+Table6[[#This Row],[Calls Off]]</f>
        <v>79354</v>
      </c>
      <c r="L106" s="1">
        <f>L105+Table6[[#This Row],[Calls Ans]]</f>
        <v>67873</v>
      </c>
      <c r="M106" s="17">
        <v>0</v>
      </c>
      <c r="N106" s="17">
        <v>0</v>
      </c>
      <c r="O106" s="17">
        <v>0</v>
      </c>
      <c r="P106" s="17">
        <v>0</v>
      </c>
      <c r="Q106" s="148"/>
      <c r="R106" s="39">
        <v>0</v>
      </c>
      <c r="S106" s="150">
        <v>0</v>
      </c>
      <c r="T106" s="1">
        <v>0</v>
      </c>
      <c r="U106" s="363" t="str">
        <f t="shared" si="53"/>
        <v>Normal</v>
      </c>
      <c r="V106" s="363" t="str">
        <f t="shared" si="54"/>
        <v>Normal</v>
      </c>
      <c r="W106" s="77">
        <f t="shared" si="38"/>
        <v>0</v>
      </c>
      <c r="X106" s="398">
        <f t="shared" si="39"/>
        <v>0</v>
      </c>
    </row>
    <row r="107" spans="1:35">
      <c r="A107" s="396">
        <v>45488</v>
      </c>
      <c r="B107" s="385">
        <f>IF(YEAR(Table6[[#This Row],[Date]]) = 2024, WEEKNUM(Table6[[#This Row],[Date]])-13, WEEKNUM(Table6[[#This Row],[Date]])+40)</f>
        <v>16</v>
      </c>
      <c r="C107" s="1" t="s">
        <v>55</v>
      </c>
      <c r="D107" s="296" t="s">
        <v>48</v>
      </c>
      <c r="E107" s="1">
        <v>1274</v>
      </c>
      <c r="F107" s="1">
        <v>951</v>
      </c>
      <c r="G107" s="61">
        <f t="shared" ref="G107:G109" si="58">(E107-E100)/E100</f>
        <v>0.36989247311827955</v>
      </c>
      <c r="H107" s="61">
        <f t="shared" ref="H107:H109" si="59">(F107-F100)/F100</f>
        <v>0.24967148488830487</v>
      </c>
      <c r="I107" s="1">
        <f>I105+E107</f>
        <v>9645</v>
      </c>
      <c r="J107" s="1">
        <f>J105+F107</f>
        <v>7134</v>
      </c>
      <c r="K107" s="1">
        <f>K106+Table6[[#This Row],[Calls Off]]</f>
        <v>80628</v>
      </c>
      <c r="L107" s="1">
        <f>L106+Table6[[#This Row],[Calls Ans]]</f>
        <v>68824</v>
      </c>
      <c r="M107" s="17">
        <v>0.39</v>
      </c>
      <c r="N107" s="17">
        <v>0.2</v>
      </c>
      <c r="O107" s="17">
        <v>0.8</v>
      </c>
      <c r="P107" s="17">
        <v>0.7</v>
      </c>
      <c r="Q107" s="148"/>
      <c r="R107" s="39">
        <v>298</v>
      </c>
      <c r="S107" s="150">
        <v>0.10972222222222222</v>
      </c>
      <c r="T107" s="1">
        <v>15</v>
      </c>
      <c r="U107" s="363" t="str">
        <f t="shared" si="53"/>
        <v>Outlier</v>
      </c>
      <c r="V107" s="363" t="str">
        <f t="shared" si="54"/>
        <v>Outlier</v>
      </c>
      <c r="W107" s="77">
        <f t="shared" si="38"/>
        <v>2.7235622912365934E-2</v>
      </c>
      <c r="X107" s="398">
        <f t="shared" si="39"/>
        <v>0.14911975585572834</v>
      </c>
      <c r="Z107" s="44"/>
    </row>
    <row r="108" spans="1:35">
      <c r="A108" s="396">
        <v>45489</v>
      </c>
      <c r="B108" s="385">
        <f>IF(YEAR(Table6[[#This Row],[Date]]) = 2024, WEEKNUM(Table6[[#This Row],[Date]])-13, WEEKNUM(Table6[[#This Row],[Date]])+40)</f>
        <v>16</v>
      </c>
      <c r="C108" s="1" t="s">
        <v>49</v>
      </c>
      <c r="D108" s="296" t="s">
        <v>48</v>
      </c>
      <c r="E108" s="1">
        <v>1000</v>
      </c>
      <c r="F108" s="1">
        <v>779</v>
      </c>
      <c r="G108" s="61">
        <f t="shared" si="58"/>
        <v>0.87969924812030076</v>
      </c>
      <c r="H108" s="61">
        <f t="shared" si="59"/>
        <v>0.78260869565217395</v>
      </c>
      <c r="I108" s="1">
        <f t="shared" ref="I108:J112" si="60">I107+E108</f>
        <v>10645</v>
      </c>
      <c r="J108" s="1">
        <f t="shared" si="60"/>
        <v>7913</v>
      </c>
      <c r="K108" s="1">
        <f>K107+Table6[[#This Row],[Calls Off]]</f>
        <v>81628</v>
      </c>
      <c r="L108" s="1">
        <f>L107+Table6[[#This Row],[Calls Ans]]</f>
        <v>69603</v>
      </c>
      <c r="M108" s="17">
        <v>0.43</v>
      </c>
      <c r="N108" s="17">
        <v>0.22</v>
      </c>
      <c r="O108" s="17">
        <v>0.78</v>
      </c>
      <c r="P108" s="17">
        <v>0.72</v>
      </c>
      <c r="Q108" s="148"/>
      <c r="R108" s="39">
        <v>300</v>
      </c>
      <c r="S108" s="150">
        <v>8.3333333333333329E-2</v>
      </c>
      <c r="T108" s="1">
        <v>12</v>
      </c>
      <c r="U108" s="363" t="str">
        <f t="shared" si="53"/>
        <v>Outlier</v>
      </c>
      <c r="V108" s="363" t="str">
        <f t="shared" si="54"/>
        <v>Outlier</v>
      </c>
      <c r="W108" s="77">
        <f t="shared" si="38"/>
        <v>2.7235622912365934E-2</v>
      </c>
      <c r="X108" s="398">
        <f t="shared" si="39"/>
        <v>0.14911975585572834</v>
      </c>
    </row>
    <row r="109" spans="1:35">
      <c r="A109" s="396">
        <v>45490</v>
      </c>
      <c r="B109" s="385">
        <f>IF(YEAR(Table6[[#This Row],[Date]]) = 2024, WEEKNUM(Table6[[#This Row],[Date]])-13, WEEKNUM(Table6[[#This Row],[Date]])+40)</f>
        <v>16</v>
      </c>
      <c r="C109" s="1" t="s">
        <v>50</v>
      </c>
      <c r="D109" s="296" t="s">
        <v>48</v>
      </c>
      <c r="E109" s="1">
        <v>987</v>
      </c>
      <c r="F109" s="1">
        <v>812</v>
      </c>
      <c r="G109" s="61">
        <f t="shared" si="58"/>
        <v>-3.0303030303030303E-3</v>
      </c>
      <c r="H109" s="61">
        <f t="shared" si="59"/>
        <v>0.21013412816691504</v>
      </c>
      <c r="I109" s="1">
        <f t="shared" si="60"/>
        <v>11632</v>
      </c>
      <c r="J109" s="1">
        <f t="shared" si="60"/>
        <v>8725</v>
      </c>
      <c r="K109" s="1">
        <f>K108+Table6[[#This Row],[Calls Off]]</f>
        <v>82615</v>
      </c>
      <c r="L109" s="1">
        <f>L108+Table6[[#This Row],[Calls Ans]]</f>
        <v>70415</v>
      </c>
      <c r="M109" s="17">
        <v>0.6</v>
      </c>
      <c r="N109" s="17">
        <v>0.18</v>
      </c>
      <c r="O109" s="17">
        <v>0.82</v>
      </c>
      <c r="P109" s="17">
        <v>0.64</v>
      </c>
      <c r="Q109" s="148"/>
      <c r="R109" s="39">
        <v>300</v>
      </c>
      <c r="S109" s="150">
        <v>4.1666666666666664E-2</v>
      </c>
      <c r="T109" s="1">
        <v>14</v>
      </c>
      <c r="U109" s="363" t="str">
        <f t="shared" si="53"/>
        <v>Normal</v>
      </c>
      <c r="V109" s="363" t="str">
        <f t="shared" si="54"/>
        <v>Outlier</v>
      </c>
      <c r="W109" s="77">
        <f t="shared" si="38"/>
        <v>-3.0303030303030303E-3</v>
      </c>
      <c r="X109" s="398">
        <f t="shared" si="39"/>
        <v>0.14911975585572834</v>
      </c>
    </row>
    <row r="110" spans="1:35" s="44" customFormat="1">
      <c r="A110" s="396">
        <v>45491</v>
      </c>
      <c r="B110" s="385">
        <f>IF(YEAR(Table6[[#This Row],[Date]]) = 2024, WEEKNUM(Table6[[#This Row],[Date]])-13, WEEKNUM(Table6[[#This Row],[Date]])+40)</f>
        <v>16</v>
      </c>
      <c r="C110" s="1" t="s">
        <v>51</v>
      </c>
      <c r="D110" s="296" t="s">
        <v>48</v>
      </c>
      <c r="E110" s="1">
        <v>976</v>
      </c>
      <c r="F110" s="1">
        <v>761</v>
      </c>
      <c r="G110" s="61">
        <f t="shared" ref="G110:G112" si="61">(E110-E103)/E103</f>
        <v>1.2448132780082987E-2</v>
      </c>
      <c r="H110" s="61">
        <f t="shared" ref="H110:H112" si="62">(F110-F103)/F103</f>
        <v>-1.1688311688311689E-2</v>
      </c>
      <c r="I110" s="1">
        <f t="shared" si="60"/>
        <v>12608</v>
      </c>
      <c r="J110" s="1">
        <f t="shared" si="60"/>
        <v>9486</v>
      </c>
      <c r="K110" s="1">
        <f>K109+Table6[[#This Row],[Calls Off]]</f>
        <v>83591</v>
      </c>
      <c r="L110" s="1">
        <f>L109+Table6[[#This Row],[Calls Ans]]</f>
        <v>71176</v>
      </c>
      <c r="M110" s="17">
        <v>0.45</v>
      </c>
      <c r="N110" s="17">
        <v>0.22</v>
      </c>
      <c r="O110" s="17">
        <v>0.78</v>
      </c>
      <c r="P110" s="17">
        <v>0.65</v>
      </c>
      <c r="Q110" s="148"/>
      <c r="R110" s="39">
        <v>300</v>
      </c>
      <c r="S110" s="150">
        <v>8.3333333333333329E-2</v>
      </c>
      <c r="T110" s="1">
        <v>13</v>
      </c>
      <c r="U110" s="363" t="str">
        <f t="shared" si="53"/>
        <v>Normal</v>
      </c>
      <c r="V110" s="363" t="str">
        <f t="shared" si="54"/>
        <v>Normal</v>
      </c>
      <c r="W110" s="77">
        <f t="shared" si="38"/>
        <v>1.2448132780082987E-2</v>
      </c>
      <c r="X110" s="398">
        <f t="shared" si="39"/>
        <v>-1.1688311688311689E-2</v>
      </c>
      <c r="Z110"/>
      <c r="AE110"/>
      <c r="AF110"/>
      <c r="AG110"/>
      <c r="AH110"/>
      <c r="AI110"/>
    </row>
    <row r="111" spans="1:35">
      <c r="A111" s="396">
        <v>45492</v>
      </c>
      <c r="B111" s="385">
        <f>IF(YEAR(Table6[[#This Row],[Date]]) = 2024, WEEKNUM(Table6[[#This Row],[Date]])-13, WEEKNUM(Table6[[#This Row],[Date]])+40)</f>
        <v>16</v>
      </c>
      <c r="C111" s="1" t="s">
        <v>52</v>
      </c>
      <c r="D111" s="296" t="s">
        <v>48</v>
      </c>
      <c r="E111" s="1">
        <v>899</v>
      </c>
      <c r="F111" s="1">
        <v>760</v>
      </c>
      <c r="G111" s="61">
        <f t="shared" si="61"/>
        <v>-4.9682875264270614E-2</v>
      </c>
      <c r="H111" s="61">
        <f t="shared" si="62"/>
        <v>-5.3549190535491904E-2</v>
      </c>
      <c r="I111" s="1">
        <f t="shared" si="60"/>
        <v>13507</v>
      </c>
      <c r="J111" s="1">
        <f t="shared" si="60"/>
        <v>10246</v>
      </c>
      <c r="K111" s="1">
        <f>K110+Table6[[#This Row],[Calls Off]]</f>
        <v>84490</v>
      </c>
      <c r="L111" s="1">
        <f>L110+Table6[[#This Row],[Calls Ans]]</f>
        <v>71936</v>
      </c>
      <c r="M111" s="17">
        <v>0.59</v>
      </c>
      <c r="N111" s="17">
        <v>0.15</v>
      </c>
      <c r="O111" s="17">
        <v>0.85</v>
      </c>
      <c r="P111" s="17">
        <v>0.57999999999999996</v>
      </c>
      <c r="Q111" s="148"/>
      <c r="R111" s="39">
        <v>309</v>
      </c>
      <c r="S111" s="150">
        <v>5.8333333333333327E-2</v>
      </c>
      <c r="T111" s="1">
        <v>15</v>
      </c>
      <c r="U111" s="363" t="str">
        <f t="shared" si="53"/>
        <v>Normal</v>
      </c>
      <c r="V111" s="363" t="str">
        <f t="shared" si="54"/>
        <v>Normal</v>
      </c>
      <c r="W111" s="77">
        <f t="shared" si="38"/>
        <v>-4.9682875264270614E-2</v>
      </c>
      <c r="X111" s="398">
        <f t="shared" si="39"/>
        <v>-5.3549190535491904E-2</v>
      </c>
    </row>
    <row r="112" spans="1:35">
      <c r="A112" s="396">
        <v>45493</v>
      </c>
      <c r="B112" s="385">
        <f>IF(YEAR(Table6[[#This Row],[Date]]) = 2024, WEEKNUM(Table6[[#This Row],[Date]])-13, WEEKNUM(Table6[[#This Row],[Date]])+40)</f>
        <v>16</v>
      </c>
      <c r="C112" s="1" t="s">
        <v>53</v>
      </c>
      <c r="D112" s="296" t="s">
        <v>48</v>
      </c>
      <c r="E112" s="1">
        <v>690</v>
      </c>
      <c r="F112" s="1">
        <v>626</v>
      </c>
      <c r="G112" s="61">
        <f t="shared" si="61"/>
        <v>-5.8663028649386086E-2</v>
      </c>
      <c r="H112" s="61">
        <f t="shared" si="62"/>
        <v>7.1917808219178078E-2</v>
      </c>
      <c r="I112" s="1">
        <f t="shared" si="60"/>
        <v>14197</v>
      </c>
      <c r="J112" s="1">
        <f t="shared" si="60"/>
        <v>10872</v>
      </c>
      <c r="K112" s="1">
        <f>K111+Table6[[#This Row],[Calls Off]]</f>
        <v>85180</v>
      </c>
      <c r="L112" s="1">
        <f>L111+Table6[[#This Row],[Calls Ans]]</f>
        <v>72562</v>
      </c>
      <c r="M112" s="17">
        <v>0.79</v>
      </c>
      <c r="N112" s="17">
        <v>0.09</v>
      </c>
      <c r="O112" s="17">
        <v>0.91</v>
      </c>
      <c r="P112" s="17">
        <v>0.56999999999999995</v>
      </c>
      <c r="Q112" s="148"/>
      <c r="R112" s="39">
        <v>244</v>
      </c>
      <c r="S112" s="150">
        <v>2.361111111111111E-2</v>
      </c>
      <c r="T112" s="1">
        <v>10</v>
      </c>
      <c r="U112" s="363" t="str">
        <f t="shared" si="53"/>
        <v>Normal</v>
      </c>
      <c r="V112" s="363" t="str">
        <f t="shared" si="54"/>
        <v>Normal</v>
      </c>
      <c r="W112" s="77">
        <f t="shared" si="38"/>
        <v>-5.8663028649386086E-2</v>
      </c>
      <c r="X112" s="398">
        <f t="shared" si="39"/>
        <v>7.1917808219178078E-2</v>
      </c>
    </row>
    <row r="113" spans="1:24">
      <c r="A113" s="396">
        <v>45494</v>
      </c>
      <c r="B113" s="385">
        <f>IF(YEAR(Table6[[#This Row],[Date]]) = 2024, WEEKNUM(Table6[[#This Row],[Date]])-13, WEEKNUM(Table6[[#This Row],[Date]])+40)</f>
        <v>17</v>
      </c>
      <c r="C113" s="1" t="s">
        <v>54</v>
      </c>
      <c r="D113" s="296" t="s">
        <v>48</v>
      </c>
      <c r="E113" s="1">
        <v>0</v>
      </c>
      <c r="F113" s="1">
        <v>0</v>
      </c>
      <c r="G113" s="61">
        <v>0</v>
      </c>
      <c r="H113" s="61">
        <v>0</v>
      </c>
      <c r="I113" s="1">
        <v>0</v>
      </c>
      <c r="J113" s="1">
        <v>0</v>
      </c>
      <c r="K113" s="1">
        <f>K112+Table6[[#This Row],[Calls Off]]</f>
        <v>85180</v>
      </c>
      <c r="L113" s="1">
        <f>L112+Table6[[#This Row],[Calls Ans]]</f>
        <v>72562</v>
      </c>
      <c r="M113" s="17">
        <v>0</v>
      </c>
      <c r="N113" s="17">
        <v>0</v>
      </c>
      <c r="O113" s="17">
        <v>0</v>
      </c>
      <c r="P113" s="17">
        <v>0</v>
      </c>
      <c r="Q113" s="148"/>
      <c r="R113" s="39">
        <v>0</v>
      </c>
      <c r="S113" s="150">
        <v>0</v>
      </c>
      <c r="T113" s="1">
        <v>0</v>
      </c>
      <c r="U113" s="363" t="str">
        <f t="shared" si="53"/>
        <v>Normal</v>
      </c>
      <c r="V113" s="363" t="str">
        <f t="shared" si="54"/>
        <v>Normal</v>
      </c>
      <c r="W113" s="77">
        <f t="shared" si="38"/>
        <v>0</v>
      </c>
      <c r="X113" s="398">
        <f t="shared" si="39"/>
        <v>0</v>
      </c>
    </row>
    <row r="114" spans="1:24">
      <c r="A114" s="396">
        <v>45495</v>
      </c>
      <c r="B114" s="385">
        <f>IF(YEAR(Table6[[#This Row],[Date]]) = 2024, WEEKNUM(Table6[[#This Row],[Date]])-13, WEEKNUM(Table6[[#This Row],[Date]])+40)</f>
        <v>17</v>
      </c>
      <c r="C114" s="1" t="s">
        <v>55</v>
      </c>
      <c r="D114" s="296" t="s">
        <v>48</v>
      </c>
      <c r="E114" s="1">
        <v>719</v>
      </c>
      <c r="F114" s="1">
        <v>622</v>
      </c>
      <c r="G114" s="61">
        <f t="shared" ref="G114:G116" si="63">(E114-E107)/E107</f>
        <v>-0.43563579277864994</v>
      </c>
      <c r="H114" s="61">
        <f t="shared" ref="H114:H116" si="64">(F114-F107)/F107</f>
        <v>-0.3459516298633018</v>
      </c>
      <c r="I114" s="1">
        <f>I112+E114</f>
        <v>14916</v>
      </c>
      <c r="J114" s="1">
        <f>J112+F114</f>
        <v>11494</v>
      </c>
      <c r="K114" s="1">
        <f>K113+Table6[[#This Row],[Calls Off]]</f>
        <v>85899</v>
      </c>
      <c r="L114" s="1">
        <f>L113+Table6[[#This Row],[Calls Ans]]</f>
        <v>73184</v>
      </c>
      <c r="M114" s="17">
        <v>0.71</v>
      </c>
      <c r="N114" s="17">
        <v>0.13</v>
      </c>
      <c r="O114" s="17">
        <v>0.87</v>
      </c>
      <c r="P114" s="17">
        <v>0.56000000000000005</v>
      </c>
      <c r="Q114" s="148"/>
      <c r="R114" s="39">
        <v>317</v>
      </c>
      <c r="S114" s="150">
        <v>5.486111111111111E-2</v>
      </c>
      <c r="T114" s="1">
        <v>13</v>
      </c>
      <c r="U114" s="363" t="str">
        <f t="shared" si="53"/>
        <v>Outlier</v>
      </c>
      <c r="V114" s="363" t="str">
        <f t="shared" si="54"/>
        <v>Outlier</v>
      </c>
      <c r="W114" s="77">
        <f t="shared" si="38"/>
        <v>2.7235622912365934E-2</v>
      </c>
      <c r="X114" s="398">
        <f t="shared" si="39"/>
        <v>0.14911975585572834</v>
      </c>
    </row>
    <row r="115" spans="1:24">
      <c r="A115" s="396">
        <v>45496</v>
      </c>
      <c r="B115" s="385">
        <f>IF(YEAR(Table6[[#This Row],[Date]]) = 2024, WEEKNUM(Table6[[#This Row],[Date]])-13, WEEKNUM(Table6[[#This Row],[Date]])+40)</f>
        <v>17</v>
      </c>
      <c r="C115" s="1" t="s">
        <v>49</v>
      </c>
      <c r="D115" s="296" t="s">
        <v>48</v>
      </c>
      <c r="E115" s="1">
        <v>771</v>
      </c>
      <c r="F115" s="1">
        <v>642</v>
      </c>
      <c r="G115" s="61">
        <f t="shared" si="63"/>
        <v>-0.22900000000000001</v>
      </c>
      <c r="H115" s="61">
        <f t="shared" si="64"/>
        <v>-0.17586649550706032</v>
      </c>
      <c r="I115" s="1">
        <f t="shared" ref="I115:J119" si="65">I114+E115</f>
        <v>15687</v>
      </c>
      <c r="J115" s="1">
        <f t="shared" si="65"/>
        <v>12136</v>
      </c>
      <c r="K115" s="1">
        <f>K114+Table6[[#This Row],[Calls Off]]</f>
        <v>86670</v>
      </c>
      <c r="L115" s="1">
        <f>L114+Table6[[#This Row],[Calls Ans]]</f>
        <v>73826</v>
      </c>
      <c r="M115" s="17">
        <v>0.62</v>
      </c>
      <c r="N115" s="17">
        <v>0.17</v>
      </c>
      <c r="O115" s="17">
        <v>0.83</v>
      </c>
      <c r="P115" s="17">
        <v>0.56999999999999995</v>
      </c>
      <c r="Q115" s="148"/>
      <c r="R115" s="39">
        <v>288</v>
      </c>
      <c r="S115" s="150">
        <v>5.0694444444444452E-2</v>
      </c>
      <c r="T115" s="1">
        <v>12</v>
      </c>
      <c r="U115" s="363" t="str">
        <f t="shared" si="53"/>
        <v>Outlier</v>
      </c>
      <c r="V115" s="363" t="str">
        <f t="shared" si="54"/>
        <v>Normal</v>
      </c>
      <c r="W115" s="77">
        <f t="shared" si="38"/>
        <v>2.7235622912365934E-2</v>
      </c>
      <c r="X115" s="398">
        <f t="shared" si="39"/>
        <v>-0.17586649550706032</v>
      </c>
    </row>
    <row r="116" spans="1:24">
      <c r="A116" s="396">
        <v>45497</v>
      </c>
      <c r="B116" s="385">
        <f>IF(YEAR(Table6[[#This Row],[Date]]) = 2024, WEEKNUM(Table6[[#This Row],[Date]])-13, WEEKNUM(Table6[[#This Row],[Date]])+40)</f>
        <v>17</v>
      </c>
      <c r="C116" s="1" t="s">
        <v>50</v>
      </c>
      <c r="D116" s="296" t="s">
        <v>48</v>
      </c>
      <c r="E116" s="1">
        <v>795</v>
      </c>
      <c r="F116" s="1">
        <v>619</v>
      </c>
      <c r="G116" s="61">
        <f t="shared" si="63"/>
        <v>-0.19452887537993921</v>
      </c>
      <c r="H116" s="61">
        <f t="shared" si="64"/>
        <v>-0.2376847290640394</v>
      </c>
      <c r="I116" s="1">
        <f t="shared" si="65"/>
        <v>16482</v>
      </c>
      <c r="J116" s="1">
        <f t="shared" si="65"/>
        <v>12755</v>
      </c>
      <c r="K116" s="1">
        <f>K115+Table6[[#This Row],[Calls Off]]</f>
        <v>87465</v>
      </c>
      <c r="L116" s="1">
        <f>L115+Table6[[#This Row],[Calls Ans]]</f>
        <v>74445</v>
      </c>
      <c r="M116" s="17">
        <v>0.52</v>
      </c>
      <c r="N116" s="17">
        <v>0.22</v>
      </c>
      <c r="O116" s="17">
        <v>0.78</v>
      </c>
      <c r="P116" s="17">
        <v>0.57999999999999996</v>
      </c>
      <c r="Q116" s="148"/>
      <c r="R116" s="39">
        <v>303</v>
      </c>
      <c r="S116" s="150">
        <v>8.1944444444444445E-2</v>
      </c>
      <c r="T116" s="1">
        <v>12</v>
      </c>
      <c r="U116" s="363" t="str">
        <f t="shared" si="53"/>
        <v>Normal</v>
      </c>
      <c r="V116" s="363" t="str">
        <f t="shared" si="54"/>
        <v>Outlier</v>
      </c>
      <c r="W116" s="77">
        <f t="shared" si="38"/>
        <v>-0.19452887537993921</v>
      </c>
      <c r="X116" s="398">
        <f t="shared" si="39"/>
        <v>0.14911975585572834</v>
      </c>
    </row>
    <row r="117" spans="1:24">
      <c r="A117" s="396">
        <v>45498</v>
      </c>
      <c r="B117" s="385">
        <f>IF(YEAR(Table6[[#This Row],[Date]]) = 2024, WEEKNUM(Table6[[#This Row],[Date]])-13, WEEKNUM(Table6[[#This Row],[Date]])+40)</f>
        <v>17</v>
      </c>
      <c r="C117" s="1" t="s">
        <v>51</v>
      </c>
      <c r="D117" s="296" t="s">
        <v>48</v>
      </c>
      <c r="E117" s="1">
        <v>1054</v>
      </c>
      <c r="F117" s="1">
        <v>857</v>
      </c>
      <c r="G117" s="61">
        <f t="shared" ref="G117:G119" si="66">(E117-E110)/E110</f>
        <v>7.9918032786885251E-2</v>
      </c>
      <c r="H117" s="61">
        <f t="shared" ref="H117:H119" si="67">(F117-F110)/F110</f>
        <v>0.12614980289093297</v>
      </c>
      <c r="I117" s="1">
        <f t="shared" si="65"/>
        <v>17536</v>
      </c>
      <c r="J117" s="1">
        <f t="shared" si="65"/>
        <v>13612</v>
      </c>
      <c r="K117" s="1">
        <f>K116+Table6[[#This Row],[Calls Off]]</f>
        <v>88519</v>
      </c>
      <c r="L117" s="1">
        <f>L116+Table6[[#This Row],[Calls Ans]]</f>
        <v>75302</v>
      </c>
      <c r="M117" s="17">
        <v>0.49</v>
      </c>
      <c r="N117" s="17">
        <v>0.19</v>
      </c>
      <c r="O117" s="17">
        <v>0.73</v>
      </c>
      <c r="P117" s="17">
        <v>0.73</v>
      </c>
      <c r="Q117" s="148"/>
      <c r="R117" s="39">
        <v>199</v>
      </c>
      <c r="S117" s="150">
        <v>6.458333333333334E-2</v>
      </c>
      <c r="T117" s="1">
        <v>13</v>
      </c>
      <c r="U117" s="363" t="str">
        <f t="shared" si="53"/>
        <v>Normal</v>
      </c>
      <c r="V117" s="363" t="str">
        <f t="shared" si="54"/>
        <v>Normal</v>
      </c>
      <c r="W117" s="77">
        <f t="shared" si="38"/>
        <v>7.9918032786885251E-2</v>
      </c>
      <c r="X117" s="398">
        <f t="shared" si="39"/>
        <v>0.12614980289093297</v>
      </c>
    </row>
    <row r="118" spans="1:24">
      <c r="A118" s="396">
        <v>45499</v>
      </c>
      <c r="B118" s="385">
        <f>IF(YEAR(Table6[[#This Row],[Date]]) = 2024, WEEKNUM(Table6[[#This Row],[Date]])-13, WEEKNUM(Table6[[#This Row],[Date]])+40)</f>
        <v>17</v>
      </c>
      <c r="C118" s="1" t="s">
        <v>52</v>
      </c>
      <c r="D118" s="296" t="s">
        <v>48</v>
      </c>
      <c r="E118" s="1">
        <v>1085</v>
      </c>
      <c r="F118" s="1">
        <v>734</v>
      </c>
      <c r="G118" s="61">
        <f t="shared" si="66"/>
        <v>0.20689655172413793</v>
      </c>
      <c r="H118" s="61">
        <f t="shared" si="67"/>
        <v>-3.4210526315789476E-2</v>
      </c>
      <c r="I118" s="1">
        <f t="shared" si="65"/>
        <v>18621</v>
      </c>
      <c r="J118" s="1">
        <f t="shared" si="65"/>
        <v>14346</v>
      </c>
      <c r="K118" s="1">
        <f>K117+Table6[[#This Row],[Calls Off]]</f>
        <v>89604</v>
      </c>
      <c r="L118" s="1">
        <f>L117+Table6[[#This Row],[Calls Ans]]</f>
        <v>76036</v>
      </c>
      <c r="M118" s="17">
        <v>0.21</v>
      </c>
      <c r="N118" s="17">
        <v>0.32</v>
      </c>
      <c r="O118" s="17">
        <v>0.68</v>
      </c>
      <c r="P118" s="17">
        <v>0.61</v>
      </c>
      <c r="Q118" s="148"/>
      <c r="R118" s="39">
        <v>313</v>
      </c>
      <c r="S118" s="150">
        <v>0.1111111111111111</v>
      </c>
      <c r="T118" s="1">
        <v>14</v>
      </c>
      <c r="U118" s="363" t="str">
        <f t="shared" si="53"/>
        <v>Normal</v>
      </c>
      <c r="V118" s="363" t="str">
        <f t="shared" si="54"/>
        <v>Normal</v>
      </c>
      <c r="W118" s="77">
        <f t="shared" si="38"/>
        <v>0.20689655172413793</v>
      </c>
      <c r="X118" s="398">
        <f t="shared" si="39"/>
        <v>-3.4210526315789476E-2</v>
      </c>
    </row>
    <row r="119" spans="1:24">
      <c r="A119" s="396">
        <v>45500</v>
      </c>
      <c r="B119" s="385">
        <f>IF(YEAR(Table6[[#This Row],[Date]]) = 2024, WEEKNUM(Table6[[#This Row],[Date]])-13, WEEKNUM(Table6[[#This Row],[Date]])+40)</f>
        <v>17</v>
      </c>
      <c r="C119" s="1" t="s">
        <v>53</v>
      </c>
      <c r="D119" s="296" t="s">
        <v>48</v>
      </c>
      <c r="E119" s="1">
        <v>998</v>
      </c>
      <c r="F119" s="1">
        <v>564</v>
      </c>
      <c r="G119" s="61">
        <f t="shared" si="66"/>
        <v>0.44637681159420289</v>
      </c>
      <c r="H119" s="61">
        <f t="shared" si="67"/>
        <v>-9.9041533546325874E-2</v>
      </c>
      <c r="I119" s="1">
        <f t="shared" si="65"/>
        <v>19619</v>
      </c>
      <c r="J119" s="1">
        <f t="shared" si="65"/>
        <v>14910</v>
      </c>
      <c r="K119" s="1">
        <f>K118+Table6[[#This Row],[Calls Off]]</f>
        <v>90602</v>
      </c>
      <c r="L119" s="1">
        <f>L118+Table6[[#This Row],[Calls Ans]]</f>
        <v>76600</v>
      </c>
      <c r="M119" s="17">
        <v>0.11</v>
      </c>
      <c r="N119" s="17">
        <v>0.43</v>
      </c>
      <c r="O119" s="17">
        <v>0.56999999999999995</v>
      </c>
      <c r="P119" s="17">
        <v>0.87</v>
      </c>
      <c r="Q119" s="148"/>
      <c r="R119" s="39">
        <v>293</v>
      </c>
      <c r="S119" s="150">
        <v>0.17083333333333331</v>
      </c>
      <c r="T119" s="1">
        <v>7</v>
      </c>
      <c r="U119" s="363" t="str">
        <f t="shared" si="53"/>
        <v>Outlier</v>
      </c>
      <c r="V119" s="363" t="str">
        <f t="shared" si="54"/>
        <v>Normal</v>
      </c>
      <c r="W119" s="77">
        <f t="shared" si="38"/>
        <v>2.7235622912365934E-2</v>
      </c>
      <c r="X119" s="398">
        <f t="shared" si="39"/>
        <v>-9.9041533546325874E-2</v>
      </c>
    </row>
    <row r="120" spans="1:24">
      <c r="A120" s="396">
        <v>45501</v>
      </c>
      <c r="B120" s="385">
        <f>IF(YEAR(Table6[[#This Row],[Date]]) = 2024, WEEKNUM(Table6[[#This Row],[Date]])-13, WEEKNUM(Table6[[#This Row],[Date]])+40)</f>
        <v>18</v>
      </c>
      <c r="C120" s="1" t="s">
        <v>54</v>
      </c>
      <c r="D120" s="296" t="s">
        <v>48</v>
      </c>
      <c r="E120" s="1">
        <v>0</v>
      </c>
      <c r="F120" s="1">
        <v>0</v>
      </c>
      <c r="G120" s="61">
        <v>0</v>
      </c>
      <c r="H120" s="61">
        <v>0</v>
      </c>
      <c r="I120" s="1">
        <v>0</v>
      </c>
      <c r="J120" s="1">
        <v>0</v>
      </c>
      <c r="K120" s="1">
        <f>K119+Table6[[#This Row],[Calls Off]]</f>
        <v>90602</v>
      </c>
      <c r="L120" s="1">
        <f>L119+Table6[[#This Row],[Calls Ans]]</f>
        <v>76600</v>
      </c>
      <c r="M120" s="17">
        <v>0</v>
      </c>
      <c r="N120" s="17">
        <v>0</v>
      </c>
      <c r="O120" s="17">
        <v>0</v>
      </c>
      <c r="P120" s="17">
        <v>0</v>
      </c>
      <c r="Q120" s="148"/>
      <c r="R120" s="39">
        <v>0</v>
      </c>
      <c r="S120" s="149">
        <v>0</v>
      </c>
      <c r="T120" s="1">
        <v>0</v>
      </c>
      <c r="U120" s="363" t="str">
        <f t="shared" si="53"/>
        <v>Normal</v>
      </c>
      <c r="V120" s="363" t="str">
        <f t="shared" si="54"/>
        <v>Normal</v>
      </c>
      <c r="W120" s="77">
        <f t="shared" si="38"/>
        <v>0</v>
      </c>
      <c r="X120" s="398">
        <f t="shared" si="39"/>
        <v>0</v>
      </c>
    </row>
    <row r="121" spans="1:24">
      <c r="A121" s="396">
        <v>45502</v>
      </c>
      <c r="B121" s="385">
        <f>IF(YEAR(Table6[[#This Row],[Date]]) = 2024, WEEKNUM(Table6[[#This Row],[Date]])-13, WEEKNUM(Table6[[#This Row],[Date]])+40)</f>
        <v>18</v>
      </c>
      <c r="C121" s="1" t="s">
        <v>55</v>
      </c>
      <c r="D121" s="296" t="s">
        <v>48</v>
      </c>
      <c r="E121" s="1">
        <v>1196</v>
      </c>
      <c r="F121" s="1">
        <v>943</v>
      </c>
      <c r="G121" s="61">
        <f t="shared" ref="G121:G123" si="68">(E121-E114)/E114</f>
        <v>0.66342141863699577</v>
      </c>
      <c r="H121" s="61">
        <f t="shared" ref="H121:H123" si="69">(F121-F114)/F114</f>
        <v>0.51607717041800638</v>
      </c>
      <c r="I121" s="1">
        <f>I119+E121</f>
        <v>20815</v>
      </c>
      <c r="J121" s="1">
        <f>J119+F121</f>
        <v>15853</v>
      </c>
      <c r="K121" s="1">
        <f>K120+Table6[[#This Row],[Calls Off]]</f>
        <v>91798</v>
      </c>
      <c r="L121" s="1">
        <f>L120+Table6[[#This Row],[Calls Ans]]</f>
        <v>77543</v>
      </c>
      <c r="M121" s="17">
        <v>0.39</v>
      </c>
      <c r="N121" s="17">
        <v>0.21</v>
      </c>
      <c r="O121" s="17">
        <v>0.79</v>
      </c>
      <c r="P121" s="17">
        <v>0.74</v>
      </c>
      <c r="Q121" s="148"/>
      <c r="R121" s="39">
        <v>319</v>
      </c>
      <c r="S121" s="149">
        <v>7.3611111111111113E-2</v>
      </c>
      <c r="T121" s="1">
        <v>15</v>
      </c>
      <c r="U121" s="363" t="str">
        <f t="shared" si="53"/>
        <v>Outlier</v>
      </c>
      <c r="V121" s="363" t="str">
        <f t="shared" si="54"/>
        <v>Outlier</v>
      </c>
      <c r="W121" s="77">
        <f t="shared" si="38"/>
        <v>2.7235622912365934E-2</v>
      </c>
      <c r="X121" s="398">
        <f t="shared" si="39"/>
        <v>0.14911975585572834</v>
      </c>
    </row>
    <row r="122" spans="1:24">
      <c r="A122" s="396">
        <v>45503</v>
      </c>
      <c r="B122" s="385">
        <f>IF(YEAR(Table6[[#This Row],[Date]]) = 2024, WEEKNUM(Table6[[#This Row],[Date]])-13, WEEKNUM(Table6[[#This Row],[Date]])+40)</f>
        <v>18</v>
      </c>
      <c r="C122" s="1" t="s">
        <v>49</v>
      </c>
      <c r="D122" s="296" t="s">
        <v>48</v>
      </c>
      <c r="E122" s="1">
        <v>1242</v>
      </c>
      <c r="F122" s="1">
        <v>798</v>
      </c>
      <c r="G122" s="61">
        <f t="shared" si="68"/>
        <v>0.6108949416342413</v>
      </c>
      <c r="H122" s="61">
        <f t="shared" si="69"/>
        <v>0.24299065420560748</v>
      </c>
      <c r="I122" s="1">
        <f>I121+E122</f>
        <v>22057</v>
      </c>
      <c r="J122" s="1">
        <f>J121+F122</f>
        <v>16651</v>
      </c>
      <c r="K122" s="1">
        <f>K121+Table6[[#This Row],[Calls Off]]</f>
        <v>93040</v>
      </c>
      <c r="L122" s="1">
        <f>L121+Table6[[#This Row],[Calls Ans]]</f>
        <v>78341</v>
      </c>
      <c r="M122" s="17">
        <v>0.16</v>
      </c>
      <c r="N122" s="17">
        <v>0.36</v>
      </c>
      <c r="O122" s="17">
        <v>0.64</v>
      </c>
      <c r="P122" s="17">
        <v>0.81</v>
      </c>
      <c r="Q122" s="148"/>
      <c r="R122" s="39">
        <v>358</v>
      </c>
      <c r="S122" s="149">
        <v>0.13819444444444443</v>
      </c>
      <c r="T122" s="1">
        <v>13</v>
      </c>
      <c r="U122" s="363" t="str">
        <f t="shared" si="53"/>
        <v>Outlier</v>
      </c>
      <c r="V122" s="363" t="str">
        <f t="shared" si="54"/>
        <v>Outlier</v>
      </c>
      <c r="W122" s="77">
        <f t="shared" si="38"/>
        <v>2.7235622912365934E-2</v>
      </c>
      <c r="X122" s="398">
        <f t="shared" si="39"/>
        <v>0.14911975585572834</v>
      </c>
    </row>
    <row r="123" spans="1:24">
      <c r="A123" s="396">
        <v>45504</v>
      </c>
      <c r="B123" s="385">
        <f>IF(YEAR(Table6[[#This Row],[Date]]) = 2024, WEEKNUM(Table6[[#This Row],[Date]])-13, WEEKNUM(Table6[[#This Row],[Date]])+40)</f>
        <v>18</v>
      </c>
      <c r="C123" s="1" t="s">
        <v>50</v>
      </c>
      <c r="D123" s="296" t="s">
        <v>48</v>
      </c>
      <c r="E123" s="1">
        <v>1344</v>
      </c>
      <c r="F123" s="1">
        <v>525</v>
      </c>
      <c r="G123" s="61">
        <f t="shared" si="68"/>
        <v>0.69056603773584901</v>
      </c>
      <c r="H123" s="61">
        <f t="shared" si="69"/>
        <v>-0.15185783521809371</v>
      </c>
      <c r="I123" s="1">
        <f>I122+E123</f>
        <v>23401</v>
      </c>
      <c r="J123" s="1">
        <f>J122+F123</f>
        <v>17176</v>
      </c>
      <c r="K123" s="1">
        <f>K122+Table6[[#This Row],[Calls Off]]</f>
        <v>94384</v>
      </c>
      <c r="L123" s="1">
        <f>L122+Table6[[#This Row],[Calls Ans]]</f>
        <v>78866</v>
      </c>
      <c r="M123" s="17">
        <v>0.01</v>
      </c>
      <c r="N123" s="17">
        <v>0.61</v>
      </c>
      <c r="O123" s="17">
        <v>0.39</v>
      </c>
      <c r="P123" s="17">
        <v>0.68</v>
      </c>
      <c r="Q123" s="148"/>
      <c r="R123" s="39">
        <v>314</v>
      </c>
      <c r="S123" s="150">
        <v>0.28750000000000003</v>
      </c>
      <c r="T123" s="1">
        <v>9</v>
      </c>
      <c r="U123" s="363" t="str">
        <f t="shared" si="53"/>
        <v>Outlier</v>
      </c>
      <c r="V123" s="363" t="str">
        <f t="shared" si="54"/>
        <v>Normal</v>
      </c>
      <c r="W123" s="77">
        <f t="shared" si="38"/>
        <v>2.7235622912365934E-2</v>
      </c>
      <c r="X123" s="398">
        <f t="shared" si="39"/>
        <v>-0.15185783521809371</v>
      </c>
    </row>
    <row r="124" spans="1:24">
      <c r="A124" s="396">
        <v>45505</v>
      </c>
      <c r="B124" s="385">
        <f>IF(YEAR(Table6[[#This Row],[Date]]) = 2024, WEEKNUM(Table6[[#This Row],[Date]])-13, WEEKNUM(Table6[[#This Row],[Date]])+40)</f>
        <v>18</v>
      </c>
      <c r="C124" s="47" t="s">
        <v>47</v>
      </c>
      <c r="D124" s="296" t="s">
        <v>48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f>K123+Table6[[#This Row],[Calls Off]]</f>
        <v>94384</v>
      </c>
      <c r="L124" s="47">
        <f>L123+Table6[[#This Row],[Calls Ans]]</f>
        <v>78866</v>
      </c>
      <c r="M124" s="48">
        <v>0</v>
      </c>
      <c r="N124" s="48">
        <v>0</v>
      </c>
      <c r="O124" s="48">
        <v>0</v>
      </c>
      <c r="P124" s="48">
        <v>0</v>
      </c>
      <c r="Q124" s="148"/>
      <c r="R124" s="39">
        <v>0</v>
      </c>
      <c r="S124" s="153">
        <v>0</v>
      </c>
      <c r="T124" s="1">
        <v>0</v>
      </c>
      <c r="U124" s="363" t="str">
        <f t="shared" ref="U124" si="70">IF(OR(G124&lt;$AA$5,G124&gt;$AB$5), "Outlier", "Normal")</f>
        <v>Normal</v>
      </c>
      <c r="V124" s="363" t="str">
        <f t="shared" ref="V124" si="71">IF(OR(H124&lt;$AA$5,H124&gt;$AB$5), "Outlier", "Normal")</f>
        <v>Normal</v>
      </c>
      <c r="W124" s="77">
        <f t="shared" ref="W124" si="72">IF(U124="Normal",$G124,$AA$9)</f>
        <v>0</v>
      </c>
      <c r="X124" s="398">
        <f t="shared" ref="X124" si="73">IF(V124="Normal",$H124,$AE$9)</f>
        <v>0</v>
      </c>
    </row>
    <row r="125" spans="1:24">
      <c r="A125" s="396">
        <v>45506</v>
      </c>
      <c r="B125" s="385">
        <f>IF(YEAR(Table6[[#This Row],[Date]]) = 2024, WEEKNUM(Table6[[#This Row],[Date]])-13, WEEKNUM(Table6[[#This Row],[Date]])+40)</f>
        <v>18</v>
      </c>
      <c r="C125" s="1" t="s">
        <v>52</v>
      </c>
      <c r="D125" s="296" t="s">
        <v>48</v>
      </c>
      <c r="E125" s="1">
        <v>1185</v>
      </c>
      <c r="F125" s="1">
        <v>603</v>
      </c>
      <c r="G125" s="61">
        <f t="shared" ref="G125:G126" si="74">(E125-E118)/E118</f>
        <v>9.2165898617511524E-2</v>
      </c>
      <c r="H125" s="61">
        <f t="shared" ref="H125:H126" si="75">(F125-F118)/F118</f>
        <v>-0.17847411444141689</v>
      </c>
      <c r="I125" s="1">
        <f>Table6[[#This Row],[Calls Off]]</f>
        <v>1185</v>
      </c>
      <c r="J125" s="1">
        <f>Table6[[#This Row],[Calls Ans]]</f>
        <v>603</v>
      </c>
      <c r="K125" s="1">
        <f>K124+Table6[[#This Row],[Calls Off]]</f>
        <v>95569</v>
      </c>
      <c r="L125" s="1">
        <f>L124+Table6[[#This Row],[Calls Ans]]</f>
        <v>79469</v>
      </c>
      <c r="M125" s="17">
        <v>0.1</v>
      </c>
      <c r="N125" s="17">
        <v>0.49</v>
      </c>
      <c r="O125" s="17">
        <v>0.51</v>
      </c>
      <c r="P125" s="17">
        <v>0.7</v>
      </c>
      <c r="Q125" s="148"/>
      <c r="R125" s="39">
        <v>344</v>
      </c>
      <c r="S125" s="150">
        <v>0.24722222222222223</v>
      </c>
      <c r="T125" s="1">
        <v>11</v>
      </c>
      <c r="U125" s="363" t="str">
        <f t="shared" ref="U125:U135" si="76">IF(OR(G125&lt;$AA$5,G125&gt;$AB$5), "Outlier", "Normal")</f>
        <v>Normal</v>
      </c>
      <c r="V125" s="363" t="str">
        <f t="shared" ref="V125:V135" si="77">IF(OR(H125&lt;$AA$5,H125&gt;$AB$5), "Outlier", "Normal")</f>
        <v>Normal</v>
      </c>
      <c r="W125" s="77">
        <f t="shared" ref="W125:W135" si="78">IF(U125="Normal",$G125,$AA$9)</f>
        <v>9.2165898617511524E-2</v>
      </c>
      <c r="X125" s="398">
        <f t="shared" ref="X125:X135" si="79">IF(V125="Normal",$H125,$AE$9)</f>
        <v>-0.17847411444141689</v>
      </c>
    </row>
    <row r="126" spans="1:24">
      <c r="A126" s="396">
        <v>45507</v>
      </c>
      <c r="B126" s="385">
        <f>IF(YEAR(Table6[[#This Row],[Date]]) = 2024, WEEKNUM(Table6[[#This Row],[Date]])-13, WEEKNUM(Table6[[#This Row],[Date]])+40)</f>
        <v>18</v>
      </c>
      <c r="C126" s="1" t="s">
        <v>53</v>
      </c>
      <c r="D126" s="296" t="s">
        <v>48</v>
      </c>
      <c r="E126" s="1">
        <v>804</v>
      </c>
      <c r="F126" s="1">
        <v>587</v>
      </c>
      <c r="G126" s="61">
        <f t="shared" si="74"/>
        <v>-0.19438877755511022</v>
      </c>
      <c r="H126" s="61">
        <f t="shared" si="75"/>
        <v>4.0780141843971635E-2</v>
      </c>
      <c r="I126" s="1">
        <f t="shared" ref="I126" si="80">I125+E126</f>
        <v>1989</v>
      </c>
      <c r="J126" s="1">
        <f t="shared" ref="J126" si="81">J125+F126</f>
        <v>1190</v>
      </c>
      <c r="K126" s="1">
        <f>K125+Table6[[#This Row],[Calls Off]]</f>
        <v>96373</v>
      </c>
      <c r="L126" s="1">
        <f>L125+Table6[[#This Row],[Calls Ans]]</f>
        <v>80056</v>
      </c>
      <c r="M126" s="17">
        <v>0.31</v>
      </c>
      <c r="N126" s="17">
        <v>0.27</v>
      </c>
      <c r="O126" s="17">
        <v>0.73</v>
      </c>
      <c r="P126" s="17">
        <v>0.83</v>
      </c>
      <c r="Q126" s="148"/>
      <c r="R126" s="39">
        <v>344</v>
      </c>
      <c r="S126" s="150">
        <v>8.1944444444444445E-2</v>
      </c>
      <c r="T126" s="1">
        <v>9</v>
      </c>
      <c r="U126" s="363" t="str">
        <f t="shared" si="76"/>
        <v>Normal</v>
      </c>
      <c r="V126" s="363" t="str">
        <f t="shared" si="77"/>
        <v>Normal</v>
      </c>
      <c r="W126" s="77">
        <f t="shared" si="78"/>
        <v>-0.19438877755511022</v>
      </c>
      <c r="X126" s="398">
        <f t="shared" si="79"/>
        <v>4.0780141843971635E-2</v>
      </c>
    </row>
    <row r="127" spans="1:24">
      <c r="A127" s="396">
        <v>45508</v>
      </c>
      <c r="B127" s="385">
        <f>IF(YEAR(Table6[[#This Row],[Date]]) = 2024, WEEKNUM(Table6[[#This Row],[Date]])-13, WEEKNUM(Table6[[#This Row],[Date]])+40)</f>
        <v>19</v>
      </c>
      <c r="C127" s="1" t="s">
        <v>54</v>
      </c>
      <c r="D127" s="296" t="s">
        <v>48</v>
      </c>
      <c r="E127" s="1">
        <v>0</v>
      </c>
      <c r="F127" s="1">
        <v>0</v>
      </c>
      <c r="G127" s="61">
        <v>0</v>
      </c>
      <c r="H127" s="61">
        <v>0</v>
      </c>
      <c r="I127" s="1">
        <v>0</v>
      </c>
      <c r="J127" s="1">
        <v>0</v>
      </c>
      <c r="K127" s="1">
        <f>K126+Table6[[#This Row],[Calls Off]]</f>
        <v>96373</v>
      </c>
      <c r="L127" s="1">
        <f>L126+Table6[[#This Row],[Calls Ans]]</f>
        <v>80056</v>
      </c>
      <c r="M127" s="17">
        <v>0</v>
      </c>
      <c r="N127" s="17">
        <v>0</v>
      </c>
      <c r="O127" s="17">
        <v>0</v>
      </c>
      <c r="P127" s="17">
        <v>0</v>
      </c>
      <c r="Q127" s="148"/>
      <c r="R127" s="39">
        <v>0</v>
      </c>
      <c r="S127" s="150">
        <v>0</v>
      </c>
      <c r="T127" s="1">
        <v>0</v>
      </c>
      <c r="U127" s="363" t="str">
        <f t="shared" si="76"/>
        <v>Normal</v>
      </c>
      <c r="V127" s="363" t="str">
        <f t="shared" si="77"/>
        <v>Normal</v>
      </c>
      <c r="W127" s="77">
        <f t="shared" si="78"/>
        <v>0</v>
      </c>
      <c r="X127" s="398">
        <f t="shared" si="79"/>
        <v>0</v>
      </c>
    </row>
    <row r="128" spans="1:24">
      <c r="A128" s="396">
        <v>45509</v>
      </c>
      <c r="B128" s="385">
        <f>IF(YEAR(Table6[[#This Row],[Date]]) = 2024, WEEKNUM(Table6[[#This Row],[Date]])-13, WEEKNUM(Table6[[#This Row],[Date]])+40)</f>
        <v>19</v>
      </c>
      <c r="C128" s="1" t="s">
        <v>55</v>
      </c>
      <c r="D128" s="296" t="s">
        <v>48</v>
      </c>
      <c r="E128" s="1">
        <v>1107</v>
      </c>
      <c r="F128" s="1">
        <v>836</v>
      </c>
      <c r="G128" s="61">
        <f t="shared" ref="G128" si="82">(E128-E121)/E121</f>
        <v>-7.4414715719063551E-2</v>
      </c>
      <c r="H128" s="61">
        <f t="shared" ref="H128" si="83">(F128-F121)/F121</f>
        <v>-0.11346765641569459</v>
      </c>
      <c r="I128" s="1">
        <f>I126+E128</f>
        <v>3096</v>
      </c>
      <c r="J128" s="1">
        <f>J126+F128</f>
        <v>2026</v>
      </c>
      <c r="K128" s="1">
        <f>K127+Table6[[#This Row],[Calls Off]]</f>
        <v>97480</v>
      </c>
      <c r="L128" s="1">
        <f>L127+Table6[[#This Row],[Calls Ans]]</f>
        <v>80892</v>
      </c>
      <c r="M128" s="17">
        <v>0.36</v>
      </c>
      <c r="N128" s="17">
        <v>0.24</v>
      </c>
      <c r="O128" s="17">
        <v>0.76</v>
      </c>
      <c r="P128" s="17">
        <v>0.66</v>
      </c>
      <c r="Q128" s="148"/>
      <c r="R128" s="39">
        <v>343</v>
      </c>
      <c r="S128" s="150">
        <v>9.5833333333333326E-2</v>
      </c>
      <c r="T128" s="1"/>
      <c r="U128" s="363" t="str">
        <f t="shared" si="76"/>
        <v>Normal</v>
      </c>
      <c r="V128" s="363" t="str">
        <f t="shared" si="77"/>
        <v>Normal</v>
      </c>
      <c r="W128" s="77">
        <f t="shared" si="78"/>
        <v>-7.4414715719063551E-2</v>
      </c>
      <c r="X128" s="398">
        <f t="shared" si="79"/>
        <v>-0.11346765641569459</v>
      </c>
    </row>
    <row r="129" spans="1:24">
      <c r="A129" s="396">
        <v>45510</v>
      </c>
      <c r="B129" s="385">
        <f>IF(YEAR(Table6[[#This Row],[Date]]) = 2024, WEEKNUM(Table6[[#This Row],[Date]])-13, WEEKNUM(Table6[[#This Row],[Date]])+40)</f>
        <v>19</v>
      </c>
      <c r="C129" s="1" t="s">
        <v>47</v>
      </c>
      <c r="D129" s="296" t="s">
        <v>48</v>
      </c>
      <c r="E129" s="1">
        <v>0</v>
      </c>
      <c r="F129" s="1">
        <v>0</v>
      </c>
      <c r="G129" s="61">
        <v>0</v>
      </c>
      <c r="H129" s="61">
        <v>0</v>
      </c>
      <c r="I129" s="1">
        <v>0</v>
      </c>
      <c r="J129" s="1">
        <v>0</v>
      </c>
      <c r="K129" s="1">
        <f>K128+Table6[[#This Row],[Calls Off]]</f>
        <v>97480</v>
      </c>
      <c r="L129" s="1">
        <f>L128+Table6[[#This Row],[Calls Ans]]</f>
        <v>80892</v>
      </c>
      <c r="M129" s="17">
        <v>0</v>
      </c>
      <c r="N129" s="17">
        <v>0</v>
      </c>
      <c r="O129" s="17">
        <v>0</v>
      </c>
      <c r="P129" s="17">
        <v>0</v>
      </c>
      <c r="Q129" s="148"/>
      <c r="R129" s="39">
        <v>0</v>
      </c>
      <c r="S129" s="150">
        <v>0</v>
      </c>
      <c r="T129" s="1">
        <v>0</v>
      </c>
      <c r="U129" s="363" t="str">
        <f t="shared" si="76"/>
        <v>Normal</v>
      </c>
      <c r="V129" s="363" t="str">
        <f t="shared" si="77"/>
        <v>Normal</v>
      </c>
      <c r="W129" s="77">
        <f t="shared" si="78"/>
        <v>0</v>
      </c>
      <c r="X129" s="398">
        <f t="shared" si="79"/>
        <v>0</v>
      </c>
    </row>
    <row r="130" spans="1:24">
      <c r="A130" s="396">
        <v>45511</v>
      </c>
      <c r="B130" s="385">
        <f>IF(YEAR(Table6[[#This Row],[Date]]) = 2024, WEEKNUM(Table6[[#This Row],[Date]])-13, WEEKNUM(Table6[[#This Row],[Date]])+40)</f>
        <v>19</v>
      </c>
      <c r="C130" s="1" t="s">
        <v>50</v>
      </c>
      <c r="D130" s="296" t="s">
        <v>48</v>
      </c>
      <c r="E130" s="1">
        <v>1240</v>
      </c>
      <c r="F130" s="1">
        <v>619</v>
      </c>
      <c r="G130" s="61">
        <f t="shared" ref="G130:G133" si="84">(E130-E123)/E123</f>
        <v>-7.7380952380952384E-2</v>
      </c>
      <c r="H130" s="61">
        <f t="shared" ref="H130:H133" si="85">(F130-F123)/F123</f>
        <v>0.17904761904761904</v>
      </c>
      <c r="I130" s="1">
        <f>I128+E130</f>
        <v>4336</v>
      </c>
      <c r="J130" s="1">
        <f>J128+F130</f>
        <v>2645</v>
      </c>
      <c r="K130" s="1">
        <f>K129+Table6[[#This Row],[Calls Off]]</f>
        <v>98720</v>
      </c>
      <c r="L130" s="1">
        <f>L129+Table6[[#This Row],[Calls Ans]]</f>
        <v>81511</v>
      </c>
      <c r="M130" s="17">
        <v>0.04</v>
      </c>
      <c r="N130" s="17">
        <v>0.5</v>
      </c>
      <c r="O130" s="17">
        <v>0.5</v>
      </c>
      <c r="P130" s="17">
        <v>0.8</v>
      </c>
      <c r="Q130" s="148"/>
      <c r="R130" s="39">
        <v>382</v>
      </c>
      <c r="S130" s="150">
        <v>0.23402777777777781</v>
      </c>
      <c r="T130" s="1">
        <v>11</v>
      </c>
      <c r="U130" s="363" t="str">
        <f t="shared" si="76"/>
        <v>Normal</v>
      </c>
      <c r="V130" s="363" t="str">
        <f t="shared" si="77"/>
        <v>Normal</v>
      </c>
      <c r="W130" s="77">
        <f t="shared" si="78"/>
        <v>-7.7380952380952384E-2</v>
      </c>
      <c r="X130" s="398">
        <f t="shared" si="79"/>
        <v>0.17904761904761904</v>
      </c>
    </row>
    <row r="131" spans="1:24">
      <c r="A131" s="396">
        <v>45512</v>
      </c>
      <c r="B131" s="385">
        <f>IF(YEAR(Table6[[#This Row],[Date]]) = 2024, WEEKNUM(Table6[[#This Row],[Date]])-13, WEEKNUM(Table6[[#This Row],[Date]])+40)</f>
        <v>19</v>
      </c>
      <c r="C131" s="1" t="s">
        <v>51</v>
      </c>
      <c r="D131" s="296" t="s">
        <v>48</v>
      </c>
      <c r="E131" s="1">
        <v>1018</v>
      </c>
      <c r="F131" s="1">
        <v>678</v>
      </c>
      <c r="G131" s="61">
        <v>0</v>
      </c>
      <c r="H131" s="61">
        <v>0</v>
      </c>
      <c r="I131" s="1">
        <f t="shared" ref="I131:I133" si="86">I130+E131</f>
        <v>5354</v>
      </c>
      <c r="J131" s="1">
        <f t="shared" ref="J131:J133" si="87">J130+F131</f>
        <v>3323</v>
      </c>
      <c r="K131" s="1">
        <f>K130+Table6[[#This Row],[Calls Off]]</f>
        <v>99738</v>
      </c>
      <c r="L131" s="1">
        <f>L130+Table6[[#This Row],[Calls Ans]]</f>
        <v>82189</v>
      </c>
      <c r="M131" s="17">
        <v>0.21</v>
      </c>
      <c r="N131" s="17">
        <v>0.33</v>
      </c>
      <c r="O131" s="17">
        <v>0.67</v>
      </c>
      <c r="P131" s="17">
        <v>0.68</v>
      </c>
      <c r="Q131" s="148"/>
      <c r="R131" s="39">
        <v>327</v>
      </c>
      <c r="S131" s="150">
        <v>0.12291666666666667</v>
      </c>
      <c r="T131" s="1">
        <v>12</v>
      </c>
      <c r="U131" s="363" t="str">
        <f t="shared" si="76"/>
        <v>Normal</v>
      </c>
      <c r="V131" s="363" t="str">
        <f t="shared" si="77"/>
        <v>Normal</v>
      </c>
      <c r="W131" s="77">
        <f t="shared" si="78"/>
        <v>0</v>
      </c>
      <c r="X131" s="398">
        <f t="shared" si="79"/>
        <v>0</v>
      </c>
    </row>
    <row r="132" spans="1:24">
      <c r="A132" s="396">
        <v>45513</v>
      </c>
      <c r="B132" s="385">
        <f>IF(YEAR(Table6[[#This Row],[Date]]) = 2024, WEEKNUM(Table6[[#This Row],[Date]])-13, WEEKNUM(Table6[[#This Row],[Date]])+40)</f>
        <v>19</v>
      </c>
      <c r="C132" s="1" t="s">
        <v>52</v>
      </c>
      <c r="D132" s="296" t="s">
        <v>48</v>
      </c>
      <c r="E132" s="1">
        <v>1034</v>
      </c>
      <c r="F132" s="1">
        <v>811</v>
      </c>
      <c r="G132" s="61">
        <f t="shared" si="84"/>
        <v>-0.12742616033755275</v>
      </c>
      <c r="H132" s="61">
        <f t="shared" si="85"/>
        <v>0.34494195688225537</v>
      </c>
      <c r="I132" s="1">
        <f t="shared" si="86"/>
        <v>6388</v>
      </c>
      <c r="J132" s="1">
        <f t="shared" si="87"/>
        <v>4134</v>
      </c>
      <c r="K132" s="1">
        <f>K131+Table6[[#This Row],[Calls Off]]</f>
        <v>100772</v>
      </c>
      <c r="L132" s="1">
        <f>L131+Table6[[#This Row],[Calls Ans]]</f>
        <v>83000</v>
      </c>
      <c r="M132" s="17">
        <v>0.36</v>
      </c>
      <c r="N132" s="17">
        <v>0.22</v>
      </c>
      <c r="O132" s="17">
        <v>0.78</v>
      </c>
      <c r="P132" s="17">
        <v>0.72</v>
      </c>
      <c r="Q132" s="148"/>
      <c r="R132" s="39">
        <v>313</v>
      </c>
      <c r="S132" s="150">
        <v>9.375E-2</v>
      </c>
      <c r="T132" s="1">
        <v>13</v>
      </c>
      <c r="U132" s="363" t="str">
        <f t="shared" si="76"/>
        <v>Normal</v>
      </c>
      <c r="V132" s="363" t="str">
        <f t="shared" si="77"/>
        <v>Outlier</v>
      </c>
      <c r="W132" s="77">
        <f t="shared" si="78"/>
        <v>-0.12742616033755275</v>
      </c>
      <c r="X132" s="398">
        <f t="shared" si="79"/>
        <v>0.14911975585572834</v>
      </c>
    </row>
    <row r="133" spans="1:24">
      <c r="A133" s="396">
        <v>45514</v>
      </c>
      <c r="B133" s="385">
        <f>IF(YEAR(Table6[[#This Row],[Date]]) = 2024, WEEKNUM(Table6[[#This Row],[Date]])-13, WEEKNUM(Table6[[#This Row],[Date]])+40)</f>
        <v>19</v>
      </c>
      <c r="C133" s="1" t="s">
        <v>53</v>
      </c>
      <c r="D133" s="296" t="s">
        <v>48</v>
      </c>
      <c r="E133" s="1">
        <v>767</v>
      </c>
      <c r="F133" s="1">
        <v>399</v>
      </c>
      <c r="G133" s="61">
        <f t="shared" si="84"/>
        <v>-4.6019900497512436E-2</v>
      </c>
      <c r="H133" s="61">
        <f t="shared" si="85"/>
        <v>-0.32027257240204432</v>
      </c>
      <c r="I133" s="1">
        <f t="shared" si="86"/>
        <v>7155</v>
      </c>
      <c r="J133" s="1">
        <f t="shared" si="87"/>
        <v>4533</v>
      </c>
      <c r="K133" s="1">
        <f>K132+Table6[[#This Row],[Calls Off]]</f>
        <v>101539</v>
      </c>
      <c r="L133" s="1">
        <f>L132+Table6[[#This Row],[Calls Ans]]</f>
        <v>83399</v>
      </c>
      <c r="M133" s="17">
        <v>7.0000000000000007E-2</v>
      </c>
      <c r="N133" s="17">
        <v>0.48</v>
      </c>
      <c r="O133" s="17">
        <v>0.52</v>
      </c>
      <c r="P133" s="17">
        <v>0.91</v>
      </c>
      <c r="Q133" s="148"/>
      <c r="R133" s="39">
        <v>427</v>
      </c>
      <c r="S133" s="150">
        <v>0.24097222222222223</v>
      </c>
      <c r="T133" s="1">
        <v>7</v>
      </c>
      <c r="U133" s="363" t="str">
        <f t="shared" si="76"/>
        <v>Normal</v>
      </c>
      <c r="V133" s="363" t="str">
        <f t="shared" si="77"/>
        <v>Outlier</v>
      </c>
      <c r="W133" s="77">
        <f t="shared" si="78"/>
        <v>-4.6019900497512436E-2</v>
      </c>
      <c r="X133" s="398">
        <f t="shared" si="79"/>
        <v>0.14911975585572834</v>
      </c>
    </row>
    <row r="134" spans="1:24">
      <c r="A134" s="396">
        <v>45515</v>
      </c>
      <c r="B134" s="385">
        <f>IF(YEAR(Table6[[#This Row],[Date]]) = 2024, WEEKNUM(Table6[[#This Row],[Date]])-13, WEEKNUM(Table6[[#This Row],[Date]])+40)</f>
        <v>20</v>
      </c>
      <c r="C134" s="1" t="s">
        <v>54</v>
      </c>
      <c r="D134" s="296" t="s">
        <v>48</v>
      </c>
      <c r="E134" s="1">
        <v>0</v>
      </c>
      <c r="F134" s="1">
        <v>0</v>
      </c>
      <c r="G134" s="61">
        <v>0</v>
      </c>
      <c r="H134" s="61">
        <v>0</v>
      </c>
      <c r="I134" s="1">
        <v>0</v>
      </c>
      <c r="J134" s="1">
        <v>0</v>
      </c>
      <c r="K134" s="1">
        <v>0</v>
      </c>
      <c r="L134" s="1">
        <v>0</v>
      </c>
      <c r="M134" s="17">
        <v>0</v>
      </c>
      <c r="N134" s="17">
        <v>0</v>
      </c>
      <c r="O134" s="17">
        <v>0</v>
      </c>
      <c r="P134" s="17">
        <v>0</v>
      </c>
      <c r="Q134" s="148"/>
      <c r="R134" s="39">
        <v>0</v>
      </c>
      <c r="S134" s="150">
        <v>0</v>
      </c>
      <c r="T134" s="1">
        <v>0</v>
      </c>
      <c r="U134" s="363" t="str">
        <f t="shared" si="76"/>
        <v>Normal</v>
      </c>
      <c r="V134" s="363" t="str">
        <f t="shared" si="77"/>
        <v>Normal</v>
      </c>
      <c r="W134" s="77">
        <f t="shared" si="78"/>
        <v>0</v>
      </c>
      <c r="X134" s="398">
        <f t="shared" si="79"/>
        <v>0</v>
      </c>
    </row>
    <row r="135" spans="1:24">
      <c r="A135" s="396">
        <v>45516</v>
      </c>
      <c r="B135" s="385">
        <f>IF(YEAR(Table6[[#This Row],[Date]]) = 2024, WEEKNUM(Table6[[#This Row],[Date]])-13, WEEKNUM(Table6[[#This Row],[Date]])+40)</f>
        <v>20</v>
      </c>
      <c r="C135" s="1" t="s">
        <v>55</v>
      </c>
      <c r="D135" s="296" t="s">
        <v>48</v>
      </c>
      <c r="E135" s="1"/>
      <c r="F135" s="1"/>
      <c r="G135" s="61"/>
      <c r="H135" s="61"/>
      <c r="I135" s="1"/>
      <c r="J135" s="1"/>
      <c r="K135" s="1"/>
      <c r="L135" s="1"/>
      <c r="M135" s="17"/>
      <c r="N135" s="17"/>
      <c r="O135" s="17"/>
      <c r="P135" s="17"/>
      <c r="Q135" s="148"/>
      <c r="R135" s="39"/>
      <c r="S135" s="150"/>
      <c r="T135" s="1"/>
      <c r="U135" s="363" t="str">
        <f t="shared" si="76"/>
        <v>Normal</v>
      </c>
      <c r="V135" s="363" t="str">
        <f t="shared" si="77"/>
        <v>Normal</v>
      </c>
      <c r="W135" s="77">
        <f t="shared" si="78"/>
        <v>0</v>
      </c>
      <c r="X135" s="398">
        <f t="shared" si="79"/>
        <v>0</v>
      </c>
    </row>
    <row r="136" spans="1:24">
      <c r="A136" s="396">
        <v>45517</v>
      </c>
      <c r="B136" s="383"/>
      <c r="C136" s="1" t="s">
        <v>49</v>
      </c>
      <c r="D136" s="297"/>
      <c r="E136" s="1"/>
      <c r="F136" s="1"/>
      <c r="G136" s="61"/>
      <c r="H136" s="61"/>
      <c r="I136" s="1"/>
      <c r="J136" s="1"/>
      <c r="K136" s="1"/>
      <c r="L136" s="1"/>
      <c r="M136" s="17"/>
      <c r="N136" s="17"/>
      <c r="O136" s="17"/>
      <c r="P136" s="17"/>
      <c r="Q136" s="148"/>
      <c r="R136" s="39"/>
      <c r="S136" s="150"/>
      <c r="T136" s="1"/>
      <c r="U136" s="363"/>
      <c r="V136" s="363"/>
      <c r="W136" s="77"/>
      <c r="X136" s="398"/>
    </row>
    <row r="137" spans="1:24">
      <c r="A137" s="396">
        <v>45518</v>
      </c>
      <c r="B137" s="383"/>
      <c r="C137" s="1" t="s">
        <v>50</v>
      </c>
      <c r="D137" s="297"/>
      <c r="E137" s="1"/>
      <c r="F137" s="1"/>
      <c r="G137" s="61"/>
      <c r="H137" s="61"/>
      <c r="I137" s="1"/>
      <c r="J137" s="1"/>
      <c r="K137" s="1"/>
      <c r="L137" s="1"/>
      <c r="M137" s="17"/>
      <c r="N137" s="17"/>
      <c r="O137" s="17"/>
      <c r="P137" s="17"/>
      <c r="Q137" s="148"/>
      <c r="R137" s="39"/>
      <c r="S137" s="150"/>
      <c r="T137" s="200"/>
      <c r="U137" s="363"/>
      <c r="V137" s="363"/>
      <c r="W137" s="77"/>
      <c r="X137" s="398"/>
    </row>
    <row r="138" spans="1:24">
      <c r="A138" s="396">
        <v>45519</v>
      </c>
      <c r="B138" s="383"/>
      <c r="C138" s="1" t="s">
        <v>51</v>
      </c>
      <c r="D138" s="297"/>
      <c r="E138" s="1"/>
      <c r="F138" s="1"/>
      <c r="G138" s="61"/>
      <c r="H138" s="61"/>
      <c r="I138" s="1"/>
      <c r="J138" s="1"/>
      <c r="K138" s="1"/>
      <c r="L138" s="1"/>
      <c r="M138" s="17"/>
      <c r="N138" s="17"/>
      <c r="O138" s="17"/>
      <c r="P138" s="17"/>
      <c r="Q138" s="148"/>
      <c r="R138" s="39"/>
      <c r="S138" s="150"/>
      <c r="T138" s="1"/>
      <c r="U138" s="363"/>
      <c r="V138" s="363"/>
      <c r="W138" s="77"/>
      <c r="X138" s="398"/>
    </row>
    <row r="139" spans="1:24">
      <c r="A139" s="396">
        <v>45520</v>
      </c>
      <c r="B139" s="383"/>
      <c r="C139" s="1" t="s">
        <v>52</v>
      </c>
      <c r="D139" s="297"/>
      <c r="E139" s="1"/>
      <c r="F139" s="1"/>
      <c r="G139" s="61"/>
      <c r="H139" s="61"/>
      <c r="I139" s="1"/>
      <c r="J139" s="1"/>
      <c r="K139" s="1"/>
      <c r="L139" s="1"/>
      <c r="M139" s="17"/>
      <c r="N139" s="17"/>
      <c r="O139" s="17"/>
      <c r="P139" s="17"/>
      <c r="Q139" s="148"/>
      <c r="R139" s="39"/>
      <c r="S139" s="150"/>
      <c r="T139" s="1"/>
      <c r="U139" s="363"/>
      <c r="V139" s="363"/>
      <c r="W139" s="77"/>
      <c r="X139" s="398"/>
    </row>
    <row r="140" spans="1:24">
      <c r="A140" s="396">
        <v>45521</v>
      </c>
      <c r="B140" s="383"/>
      <c r="C140" s="1" t="s">
        <v>53</v>
      </c>
      <c r="D140" s="297"/>
      <c r="E140" s="1"/>
      <c r="F140" s="1"/>
      <c r="G140" s="61"/>
      <c r="H140" s="61"/>
      <c r="I140" s="1"/>
      <c r="J140" s="1"/>
      <c r="K140" s="1"/>
      <c r="L140" s="1"/>
      <c r="M140" s="17"/>
      <c r="N140" s="17"/>
      <c r="O140" s="17"/>
      <c r="P140" s="17"/>
      <c r="Q140" s="148"/>
      <c r="R140" s="39"/>
      <c r="S140" s="150"/>
      <c r="T140" s="1"/>
      <c r="U140" s="363"/>
      <c r="V140" s="363"/>
      <c r="W140" s="77"/>
      <c r="X140" s="398"/>
    </row>
    <row r="141" spans="1:24">
      <c r="A141" s="396">
        <v>45522</v>
      </c>
      <c r="B141" s="383"/>
      <c r="C141" s="1" t="s">
        <v>54</v>
      </c>
      <c r="D141" s="297"/>
      <c r="E141" s="1"/>
      <c r="F141" s="1"/>
      <c r="G141" s="61"/>
      <c r="H141" s="61"/>
      <c r="I141" s="1"/>
      <c r="J141" s="1"/>
      <c r="K141" s="1"/>
      <c r="L141" s="1"/>
      <c r="M141" s="17"/>
      <c r="N141" s="17"/>
      <c r="O141" s="17"/>
      <c r="P141" s="17"/>
      <c r="Q141" s="148"/>
      <c r="R141" s="39"/>
      <c r="S141" s="150"/>
      <c r="T141" s="1"/>
      <c r="U141" s="363"/>
      <c r="V141" s="363"/>
      <c r="W141" s="77"/>
      <c r="X141" s="398"/>
    </row>
    <row r="142" spans="1:24">
      <c r="A142" s="396">
        <v>45523</v>
      </c>
      <c r="B142" s="383"/>
      <c r="C142" s="1" t="s">
        <v>55</v>
      </c>
      <c r="D142" s="297"/>
      <c r="E142" s="1"/>
      <c r="F142" s="1"/>
      <c r="G142" s="61"/>
      <c r="H142" s="61"/>
      <c r="I142" s="1"/>
      <c r="J142" s="1"/>
      <c r="K142" s="1"/>
      <c r="L142" s="1"/>
      <c r="M142" s="17"/>
      <c r="N142" s="17"/>
      <c r="O142" s="17"/>
      <c r="P142" s="17"/>
      <c r="Q142" s="148"/>
      <c r="R142" s="39"/>
      <c r="S142" s="150"/>
      <c r="T142" s="1"/>
      <c r="U142" s="363"/>
      <c r="V142" s="363"/>
      <c r="W142" s="77"/>
      <c r="X142" s="398"/>
    </row>
    <row r="143" spans="1:24">
      <c r="A143" s="396">
        <v>45524</v>
      </c>
      <c r="B143" s="383"/>
      <c r="C143" s="1" t="s">
        <v>49</v>
      </c>
      <c r="D143" s="297"/>
      <c r="E143" s="1"/>
      <c r="F143" s="1"/>
      <c r="G143" s="61"/>
      <c r="H143" s="61"/>
      <c r="I143" s="1"/>
      <c r="J143" s="1"/>
      <c r="K143" s="1"/>
      <c r="L143" s="1"/>
      <c r="M143" s="17"/>
      <c r="N143" s="17"/>
      <c r="O143" s="17"/>
      <c r="P143" s="17"/>
      <c r="Q143" s="148"/>
      <c r="R143" s="39"/>
      <c r="S143" s="150"/>
      <c r="T143" s="1"/>
      <c r="U143" s="363"/>
      <c r="V143" s="363"/>
      <c r="W143" s="77"/>
      <c r="X143" s="398"/>
    </row>
    <row r="144" spans="1:24">
      <c r="A144" s="396">
        <v>45525</v>
      </c>
      <c r="B144" s="383"/>
      <c r="C144" s="1" t="s">
        <v>50</v>
      </c>
      <c r="D144" s="297"/>
      <c r="E144" s="1"/>
      <c r="F144" s="1"/>
      <c r="G144" s="61"/>
      <c r="H144" s="61"/>
      <c r="I144" s="1"/>
      <c r="J144" s="1"/>
      <c r="K144" s="1"/>
      <c r="L144" s="1"/>
      <c r="M144" s="17"/>
      <c r="N144" s="17"/>
      <c r="O144" s="17"/>
      <c r="P144" s="17"/>
      <c r="Q144" s="148"/>
      <c r="R144" s="39"/>
      <c r="S144" s="150"/>
      <c r="T144" s="200"/>
      <c r="U144" s="363"/>
      <c r="V144" s="363"/>
      <c r="W144" s="77"/>
      <c r="X144" s="398"/>
    </row>
    <row r="145" spans="1:24">
      <c r="A145" s="396">
        <v>45526</v>
      </c>
      <c r="B145" s="383"/>
      <c r="C145" s="1" t="s">
        <v>51</v>
      </c>
      <c r="D145" s="297"/>
      <c r="E145" s="1"/>
      <c r="F145" s="1"/>
      <c r="G145" s="61"/>
      <c r="H145" s="61"/>
      <c r="I145" s="1"/>
      <c r="J145" s="1"/>
      <c r="K145" s="1"/>
      <c r="L145" s="1"/>
      <c r="M145" s="17"/>
      <c r="N145" s="17"/>
      <c r="O145" s="17"/>
      <c r="P145" s="17"/>
      <c r="Q145" s="148"/>
      <c r="R145" s="39"/>
      <c r="S145" s="150"/>
      <c r="T145" s="1"/>
      <c r="U145" s="363"/>
      <c r="V145" s="363"/>
      <c r="W145" s="77"/>
      <c r="X145" s="398"/>
    </row>
    <row r="146" spans="1:24">
      <c r="A146" s="396">
        <v>45527</v>
      </c>
      <c r="B146" s="383"/>
      <c r="C146" s="1" t="s">
        <v>52</v>
      </c>
      <c r="D146" s="297"/>
      <c r="E146" s="1"/>
      <c r="F146" s="1"/>
      <c r="G146" s="61"/>
      <c r="H146" s="61"/>
      <c r="I146" s="1"/>
      <c r="J146" s="1"/>
      <c r="K146" s="1"/>
      <c r="L146" s="1"/>
      <c r="M146" s="17"/>
      <c r="N146" s="17"/>
      <c r="O146" s="17"/>
      <c r="P146" s="17"/>
      <c r="Q146" s="148"/>
      <c r="R146" s="39"/>
      <c r="S146" s="150"/>
      <c r="T146" s="1"/>
      <c r="U146" s="363"/>
      <c r="V146" s="363"/>
      <c r="W146" s="77"/>
      <c r="X146" s="398"/>
    </row>
    <row r="147" spans="1:24">
      <c r="A147" s="396">
        <v>45528</v>
      </c>
      <c r="B147" s="383"/>
      <c r="C147" s="1" t="s">
        <v>53</v>
      </c>
      <c r="D147" s="297"/>
      <c r="E147" s="1"/>
      <c r="F147" s="1"/>
      <c r="G147" s="61"/>
      <c r="H147" s="61"/>
      <c r="I147" s="1"/>
      <c r="J147" s="1"/>
      <c r="K147" s="1"/>
      <c r="L147" s="1"/>
      <c r="M147" s="17"/>
      <c r="N147" s="17"/>
      <c r="O147" s="17"/>
      <c r="P147" s="17"/>
      <c r="Q147" s="148"/>
      <c r="R147" s="39"/>
      <c r="S147" s="150"/>
      <c r="T147" s="1"/>
      <c r="U147" s="363"/>
      <c r="V147" s="363"/>
      <c r="W147" s="77"/>
      <c r="X147" s="398"/>
    </row>
    <row r="148" spans="1:24">
      <c r="A148" s="396">
        <v>45529</v>
      </c>
      <c r="B148" s="383"/>
      <c r="C148" s="1" t="s">
        <v>54</v>
      </c>
      <c r="D148" s="297"/>
      <c r="E148" s="1"/>
      <c r="F148" s="1"/>
      <c r="G148" s="61"/>
      <c r="H148" s="61"/>
      <c r="I148" s="1"/>
      <c r="J148" s="1"/>
      <c r="K148" s="1"/>
      <c r="L148" s="1"/>
      <c r="M148" s="17"/>
      <c r="N148" s="17"/>
      <c r="O148" s="17"/>
      <c r="P148" s="17"/>
      <c r="Q148" s="148"/>
      <c r="R148" s="39"/>
      <c r="S148" s="150"/>
      <c r="T148" s="1"/>
      <c r="U148" s="363"/>
      <c r="V148" s="363"/>
      <c r="W148" s="77"/>
      <c r="X148" s="398"/>
    </row>
    <row r="149" spans="1:24">
      <c r="A149" s="396">
        <v>45530</v>
      </c>
      <c r="B149" s="383"/>
      <c r="C149" s="1" t="s">
        <v>55</v>
      </c>
      <c r="D149" s="297"/>
      <c r="E149" s="1"/>
      <c r="F149" s="1"/>
      <c r="G149" s="61"/>
      <c r="H149" s="61"/>
      <c r="I149" s="1"/>
      <c r="J149" s="1"/>
      <c r="K149" s="1"/>
      <c r="L149" s="1"/>
      <c r="M149" s="17"/>
      <c r="N149" s="17"/>
      <c r="O149" s="17"/>
      <c r="P149" s="17"/>
      <c r="Q149" s="148"/>
      <c r="R149" s="39"/>
      <c r="S149" s="150"/>
      <c r="T149" s="1"/>
      <c r="U149" s="363"/>
      <c r="V149" s="363"/>
      <c r="W149" s="77"/>
      <c r="X149" s="398"/>
    </row>
    <row r="150" spans="1:24">
      <c r="A150" s="396">
        <v>45531</v>
      </c>
      <c r="B150" s="383"/>
      <c r="C150" s="1" t="s">
        <v>49</v>
      </c>
      <c r="D150" s="297"/>
      <c r="E150" s="1"/>
      <c r="F150" s="1"/>
      <c r="G150" s="61"/>
      <c r="H150" s="61"/>
      <c r="I150" s="1"/>
      <c r="J150" s="1"/>
      <c r="K150" s="1"/>
      <c r="L150" s="1"/>
      <c r="M150" s="17"/>
      <c r="N150" s="17"/>
      <c r="O150" s="17"/>
      <c r="P150" s="17"/>
      <c r="Q150" s="148"/>
      <c r="R150" s="39"/>
      <c r="S150" s="150"/>
      <c r="T150" s="1"/>
      <c r="U150" s="363"/>
      <c r="V150" s="363"/>
      <c r="W150" s="77"/>
      <c r="X150" s="398"/>
    </row>
    <row r="151" spans="1:24">
      <c r="A151" s="396">
        <v>45532</v>
      </c>
      <c r="B151" s="383"/>
      <c r="C151" s="1" t="s">
        <v>50</v>
      </c>
      <c r="D151" s="297"/>
      <c r="E151" s="1"/>
      <c r="F151" s="1"/>
      <c r="G151" s="61"/>
      <c r="H151" s="61"/>
      <c r="I151" s="1"/>
      <c r="J151" s="1"/>
      <c r="K151" s="1"/>
      <c r="L151" s="1"/>
      <c r="M151" s="17"/>
      <c r="N151" s="17"/>
      <c r="O151" s="17"/>
      <c r="P151" s="17"/>
      <c r="Q151" s="148"/>
      <c r="R151" s="39"/>
      <c r="S151" s="150"/>
      <c r="T151" s="200"/>
      <c r="U151" s="363"/>
      <c r="V151" s="363"/>
      <c r="W151" s="77"/>
      <c r="X151" s="398"/>
    </row>
    <row r="152" spans="1:24">
      <c r="A152" s="396">
        <v>45533</v>
      </c>
      <c r="B152" s="383"/>
      <c r="C152" s="1" t="s">
        <v>51</v>
      </c>
      <c r="D152" s="297"/>
      <c r="E152" s="1"/>
      <c r="F152" s="1"/>
      <c r="G152" s="61"/>
      <c r="H152" s="61"/>
      <c r="I152" s="1"/>
      <c r="J152" s="1"/>
      <c r="K152" s="1"/>
      <c r="L152" s="1"/>
      <c r="M152" s="17"/>
      <c r="N152" s="17"/>
      <c r="O152" s="17"/>
      <c r="P152" s="17"/>
      <c r="Q152" s="148"/>
      <c r="R152" s="39"/>
      <c r="S152" s="150"/>
      <c r="T152" s="1"/>
      <c r="U152" s="363"/>
      <c r="V152" s="363"/>
      <c r="W152" s="77"/>
      <c r="X152" s="398"/>
    </row>
    <row r="153" spans="1:24">
      <c r="A153" s="396">
        <v>45534</v>
      </c>
      <c r="B153" s="383"/>
      <c r="C153" s="1" t="s">
        <v>52</v>
      </c>
      <c r="D153" s="297"/>
      <c r="E153" s="1"/>
      <c r="F153" s="1"/>
      <c r="G153" s="61"/>
      <c r="H153" s="61"/>
      <c r="I153" s="1"/>
      <c r="J153" s="1"/>
      <c r="K153" s="1"/>
      <c r="L153" s="1"/>
      <c r="M153" s="17"/>
      <c r="N153" s="17"/>
      <c r="O153" s="17"/>
      <c r="P153" s="17"/>
      <c r="Q153" s="148"/>
      <c r="R153" s="39"/>
      <c r="S153" s="150"/>
      <c r="T153" s="1"/>
      <c r="U153" s="363"/>
      <c r="V153" s="363"/>
      <c r="W153" s="77"/>
      <c r="X153" s="398"/>
    </row>
    <row r="154" spans="1:24">
      <c r="A154" s="396">
        <v>45535</v>
      </c>
      <c r="B154" s="383"/>
      <c r="C154" s="1" t="s">
        <v>53</v>
      </c>
      <c r="D154" s="297"/>
      <c r="E154" s="1"/>
      <c r="F154" s="1"/>
      <c r="G154" s="61"/>
      <c r="H154" s="61"/>
      <c r="I154" s="1"/>
      <c r="J154" s="1"/>
      <c r="K154" s="1"/>
      <c r="L154" s="1"/>
      <c r="M154" s="17"/>
      <c r="N154" s="17"/>
      <c r="O154" s="17"/>
      <c r="P154" s="17"/>
      <c r="Q154" s="148"/>
      <c r="R154" s="39"/>
      <c r="S154" s="150"/>
      <c r="T154" s="1"/>
      <c r="U154" s="363"/>
      <c r="V154" s="363"/>
      <c r="W154" s="77"/>
      <c r="X154" s="398"/>
    </row>
    <row r="155" spans="1:24">
      <c r="A155" s="396">
        <v>45536</v>
      </c>
      <c r="B155" s="383"/>
      <c r="C155" s="1" t="s">
        <v>54</v>
      </c>
      <c r="D155" s="297"/>
      <c r="E155" s="1"/>
      <c r="F155" s="1"/>
      <c r="G155" s="61"/>
      <c r="H155" s="61"/>
      <c r="I155" s="1"/>
      <c r="J155" s="1"/>
      <c r="K155" s="1"/>
      <c r="L155" s="1"/>
      <c r="M155" s="17"/>
      <c r="N155" s="17"/>
      <c r="O155" s="17"/>
      <c r="P155" s="17"/>
      <c r="Q155" s="148"/>
      <c r="R155" s="39"/>
      <c r="S155" s="150"/>
      <c r="T155" s="1"/>
      <c r="U155" s="363"/>
      <c r="V155" s="363"/>
      <c r="W155" s="77"/>
      <c r="X155" s="398"/>
    </row>
    <row r="156" spans="1:24">
      <c r="A156" s="396">
        <v>45537</v>
      </c>
      <c r="B156" s="383"/>
      <c r="C156" s="1" t="s">
        <v>55</v>
      </c>
      <c r="D156" s="297"/>
      <c r="E156" s="1"/>
      <c r="F156" s="1"/>
      <c r="G156" s="61"/>
      <c r="H156" s="61"/>
      <c r="I156" s="1"/>
      <c r="J156" s="1"/>
      <c r="K156" s="1"/>
      <c r="L156" s="1"/>
      <c r="M156" s="17"/>
      <c r="N156" s="17"/>
      <c r="O156" s="17"/>
      <c r="P156" s="17"/>
      <c r="Q156" s="148"/>
      <c r="R156" s="39"/>
      <c r="S156" s="150"/>
      <c r="T156" s="1"/>
      <c r="U156" s="363"/>
      <c r="V156" s="363"/>
      <c r="W156" s="77"/>
      <c r="X156" s="398"/>
    </row>
    <row r="157" spans="1:24">
      <c r="A157" s="396">
        <v>45538</v>
      </c>
      <c r="B157" s="383"/>
      <c r="C157" s="1" t="s">
        <v>49</v>
      </c>
      <c r="D157" s="297"/>
      <c r="E157" s="1"/>
      <c r="F157" s="1"/>
      <c r="G157" s="61"/>
      <c r="H157" s="61"/>
      <c r="I157" s="1"/>
      <c r="J157" s="1"/>
      <c r="K157" s="1"/>
      <c r="L157" s="1"/>
      <c r="M157" s="17"/>
      <c r="N157" s="17"/>
      <c r="O157" s="17"/>
      <c r="P157" s="17"/>
      <c r="Q157" s="148"/>
      <c r="R157" s="39"/>
      <c r="S157" s="150"/>
      <c r="T157" s="1"/>
      <c r="U157" s="363"/>
      <c r="V157" s="363"/>
      <c r="W157" s="77"/>
      <c r="X157" s="398"/>
    </row>
    <row r="158" spans="1:24">
      <c r="A158" s="396">
        <v>45539</v>
      </c>
      <c r="B158" s="383"/>
      <c r="C158" s="1" t="s">
        <v>50</v>
      </c>
      <c r="D158" s="297"/>
      <c r="E158" s="1"/>
      <c r="F158" s="1"/>
      <c r="G158" s="61"/>
      <c r="H158" s="61"/>
      <c r="I158" s="1"/>
      <c r="J158" s="1"/>
      <c r="K158" s="1"/>
      <c r="L158" s="1"/>
      <c r="M158" s="17"/>
      <c r="N158" s="17"/>
      <c r="O158" s="17"/>
      <c r="P158" s="17"/>
      <c r="Q158" s="148"/>
      <c r="R158" s="39"/>
      <c r="S158" s="150"/>
      <c r="T158" s="1"/>
      <c r="U158" s="363"/>
      <c r="V158" s="363"/>
      <c r="W158" s="77"/>
      <c r="X158" s="398"/>
    </row>
    <row r="159" spans="1:24">
      <c r="A159" s="396">
        <v>45540</v>
      </c>
      <c r="B159" s="383"/>
      <c r="C159" s="1" t="s">
        <v>51</v>
      </c>
      <c r="D159" s="297"/>
      <c r="E159" s="1"/>
      <c r="F159" s="1"/>
      <c r="G159" s="61"/>
      <c r="H159" s="61"/>
      <c r="I159" s="1"/>
      <c r="J159" s="1"/>
      <c r="K159" s="1"/>
      <c r="L159" s="1"/>
      <c r="M159" s="17"/>
      <c r="N159" s="17"/>
      <c r="O159" s="17"/>
      <c r="P159" s="17"/>
      <c r="Q159" s="148"/>
      <c r="R159" s="39"/>
      <c r="S159" s="150"/>
      <c r="T159" s="1"/>
      <c r="U159" s="363"/>
      <c r="V159" s="363"/>
      <c r="W159" s="77"/>
      <c r="X159" s="398"/>
    </row>
    <row r="160" spans="1:24">
      <c r="A160" s="396">
        <v>45541</v>
      </c>
      <c r="B160" s="383"/>
      <c r="C160" s="1" t="s">
        <v>52</v>
      </c>
      <c r="D160" s="297"/>
      <c r="E160" s="1"/>
      <c r="F160" s="1"/>
      <c r="G160" s="61"/>
      <c r="H160" s="61"/>
      <c r="I160" s="1"/>
      <c r="J160" s="1"/>
      <c r="K160" s="1"/>
      <c r="L160" s="1"/>
      <c r="M160" s="17"/>
      <c r="N160" s="17"/>
      <c r="O160" s="17"/>
      <c r="P160" s="17"/>
      <c r="Q160" s="148"/>
      <c r="R160" s="39"/>
      <c r="S160" s="150"/>
      <c r="T160" s="1"/>
      <c r="U160" s="363"/>
      <c r="V160" s="363"/>
      <c r="W160" s="77"/>
      <c r="X160" s="398"/>
    </row>
    <row r="161" spans="1:35">
      <c r="A161" s="396">
        <v>45542</v>
      </c>
      <c r="B161" s="383"/>
      <c r="C161" s="1" t="s">
        <v>53</v>
      </c>
      <c r="D161" s="297"/>
      <c r="E161" s="1"/>
      <c r="F161" s="1"/>
      <c r="G161" s="61"/>
      <c r="H161" s="61"/>
      <c r="I161" s="1"/>
      <c r="J161" s="1"/>
      <c r="K161" s="1"/>
      <c r="L161" s="1"/>
      <c r="M161" s="17"/>
      <c r="N161" s="17"/>
      <c r="O161" s="17"/>
      <c r="P161" s="17"/>
      <c r="Q161" s="148"/>
      <c r="R161" s="39"/>
      <c r="S161" s="150"/>
      <c r="T161" s="1"/>
      <c r="U161" s="363"/>
      <c r="V161" s="363"/>
      <c r="W161" s="77"/>
      <c r="X161" s="398"/>
    </row>
    <row r="162" spans="1:35">
      <c r="A162" s="396">
        <v>45543</v>
      </c>
      <c r="B162" s="383"/>
      <c r="C162" s="1" t="s">
        <v>54</v>
      </c>
      <c r="D162" s="297"/>
      <c r="E162" s="1"/>
      <c r="F162" s="1"/>
      <c r="G162" s="61"/>
      <c r="H162" s="61"/>
      <c r="I162" s="1"/>
      <c r="J162" s="1"/>
      <c r="K162" s="1"/>
      <c r="L162" s="1"/>
      <c r="M162" s="17"/>
      <c r="N162" s="17"/>
      <c r="O162" s="17"/>
      <c r="P162" s="17"/>
      <c r="Q162" s="148"/>
      <c r="R162" s="39"/>
      <c r="S162" s="150"/>
      <c r="T162" s="1"/>
      <c r="U162" s="363"/>
      <c r="V162" s="363"/>
      <c r="W162" s="77"/>
      <c r="X162" s="398"/>
    </row>
    <row r="163" spans="1:35">
      <c r="A163" s="396">
        <v>45544</v>
      </c>
      <c r="B163" s="383"/>
      <c r="C163" s="1"/>
      <c r="D163" s="297"/>
      <c r="E163" s="1"/>
      <c r="F163" s="1"/>
      <c r="G163" s="61"/>
      <c r="H163" s="61"/>
      <c r="I163" s="1"/>
      <c r="J163" s="1"/>
      <c r="K163" s="1"/>
      <c r="L163" s="1"/>
      <c r="M163" s="17"/>
      <c r="N163" s="17"/>
      <c r="O163" s="17"/>
      <c r="P163" s="17"/>
      <c r="Q163" s="148"/>
      <c r="R163" s="39"/>
      <c r="S163" s="150"/>
      <c r="T163" s="1"/>
      <c r="U163" s="363"/>
      <c r="V163" s="363"/>
      <c r="W163" s="77"/>
      <c r="X163" s="398"/>
    </row>
    <row r="164" spans="1:35">
      <c r="A164" s="396">
        <v>45545</v>
      </c>
      <c r="B164" s="383"/>
      <c r="C164" s="1"/>
      <c r="D164" s="297"/>
      <c r="E164" s="1"/>
      <c r="F164" s="1"/>
      <c r="G164" s="61"/>
      <c r="H164" s="61"/>
      <c r="I164" s="1"/>
      <c r="J164" s="1"/>
      <c r="K164" s="1"/>
      <c r="L164" s="1"/>
      <c r="M164" s="17"/>
      <c r="N164" s="17"/>
      <c r="O164" s="17"/>
      <c r="P164" s="17"/>
      <c r="Q164" s="148"/>
      <c r="R164" s="39"/>
      <c r="S164" s="150"/>
      <c r="T164" s="1"/>
      <c r="U164" s="363"/>
      <c r="V164" s="363"/>
      <c r="W164" s="77"/>
      <c r="X164" s="398"/>
    </row>
    <row r="165" spans="1:35">
      <c r="A165" s="396">
        <v>45546</v>
      </c>
      <c r="B165" s="383"/>
      <c r="C165" s="1"/>
      <c r="D165" s="297"/>
      <c r="E165" s="1"/>
      <c r="F165" s="1"/>
      <c r="G165" s="61"/>
      <c r="H165" s="61"/>
      <c r="I165" s="1"/>
      <c r="J165" s="1"/>
      <c r="K165" s="1"/>
      <c r="L165" s="1"/>
      <c r="M165" s="17"/>
      <c r="N165" s="17"/>
      <c r="O165" s="17"/>
      <c r="P165" s="17"/>
      <c r="Q165" s="148"/>
      <c r="R165" s="39"/>
      <c r="S165" s="150"/>
      <c r="T165" s="16"/>
      <c r="U165" s="363"/>
      <c r="V165" s="363"/>
      <c r="W165" s="77"/>
      <c r="X165" s="398"/>
    </row>
    <row r="166" spans="1:35">
      <c r="A166" s="396">
        <v>45547</v>
      </c>
      <c r="B166" s="383"/>
      <c r="C166" s="1"/>
      <c r="D166" s="297"/>
      <c r="E166" s="1"/>
      <c r="F166" s="1"/>
      <c r="G166" s="61"/>
      <c r="H166" s="61"/>
      <c r="I166" s="1"/>
      <c r="J166" s="1"/>
      <c r="K166" s="1"/>
      <c r="L166" s="1"/>
      <c r="M166" s="17"/>
      <c r="N166" s="17"/>
      <c r="O166" s="17"/>
      <c r="P166" s="17"/>
      <c r="Q166" s="148"/>
      <c r="R166" s="39"/>
      <c r="S166" s="150"/>
      <c r="T166" s="1"/>
      <c r="U166" s="363"/>
      <c r="V166" s="363"/>
      <c r="W166" s="77"/>
      <c r="X166" s="398"/>
    </row>
    <row r="167" spans="1:35">
      <c r="A167" s="396">
        <v>45548</v>
      </c>
      <c r="B167" s="383"/>
      <c r="C167" s="1"/>
      <c r="D167" s="297"/>
      <c r="E167" s="1"/>
      <c r="F167" s="1"/>
      <c r="G167" s="61"/>
      <c r="H167" s="61"/>
      <c r="I167" s="1"/>
      <c r="J167" s="1"/>
      <c r="K167" s="1"/>
      <c r="L167" s="1"/>
      <c r="M167" s="17"/>
      <c r="N167" s="17"/>
      <c r="O167" s="17"/>
      <c r="P167" s="17"/>
      <c r="Q167" s="148"/>
      <c r="R167" s="39"/>
      <c r="S167" s="150"/>
      <c r="T167" s="1"/>
      <c r="U167" s="363"/>
      <c r="V167" s="363"/>
      <c r="W167" s="77"/>
      <c r="X167" s="398"/>
    </row>
    <row r="168" spans="1:35">
      <c r="A168" s="396">
        <v>45549</v>
      </c>
      <c r="B168" s="383"/>
      <c r="C168" s="1"/>
      <c r="D168" s="297"/>
      <c r="E168" s="1"/>
      <c r="F168" s="1"/>
      <c r="G168" s="61"/>
      <c r="H168" s="61"/>
      <c r="I168" s="1"/>
      <c r="J168" s="1"/>
      <c r="K168" s="1"/>
      <c r="L168" s="1"/>
      <c r="M168" s="17"/>
      <c r="N168" s="17"/>
      <c r="O168" s="17"/>
      <c r="P168" s="17"/>
      <c r="Q168" s="148"/>
      <c r="R168" s="39"/>
      <c r="S168" s="150"/>
      <c r="T168" s="1"/>
      <c r="U168" s="363"/>
      <c r="V168" s="363"/>
      <c r="W168" s="77"/>
      <c r="X168" s="398"/>
      <c r="Z168" s="44"/>
    </row>
    <row r="169" spans="1:35">
      <c r="A169" s="396">
        <v>45550</v>
      </c>
      <c r="B169" s="383"/>
      <c r="C169" s="1"/>
      <c r="D169" s="297"/>
      <c r="E169" s="1"/>
      <c r="F169" s="1"/>
      <c r="G169" s="61"/>
      <c r="H169" s="61"/>
      <c r="I169" s="1"/>
      <c r="J169" s="1"/>
      <c r="K169" s="1"/>
      <c r="L169" s="1"/>
      <c r="M169" s="17"/>
      <c r="N169" s="17"/>
      <c r="O169" s="17"/>
      <c r="P169" s="17"/>
      <c r="Q169" s="148"/>
      <c r="R169" s="39"/>
      <c r="S169" s="150"/>
      <c r="T169" s="1"/>
      <c r="U169" s="363"/>
      <c r="V169" s="363"/>
      <c r="W169" s="77"/>
      <c r="X169" s="398"/>
    </row>
    <row r="170" spans="1:35">
      <c r="A170" s="396">
        <v>45551</v>
      </c>
      <c r="B170" s="383"/>
      <c r="C170" s="1"/>
      <c r="D170" s="297"/>
      <c r="E170" s="1"/>
      <c r="F170" s="1"/>
      <c r="G170" s="61"/>
      <c r="H170" s="61"/>
      <c r="I170" s="1"/>
      <c r="J170" s="1"/>
      <c r="K170" s="1"/>
      <c r="L170" s="1"/>
      <c r="M170" s="17"/>
      <c r="N170" s="17"/>
      <c r="O170" s="17"/>
      <c r="P170" s="17"/>
      <c r="Q170" s="148"/>
      <c r="R170" s="39"/>
      <c r="S170" s="150"/>
      <c r="T170" s="1"/>
      <c r="U170" s="363"/>
      <c r="V170" s="363"/>
      <c r="W170" s="77"/>
      <c r="X170" s="398"/>
    </row>
    <row r="171" spans="1:35" s="44" customFormat="1">
      <c r="A171" s="396">
        <v>45552</v>
      </c>
      <c r="B171" s="383"/>
      <c r="C171" s="1"/>
      <c r="D171" s="297"/>
      <c r="E171" s="1"/>
      <c r="F171" s="1"/>
      <c r="G171" s="61"/>
      <c r="H171" s="61"/>
      <c r="I171" s="1"/>
      <c r="J171" s="1"/>
      <c r="K171" s="1"/>
      <c r="L171" s="1"/>
      <c r="M171" s="17"/>
      <c r="N171" s="17"/>
      <c r="O171" s="17"/>
      <c r="P171" s="17"/>
      <c r="Q171" s="148"/>
      <c r="R171" s="39"/>
      <c r="S171" s="150"/>
      <c r="T171" s="1"/>
      <c r="U171" s="363"/>
      <c r="V171" s="363"/>
      <c r="W171" s="77"/>
      <c r="X171" s="398"/>
      <c r="Z171"/>
      <c r="AE171"/>
      <c r="AF171"/>
      <c r="AG171"/>
      <c r="AH171"/>
      <c r="AI171"/>
    </row>
    <row r="172" spans="1:35">
      <c r="A172" s="396">
        <v>45553</v>
      </c>
      <c r="B172" s="383"/>
      <c r="C172" s="1"/>
      <c r="D172" s="297"/>
      <c r="E172" s="1"/>
      <c r="F172" s="1"/>
      <c r="G172" s="61"/>
      <c r="H172" s="61"/>
      <c r="I172" s="1"/>
      <c r="J172" s="1"/>
      <c r="K172" s="1"/>
      <c r="L172" s="1"/>
      <c r="M172" s="17"/>
      <c r="N172" s="17"/>
      <c r="O172" s="17"/>
      <c r="P172" s="17"/>
      <c r="Q172" s="148"/>
      <c r="R172" s="39"/>
      <c r="S172" s="150"/>
      <c r="T172" s="1"/>
      <c r="U172" s="363"/>
      <c r="V172" s="363"/>
      <c r="W172" s="77"/>
      <c r="X172" s="398"/>
    </row>
    <row r="173" spans="1:35">
      <c r="A173" s="396">
        <v>45554</v>
      </c>
      <c r="B173" s="383"/>
      <c r="C173" s="1"/>
      <c r="D173" s="297"/>
      <c r="E173" s="1"/>
      <c r="F173" s="1"/>
      <c r="G173" s="61"/>
      <c r="H173" s="61"/>
      <c r="I173" s="1"/>
      <c r="J173" s="1"/>
      <c r="K173" s="1"/>
      <c r="L173" s="1"/>
      <c r="M173" s="17"/>
      <c r="N173" s="17"/>
      <c r="O173" s="17"/>
      <c r="P173" s="17"/>
      <c r="Q173" s="148"/>
      <c r="R173" s="39"/>
      <c r="S173" s="150"/>
      <c r="T173" s="1"/>
      <c r="U173" s="363"/>
      <c r="V173" s="363"/>
      <c r="W173" s="77"/>
      <c r="X173" s="398"/>
    </row>
    <row r="174" spans="1:35">
      <c r="A174" s="396">
        <v>45555</v>
      </c>
      <c r="B174" s="383"/>
      <c r="C174" s="1"/>
      <c r="D174" s="297"/>
      <c r="E174" s="1"/>
      <c r="F174" s="1"/>
      <c r="G174" s="61"/>
      <c r="H174" s="61"/>
      <c r="I174" s="1"/>
      <c r="J174" s="1"/>
      <c r="K174" s="1"/>
      <c r="L174" s="1"/>
      <c r="M174" s="17"/>
      <c r="N174" s="17"/>
      <c r="O174" s="17"/>
      <c r="P174" s="17"/>
      <c r="Q174" s="148"/>
      <c r="R174" s="39"/>
      <c r="S174" s="150"/>
      <c r="T174" s="1"/>
      <c r="U174" s="363"/>
      <c r="V174" s="363"/>
      <c r="W174" s="77"/>
      <c r="X174" s="398"/>
    </row>
    <row r="175" spans="1:35">
      <c r="A175" s="396">
        <v>45556</v>
      </c>
      <c r="B175" s="383"/>
      <c r="C175" s="1"/>
      <c r="D175" s="297"/>
      <c r="E175" s="1"/>
      <c r="F175" s="1"/>
      <c r="G175" s="61"/>
      <c r="H175" s="61"/>
      <c r="I175" s="1"/>
      <c r="J175" s="1"/>
      <c r="K175" s="1"/>
      <c r="L175" s="1"/>
      <c r="M175" s="17"/>
      <c r="N175" s="17"/>
      <c r="O175" s="17"/>
      <c r="P175" s="17"/>
      <c r="Q175" s="148"/>
      <c r="R175" s="39"/>
      <c r="S175" s="150"/>
      <c r="T175" s="1"/>
      <c r="U175" s="363"/>
      <c r="V175" s="363"/>
      <c r="W175" s="77"/>
      <c r="X175" s="398"/>
    </row>
    <row r="176" spans="1:35">
      <c r="A176" s="396">
        <v>45557</v>
      </c>
      <c r="B176" s="383"/>
      <c r="C176" s="1"/>
      <c r="D176" s="297"/>
      <c r="E176" s="1"/>
      <c r="F176" s="1"/>
      <c r="G176" s="61"/>
      <c r="H176" s="61"/>
      <c r="I176" s="1"/>
      <c r="J176" s="1"/>
      <c r="K176" s="1"/>
      <c r="L176" s="1"/>
      <c r="M176" s="17"/>
      <c r="N176" s="17"/>
      <c r="O176" s="17"/>
      <c r="P176" s="17"/>
      <c r="Q176" s="148"/>
      <c r="R176" s="39"/>
      <c r="S176" s="150"/>
      <c r="T176" s="1"/>
      <c r="U176" s="363"/>
      <c r="V176" s="363"/>
      <c r="W176" s="77"/>
      <c r="X176" s="398"/>
    </row>
    <row r="177" spans="1:35">
      <c r="A177" s="396">
        <v>45558</v>
      </c>
      <c r="B177" s="383"/>
      <c r="C177" s="1"/>
      <c r="D177" s="297"/>
      <c r="E177" s="1"/>
      <c r="F177" s="1"/>
      <c r="G177" s="61"/>
      <c r="H177" s="61"/>
      <c r="I177" s="1"/>
      <c r="J177" s="1"/>
      <c r="K177" s="1"/>
      <c r="L177" s="1"/>
      <c r="M177" s="17"/>
      <c r="N177" s="17"/>
      <c r="O177" s="17"/>
      <c r="P177" s="17"/>
      <c r="Q177" s="148"/>
      <c r="R177" s="39"/>
      <c r="S177" s="150"/>
      <c r="T177" s="1"/>
      <c r="U177" s="363"/>
      <c r="V177" s="363"/>
      <c r="W177" s="77"/>
      <c r="X177" s="398"/>
    </row>
    <row r="178" spans="1:35">
      <c r="A178" s="396">
        <v>45559</v>
      </c>
      <c r="B178" s="383"/>
      <c r="C178" s="1"/>
      <c r="D178" s="297"/>
      <c r="E178" s="1"/>
      <c r="F178" s="1"/>
      <c r="G178" s="61"/>
      <c r="H178" s="61"/>
      <c r="I178" s="1"/>
      <c r="J178" s="1"/>
      <c r="K178" s="1"/>
      <c r="L178" s="1"/>
      <c r="M178" s="17"/>
      <c r="N178" s="17"/>
      <c r="O178" s="17"/>
      <c r="P178" s="17"/>
      <c r="Q178" s="148"/>
      <c r="R178" s="39"/>
      <c r="S178" s="150"/>
      <c r="T178" s="1"/>
      <c r="U178" s="363"/>
      <c r="V178" s="363"/>
      <c r="W178" s="77"/>
      <c r="X178" s="398"/>
    </row>
    <row r="179" spans="1:35">
      <c r="A179" s="396">
        <v>45560</v>
      </c>
      <c r="B179" s="383"/>
      <c r="C179" s="1"/>
      <c r="D179" s="297"/>
      <c r="E179" s="1"/>
      <c r="F179" s="1"/>
      <c r="G179" s="61"/>
      <c r="H179" s="61"/>
      <c r="I179" s="1"/>
      <c r="J179" s="1"/>
      <c r="K179" s="1"/>
      <c r="L179" s="1"/>
      <c r="M179" s="17"/>
      <c r="N179" s="17"/>
      <c r="O179" s="17"/>
      <c r="P179" s="17"/>
      <c r="Q179" s="148"/>
      <c r="R179" s="39"/>
      <c r="S179" s="150"/>
      <c r="T179" s="1"/>
      <c r="U179" s="363"/>
      <c r="V179" s="363"/>
      <c r="W179" s="77"/>
      <c r="X179" s="398"/>
    </row>
    <row r="180" spans="1:35">
      <c r="A180" s="396">
        <v>45561</v>
      </c>
      <c r="B180" s="383"/>
      <c r="C180" s="1"/>
      <c r="D180" s="297"/>
      <c r="E180" s="1"/>
      <c r="F180" s="1"/>
      <c r="G180" s="61"/>
      <c r="H180" s="61"/>
      <c r="I180" s="1"/>
      <c r="J180" s="1"/>
      <c r="K180" s="1"/>
      <c r="L180" s="1"/>
      <c r="M180" s="17"/>
      <c r="N180" s="17"/>
      <c r="O180" s="17"/>
      <c r="P180" s="17"/>
      <c r="Q180" s="148"/>
      <c r="R180" s="39"/>
      <c r="S180" s="149"/>
      <c r="T180" s="1"/>
      <c r="U180" s="363"/>
      <c r="V180" s="363"/>
      <c r="W180" s="77"/>
      <c r="X180" s="398"/>
    </row>
    <row r="181" spans="1:35">
      <c r="A181" s="396">
        <v>45562</v>
      </c>
      <c r="B181" s="383"/>
      <c r="C181" s="1"/>
      <c r="D181" s="297"/>
      <c r="E181" s="1"/>
      <c r="F181" s="1"/>
      <c r="G181" s="61"/>
      <c r="H181" s="61"/>
      <c r="I181" s="1"/>
      <c r="J181" s="1"/>
      <c r="K181" s="1"/>
      <c r="L181" s="1"/>
      <c r="M181" s="17"/>
      <c r="N181" s="17"/>
      <c r="O181" s="17"/>
      <c r="P181" s="17"/>
      <c r="Q181" s="148"/>
      <c r="R181" s="39"/>
      <c r="S181" s="149"/>
      <c r="T181" s="1"/>
      <c r="U181" s="363"/>
      <c r="V181" s="363"/>
      <c r="W181" s="77"/>
      <c r="X181" s="398"/>
      <c r="Z181" s="45"/>
    </row>
    <row r="182" spans="1:35">
      <c r="A182" s="396">
        <v>45563</v>
      </c>
      <c r="B182" s="383"/>
      <c r="C182" s="1"/>
      <c r="D182" s="297"/>
      <c r="E182" s="1"/>
      <c r="F182" s="1"/>
      <c r="G182" s="61"/>
      <c r="H182" s="61"/>
      <c r="I182" s="1"/>
      <c r="J182" s="1"/>
      <c r="K182" s="1"/>
      <c r="L182" s="1"/>
      <c r="M182" s="17"/>
      <c r="N182" s="17"/>
      <c r="O182" s="17"/>
      <c r="P182" s="17"/>
      <c r="Q182" s="148"/>
      <c r="R182" s="39"/>
      <c r="S182" s="149"/>
      <c r="T182" s="1"/>
      <c r="U182" s="363"/>
      <c r="V182" s="363"/>
      <c r="W182" s="77"/>
      <c r="X182" s="398"/>
    </row>
    <row r="183" spans="1:35">
      <c r="A183" s="396">
        <v>45564</v>
      </c>
      <c r="B183" s="383"/>
      <c r="C183" s="1"/>
      <c r="D183" s="297"/>
      <c r="E183" s="1"/>
      <c r="F183" s="1"/>
      <c r="G183" s="61"/>
      <c r="H183" s="61"/>
      <c r="I183" s="1"/>
      <c r="J183" s="1"/>
      <c r="K183" s="1"/>
      <c r="L183" s="1"/>
      <c r="M183" s="17"/>
      <c r="N183" s="17"/>
      <c r="O183" s="17"/>
      <c r="P183" s="17"/>
      <c r="Q183" s="148"/>
      <c r="R183" s="39"/>
      <c r="S183" s="149"/>
      <c r="T183" s="1"/>
      <c r="U183" s="363"/>
      <c r="V183" s="363"/>
      <c r="W183" s="77"/>
      <c r="X183" s="398"/>
    </row>
    <row r="184" spans="1:35" s="45" customFormat="1">
      <c r="A184" s="396">
        <v>45565</v>
      </c>
      <c r="B184" s="383"/>
      <c r="C184" s="47"/>
      <c r="D184" s="297"/>
      <c r="E184" s="47"/>
      <c r="F184" s="47"/>
      <c r="G184" s="61"/>
      <c r="H184" s="61"/>
      <c r="I184" s="47"/>
      <c r="J184" s="47"/>
      <c r="K184" s="47"/>
      <c r="L184" s="47"/>
      <c r="M184" s="48"/>
      <c r="N184" s="48"/>
      <c r="O184" s="48"/>
      <c r="P184" s="48"/>
      <c r="Q184" s="148"/>
      <c r="R184" s="39"/>
      <c r="S184" s="154"/>
      <c r="T184" s="47"/>
      <c r="U184" s="363"/>
      <c r="V184" s="363"/>
      <c r="W184" s="77"/>
      <c r="X184" s="398"/>
      <c r="Z184"/>
      <c r="AE184"/>
      <c r="AF184"/>
      <c r="AG184"/>
      <c r="AH184"/>
      <c r="AI184"/>
    </row>
    <row r="185" spans="1:35">
      <c r="A185" s="396">
        <v>45566</v>
      </c>
      <c r="B185" s="383"/>
      <c r="C185" s="287"/>
      <c r="D185" s="297"/>
      <c r="E185" s="1"/>
      <c r="F185" s="1"/>
      <c r="G185" s="61"/>
      <c r="H185" s="61"/>
      <c r="I185" s="1"/>
      <c r="J185" s="1"/>
      <c r="K185" s="1"/>
      <c r="L185" s="1"/>
      <c r="M185" s="17"/>
      <c r="N185" s="17"/>
      <c r="O185" s="17"/>
      <c r="P185" s="17"/>
      <c r="Q185" s="148"/>
      <c r="R185" s="39"/>
      <c r="S185" s="149"/>
      <c r="T185" s="1"/>
      <c r="U185" s="363"/>
      <c r="V185" s="363"/>
      <c r="W185" s="77"/>
      <c r="X185" s="398"/>
    </row>
    <row r="186" spans="1:35">
      <c r="A186" s="396">
        <v>45567</v>
      </c>
      <c r="B186" s="383"/>
      <c r="C186" s="287"/>
      <c r="D186" s="297"/>
      <c r="E186" s="1"/>
      <c r="F186" s="1"/>
      <c r="G186" s="61"/>
      <c r="H186" s="61"/>
      <c r="I186" s="1"/>
      <c r="J186" s="1"/>
      <c r="K186" s="1"/>
      <c r="L186" s="1"/>
      <c r="M186" s="17"/>
      <c r="N186" s="17"/>
      <c r="O186" s="17"/>
      <c r="P186" s="17"/>
      <c r="Q186" s="148"/>
      <c r="R186" s="39"/>
      <c r="S186" s="150"/>
      <c r="T186" s="1"/>
      <c r="U186" s="363"/>
      <c r="V186" s="363"/>
      <c r="W186" s="77"/>
      <c r="X186" s="398"/>
    </row>
    <row r="187" spans="1:35">
      <c r="A187" s="396">
        <v>45568</v>
      </c>
      <c r="B187" s="383"/>
      <c r="C187" s="287"/>
      <c r="D187" s="297"/>
      <c r="E187" s="1"/>
      <c r="F187" s="1"/>
      <c r="G187" s="61"/>
      <c r="H187" s="61"/>
      <c r="I187" s="1"/>
      <c r="J187" s="1"/>
      <c r="K187" s="1"/>
      <c r="L187" s="1"/>
      <c r="M187" s="17"/>
      <c r="N187" s="17"/>
      <c r="O187" s="17"/>
      <c r="P187" s="17"/>
      <c r="Q187" s="148"/>
      <c r="R187" s="39"/>
      <c r="S187" s="149"/>
      <c r="T187" s="1"/>
      <c r="U187" s="363"/>
      <c r="V187" s="363"/>
      <c r="W187" s="77"/>
      <c r="X187" s="398"/>
    </row>
    <row r="188" spans="1:35">
      <c r="A188" s="396">
        <v>45569</v>
      </c>
      <c r="B188" s="383"/>
      <c r="C188" s="287"/>
      <c r="D188" s="297"/>
      <c r="E188" s="1"/>
      <c r="F188" s="1"/>
      <c r="G188" s="61"/>
      <c r="H188" s="61"/>
      <c r="I188" s="1"/>
      <c r="J188" s="1"/>
      <c r="K188" s="1"/>
      <c r="L188" s="1"/>
      <c r="M188" s="17"/>
      <c r="N188" s="17"/>
      <c r="O188" s="17"/>
      <c r="P188" s="17"/>
      <c r="Q188" s="148"/>
      <c r="R188" s="39"/>
      <c r="S188" s="149"/>
      <c r="T188" s="1"/>
      <c r="U188" s="363"/>
      <c r="V188" s="363"/>
      <c r="W188" s="77"/>
      <c r="X188" s="398"/>
      <c r="Y188">
        <f>SUM($E$93:$E$123)</f>
        <v>23401</v>
      </c>
    </row>
    <row r="189" spans="1:35">
      <c r="A189" s="396">
        <v>45570</v>
      </c>
      <c r="B189" s="383"/>
      <c r="C189" s="287"/>
      <c r="D189" s="297"/>
      <c r="E189" s="1"/>
      <c r="F189" s="1"/>
      <c r="G189" s="61"/>
      <c r="H189" s="61"/>
      <c r="I189" s="1"/>
      <c r="J189" s="1"/>
      <c r="K189" s="1"/>
      <c r="L189" s="1"/>
      <c r="M189" s="17"/>
      <c r="N189" s="17"/>
      <c r="O189" s="17"/>
      <c r="P189" s="17"/>
      <c r="Q189" s="148"/>
      <c r="R189" s="39"/>
      <c r="S189" s="149"/>
      <c r="T189" s="1"/>
      <c r="U189" s="363"/>
      <c r="V189" s="363"/>
      <c r="W189" s="77"/>
      <c r="X189" s="398"/>
      <c r="Y189">
        <f>SUM($F$93:$F$123)</f>
        <v>17176</v>
      </c>
    </row>
    <row r="190" spans="1:35">
      <c r="A190" s="396">
        <v>45571</v>
      </c>
      <c r="B190" s="383"/>
      <c r="C190" s="287"/>
      <c r="D190" s="297"/>
      <c r="E190" s="1"/>
      <c r="F190" s="1"/>
      <c r="G190" s="61"/>
      <c r="H190" s="61"/>
      <c r="I190" s="1"/>
      <c r="J190" s="1"/>
      <c r="K190" s="1"/>
      <c r="L190" s="1"/>
      <c r="M190" s="17"/>
      <c r="N190" s="17"/>
      <c r="O190" s="17"/>
      <c r="P190" s="17"/>
      <c r="Q190" s="148"/>
      <c r="R190" s="39"/>
      <c r="S190" s="149"/>
      <c r="T190" s="1"/>
      <c r="U190" s="363"/>
      <c r="V190" s="363"/>
      <c r="W190" s="77"/>
      <c r="X190" s="398"/>
      <c r="Y190" s="146">
        <f>AVERAGEIF($M$93:$M$123, "&lt;&gt;0")</f>
        <v>0.44076923076923075</v>
      </c>
    </row>
    <row r="191" spans="1:35">
      <c r="A191" s="396">
        <v>45572</v>
      </c>
      <c r="B191" s="383"/>
      <c r="C191" s="287"/>
      <c r="D191" s="297"/>
      <c r="E191" s="1"/>
      <c r="F191" s="1"/>
      <c r="G191" s="61"/>
      <c r="H191" s="61"/>
      <c r="I191" s="1"/>
      <c r="J191" s="1"/>
      <c r="K191" s="1"/>
      <c r="L191" s="1"/>
      <c r="M191" s="17"/>
      <c r="N191" s="17"/>
      <c r="O191" s="17"/>
      <c r="P191" s="17"/>
      <c r="Q191" s="148"/>
      <c r="R191" s="39"/>
      <c r="S191" s="149"/>
      <c r="T191" s="1"/>
      <c r="U191" s="363"/>
      <c r="V191" s="363"/>
      <c r="W191" s="77"/>
      <c r="X191" s="398"/>
      <c r="Y191" s="146">
        <f>AVERAGEIF($P$93:$P$123, "&lt;&gt;0")</f>
        <v>0.63384615384615384</v>
      </c>
    </row>
    <row r="192" spans="1:35">
      <c r="A192" s="396">
        <v>45573</v>
      </c>
      <c r="B192" s="383"/>
      <c r="C192" s="287"/>
      <c r="D192" s="297"/>
      <c r="E192" s="1"/>
      <c r="F192" s="1"/>
      <c r="G192" s="61"/>
      <c r="H192" s="61"/>
      <c r="I192" s="1"/>
      <c r="J192" s="1"/>
      <c r="K192" s="1"/>
      <c r="L192" s="1"/>
      <c r="M192" s="17"/>
      <c r="N192" s="17"/>
      <c r="O192" s="17"/>
      <c r="P192" s="17"/>
      <c r="Q192" s="148"/>
      <c r="R192" s="39"/>
      <c r="S192" s="149"/>
      <c r="T192" s="1"/>
      <c r="U192" s="363"/>
      <c r="V192" s="363"/>
      <c r="W192" s="77"/>
      <c r="X192" s="398"/>
      <c r="Y192" s="146" t="e">
        <f>AVERAGEIF($Q$93:$Q$123,"&lt;&gt;0")</f>
        <v>#DIV/0!</v>
      </c>
    </row>
    <row r="193" spans="1:35">
      <c r="A193" s="396">
        <v>45574</v>
      </c>
      <c r="B193" s="383"/>
      <c r="C193" s="287"/>
      <c r="D193" s="297"/>
      <c r="E193" s="1"/>
      <c r="F193" s="1"/>
      <c r="G193" s="61"/>
      <c r="H193" s="61"/>
      <c r="I193" s="1"/>
      <c r="J193" s="1"/>
      <c r="K193" s="1"/>
      <c r="L193" s="1"/>
      <c r="M193" s="17"/>
      <c r="N193" s="17"/>
      <c r="O193" s="17"/>
      <c r="P193" s="17"/>
      <c r="Q193" s="148"/>
      <c r="R193" s="39"/>
      <c r="S193" s="150"/>
      <c r="T193" s="1"/>
      <c r="U193" s="363"/>
      <c r="V193" s="363"/>
      <c r="W193" s="363"/>
      <c r="X193" s="398"/>
    </row>
    <row r="194" spans="1:35">
      <c r="A194" s="396">
        <v>45575</v>
      </c>
      <c r="B194" s="383"/>
      <c r="C194" s="287"/>
      <c r="D194" s="297"/>
      <c r="E194" s="1"/>
      <c r="F194" s="1"/>
      <c r="G194" s="61"/>
      <c r="H194" s="61"/>
      <c r="I194" s="1"/>
      <c r="J194" s="1"/>
      <c r="K194" s="1"/>
      <c r="L194" s="1"/>
      <c r="M194" s="17"/>
      <c r="N194" s="17"/>
      <c r="O194" s="17"/>
      <c r="P194" s="17"/>
      <c r="Q194" s="148"/>
      <c r="R194" s="39"/>
      <c r="S194" s="150"/>
      <c r="T194" s="1"/>
      <c r="U194" s="363"/>
      <c r="V194" s="363"/>
      <c r="W194" s="363"/>
      <c r="X194" s="398"/>
    </row>
    <row r="195" spans="1:35">
      <c r="A195" s="396">
        <v>45576</v>
      </c>
      <c r="B195" s="383"/>
      <c r="C195" s="287"/>
      <c r="D195" s="297"/>
      <c r="E195" s="1"/>
      <c r="F195" s="1"/>
      <c r="G195" s="61"/>
      <c r="H195" s="61"/>
      <c r="I195" s="1"/>
      <c r="J195" s="1"/>
      <c r="K195" s="1"/>
      <c r="L195" s="1"/>
      <c r="M195" s="117"/>
      <c r="N195" s="117"/>
      <c r="O195" s="117"/>
      <c r="P195" s="63"/>
      <c r="Q195" s="148"/>
      <c r="R195" s="39"/>
      <c r="S195" s="150"/>
      <c r="T195" s="1"/>
      <c r="U195" s="363"/>
      <c r="V195" s="363"/>
      <c r="W195" s="363"/>
      <c r="X195" s="398"/>
    </row>
    <row r="196" spans="1:35">
      <c r="A196" s="396">
        <v>45577</v>
      </c>
      <c r="B196" s="383"/>
      <c r="C196" s="287"/>
      <c r="D196" s="297"/>
      <c r="E196" s="1"/>
      <c r="F196" s="1"/>
      <c r="G196" s="61"/>
      <c r="H196" s="61"/>
      <c r="I196" s="1"/>
      <c r="J196" s="1"/>
      <c r="K196" s="1"/>
      <c r="L196" s="1"/>
      <c r="M196" s="17"/>
      <c r="N196" s="17"/>
      <c r="O196" s="17"/>
      <c r="P196" s="17"/>
      <c r="Q196" s="148"/>
      <c r="R196" s="39"/>
      <c r="S196" s="150"/>
      <c r="T196" s="1"/>
      <c r="U196" s="363"/>
      <c r="V196" s="363"/>
      <c r="W196" s="363"/>
      <c r="X196" s="398"/>
    </row>
    <row r="197" spans="1:35">
      <c r="A197" s="396">
        <v>45578</v>
      </c>
      <c r="B197" s="383"/>
      <c r="C197" s="287"/>
      <c r="D197" s="297"/>
      <c r="E197" s="1"/>
      <c r="F197" s="1"/>
      <c r="G197" s="61"/>
      <c r="H197" s="61"/>
      <c r="I197" s="1"/>
      <c r="J197" s="1"/>
      <c r="K197" s="1"/>
      <c r="L197" s="1"/>
      <c r="M197" s="17"/>
      <c r="N197" s="17"/>
      <c r="O197" s="17"/>
      <c r="P197" s="17"/>
      <c r="Q197" s="148"/>
      <c r="R197" s="39"/>
      <c r="S197" s="150"/>
      <c r="T197" s="1"/>
      <c r="U197" s="363"/>
      <c r="V197" s="363"/>
      <c r="W197" s="363"/>
      <c r="X197" s="398"/>
    </row>
    <row r="198" spans="1:35">
      <c r="A198" s="396">
        <v>45579</v>
      </c>
      <c r="B198" s="383"/>
      <c r="C198" s="287"/>
      <c r="D198" s="297"/>
      <c r="E198" s="1"/>
      <c r="F198" s="1"/>
      <c r="G198" s="61"/>
      <c r="H198" s="61"/>
      <c r="I198" s="1"/>
      <c r="J198" s="1"/>
      <c r="K198" s="1"/>
      <c r="L198" s="1"/>
      <c r="M198" s="17"/>
      <c r="N198" s="17"/>
      <c r="O198" s="17"/>
      <c r="P198" s="17"/>
      <c r="Q198" s="148"/>
      <c r="R198" s="39"/>
      <c r="S198" s="150"/>
      <c r="T198" s="1"/>
      <c r="U198" s="363"/>
      <c r="V198" s="363"/>
      <c r="W198" s="363"/>
      <c r="X198" s="398"/>
      <c r="Z198" s="44"/>
    </row>
    <row r="199" spans="1:35">
      <c r="A199" s="396">
        <v>45580</v>
      </c>
      <c r="B199" s="383"/>
      <c r="C199" s="287"/>
      <c r="D199" s="297"/>
      <c r="E199" s="1"/>
      <c r="F199" s="1"/>
      <c r="G199" s="61"/>
      <c r="H199" s="61"/>
      <c r="I199" s="1"/>
      <c r="J199" s="1"/>
      <c r="K199" s="1"/>
      <c r="L199" s="1"/>
      <c r="M199" s="17"/>
      <c r="N199" s="17"/>
      <c r="O199" s="17"/>
      <c r="P199" s="17"/>
      <c r="Q199" s="148"/>
      <c r="R199" s="39"/>
      <c r="S199" s="149"/>
      <c r="T199" s="1"/>
      <c r="U199" s="363"/>
      <c r="V199" s="363"/>
      <c r="W199" s="363"/>
      <c r="X199" s="398"/>
    </row>
    <row r="200" spans="1:35">
      <c r="A200" s="396">
        <v>45581</v>
      </c>
      <c r="B200" s="383"/>
      <c r="C200" s="287"/>
      <c r="D200" s="297"/>
      <c r="E200" s="1"/>
      <c r="F200" s="1"/>
      <c r="G200" s="61"/>
      <c r="H200" s="61"/>
      <c r="I200" s="1"/>
      <c r="J200" s="1"/>
      <c r="K200" s="1"/>
      <c r="L200" s="1"/>
      <c r="M200" s="17"/>
      <c r="N200" s="17"/>
      <c r="O200" s="17"/>
      <c r="P200" s="17"/>
      <c r="Q200" s="148"/>
      <c r="R200" s="39"/>
      <c r="S200" s="149"/>
      <c r="T200" s="1"/>
      <c r="U200" s="363"/>
      <c r="V200" s="363"/>
      <c r="W200" s="363"/>
      <c r="X200" s="398"/>
    </row>
    <row r="201" spans="1:35" s="44" customFormat="1">
      <c r="A201" s="396">
        <v>45582</v>
      </c>
      <c r="B201" s="383"/>
      <c r="C201" s="287"/>
      <c r="D201" s="297"/>
      <c r="E201" s="1"/>
      <c r="F201" s="1"/>
      <c r="G201" s="61"/>
      <c r="H201" s="61"/>
      <c r="I201" s="1"/>
      <c r="J201" s="1"/>
      <c r="K201" s="1"/>
      <c r="L201" s="1"/>
      <c r="M201" s="17"/>
      <c r="N201" s="17"/>
      <c r="O201" s="17"/>
      <c r="P201" s="17"/>
      <c r="Q201" s="148"/>
      <c r="R201" s="39"/>
      <c r="S201" s="150"/>
      <c r="T201" s="1"/>
      <c r="U201" s="363"/>
      <c r="V201" s="363"/>
      <c r="W201" s="363"/>
      <c r="X201" s="398"/>
      <c r="Z201"/>
      <c r="AE201"/>
      <c r="AF201"/>
      <c r="AG201"/>
      <c r="AH201"/>
      <c r="AI201"/>
    </row>
    <row r="202" spans="1:35">
      <c r="A202" s="396">
        <v>45583</v>
      </c>
      <c r="B202" s="383"/>
      <c r="C202" s="287"/>
      <c r="D202" s="297"/>
      <c r="E202" s="1"/>
      <c r="F202" s="1"/>
      <c r="G202" s="61"/>
      <c r="H202" s="61"/>
      <c r="I202" s="1"/>
      <c r="J202" s="1"/>
      <c r="K202" s="1"/>
      <c r="L202" s="1"/>
      <c r="M202" s="17"/>
      <c r="N202" s="17"/>
      <c r="O202" s="17"/>
      <c r="P202" s="17"/>
      <c r="Q202" s="148"/>
      <c r="R202" s="39"/>
      <c r="S202" s="150"/>
      <c r="T202" s="1"/>
      <c r="U202" s="363"/>
      <c r="V202" s="363"/>
      <c r="W202" s="363"/>
      <c r="X202" s="398"/>
    </row>
    <row r="203" spans="1:35">
      <c r="A203" s="396">
        <v>45584</v>
      </c>
      <c r="B203" s="383"/>
      <c r="C203" s="287"/>
      <c r="D203" s="297"/>
      <c r="E203" s="1"/>
      <c r="F203" s="1"/>
      <c r="G203" s="61"/>
      <c r="H203" s="61"/>
      <c r="I203" s="1"/>
      <c r="J203" s="1"/>
      <c r="K203" s="1"/>
      <c r="L203" s="1"/>
      <c r="M203" s="17"/>
      <c r="N203" s="17"/>
      <c r="O203" s="17"/>
      <c r="P203" s="17"/>
      <c r="Q203" s="148"/>
      <c r="R203" s="39"/>
      <c r="S203" s="150"/>
      <c r="T203" s="1"/>
      <c r="U203" s="363"/>
      <c r="V203" s="363"/>
      <c r="W203" s="363"/>
      <c r="X203" s="398"/>
    </row>
    <row r="204" spans="1:35">
      <c r="A204" s="396">
        <v>45585</v>
      </c>
      <c r="B204" s="383"/>
      <c r="C204" s="287"/>
      <c r="D204" s="297"/>
      <c r="E204" s="1"/>
      <c r="F204" s="1"/>
      <c r="G204" s="61"/>
      <c r="H204" s="61"/>
      <c r="I204" s="1"/>
      <c r="J204" s="1"/>
      <c r="K204" s="1"/>
      <c r="L204" s="1"/>
      <c r="M204" s="17"/>
      <c r="N204" s="17"/>
      <c r="O204" s="17"/>
      <c r="P204" s="17"/>
      <c r="Q204" s="148"/>
      <c r="R204" s="39"/>
      <c r="S204" s="150"/>
      <c r="T204" s="1"/>
      <c r="U204" s="363"/>
      <c r="V204" s="363"/>
      <c r="W204" s="363"/>
      <c r="X204" s="398"/>
    </row>
    <row r="205" spans="1:35">
      <c r="A205" s="396">
        <v>45586</v>
      </c>
      <c r="B205" s="383"/>
      <c r="C205" s="287"/>
      <c r="D205" s="297"/>
      <c r="E205" s="1"/>
      <c r="F205" s="1"/>
      <c r="G205" s="61"/>
      <c r="H205" s="61"/>
      <c r="I205" s="1"/>
      <c r="J205" s="1"/>
      <c r="K205" s="1"/>
      <c r="L205" s="1"/>
      <c r="M205" s="17"/>
      <c r="N205" s="17"/>
      <c r="O205" s="17"/>
      <c r="P205" s="17"/>
      <c r="Q205" s="148"/>
      <c r="R205" s="39"/>
      <c r="S205" s="150"/>
      <c r="T205" s="1"/>
      <c r="U205" s="363"/>
      <c r="V205" s="363"/>
      <c r="W205" s="363"/>
      <c r="X205" s="398"/>
    </row>
    <row r="206" spans="1:35">
      <c r="A206" s="396">
        <v>45587</v>
      </c>
      <c r="B206" s="383"/>
      <c r="C206" s="287"/>
      <c r="D206" s="297"/>
      <c r="E206" s="1"/>
      <c r="F206" s="1"/>
      <c r="G206" s="61"/>
      <c r="H206" s="61"/>
      <c r="I206" s="1"/>
      <c r="J206" s="1"/>
      <c r="K206" s="1"/>
      <c r="L206" s="1"/>
      <c r="M206" s="17"/>
      <c r="N206" s="17"/>
      <c r="O206" s="17"/>
      <c r="P206" s="17"/>
      <c r="Q206" s="148"/>
      <c r="R206" s="39"/>
      <c r="S206" s="149"/>
      <c r="T206" s="1"/>
      <c r="U206" s="363"/>
      <c r="V206" s="363"/>
      <c r="W206" s="363"/>
      <c r="X206" s="398"/>
    </row>
    <row r="207" spans="1:35">
      <c r="A207" s="396">
        <v>45588</v>
      </c>
      <c r="B207" s="383"/>
      <c r="C207" s="287"/>
      <c r="D207" s="297"/>
      <c r="E207" s="1"/>
      <c r="F207" s="1"/>
      <c r="G207" s="61"/>
      <c r="H207" s="61"/>
      <c r="I207" s="1"/>
      <c r="J207" s="1"/>
      <c r="K207" s="1"/>
      <c r="L207" s="1"/>
      <c r="M207" s="17"/>
      <c r="N207" s="17"/>
      <c r="O207" s="17"/>
      <c r="P207" s="17"/>
      <c r="Q207" s="148"/>
      <c r="R207" s="39"/>
      <c r="S207" s="150"/>
      <c r="T207" s="1"/>
      <c r="U207" s="363"/>
      <c r="V207" s="363"/>
      <c r="W207" s="363"/>
      <c r="X207" s="398"/>
    </row>
    <row r="208" spans="1:35">
      <c r="A208" s="396">
        <v>45589</v>
      </c>
      <c r="B208" s="383"/>
      <c r="C208" s="287"/>
      <c r="D208" s="297"/>
      <c r="E208" s="1"/>
      <c r="F208" s="1"/>
      <c r="G208" s="61"/>
      <c r="H208" s="61"/>
      <c r="I208" s="1"/>
      <c r="J208" s="1"/>
      <c r="K208" s="1"/>
      <c r="L208" s="1"/>
      <c r="M208" s="17"/>
      <c r="N208" s="17"/>
      <c r="O208" s="17"/>
      <c r="P208" s="17"/>
      <c r="Q208" s="148"/>
      <c r="R208" s="39"/>
      <c r="S208" s="149"/>
      <c r="T208" s="1"/>
      <c r="U208" s="363"/>
      <c r="V208" s="363"/>
      <c r="W208" s="363"/>
      <c r="X208" s="398"/>
    </row>
    <row r="209" spans="1:35">
      <c r="A209" s="396">
        <v>45590</v>
      </c>
      <c r="B209" s="383"/>
      <c r="C209" s="287"/>
      <c r="D209" s="297"/>
      <c r="E209" s="1"/>
      <c r="F209" s="1"/>
      <c r="G209" s="61"/>
      <c r="H209" s="61"/>
      <c r="I209" s="1"/>
      <c r="J209" s="1"/>
      <c r="K209" s="1"/>
      <c r="L209" s="1"/>
      <c r="M209" s="17"/>
      <c r="N209" s="17"/>
      <c r="O209" s="17"/>
      <c r="P209" s="17"/>
      <c r="Q209" s="148"/>
      <c r="R209" s="39"/>
      <c r="S209" s="149"/>
      <c r="T209" s="1"/>
      <c r="U209" s="363"/>
      <c r="V209" s="363"/>
      <c r="W209" s="363"/>
      <c r="X209" s="398"/>
    </row>
    <row r="210" spans="1:35">
      <c r="A210" s="396">
        <v>45591</v>
      </c>
      <c r="B210" s="383"/>
      <c r="C210" s="287"/>
      <c r="D210" s="297"/>
      <c r="E210" s="1"/>
      <c r="F210" s="1"/>
      <c r="G210" s="61"/>
      <c r="H210" s="61"/>
      <c r="I210" s="1"/>
      <c r="J210" s="1"/>
      <c r="K210" s="1"/>
      <c r="L210" s="1"/>
      <c r="M210" s="17"/>
      <c r="N210" s="17"/>
      <c r="O210" s="17"/>
      <c r="P210" s="17"/>
      <c r="Q210" s="148"/>
      <c r="R210" s="39"/>
      <c r="S210" s="149"/>
      <c r="T210" s="1"/>
      <c r="U210" s="363"/>
      <c r="V210" s="363"/>
      <c r="W210" s="363"/>
      <c r="X210" s="398"/>
    </row>
    <row r="211" spans="1:35">
      <c r="A211" s="396">
        <v>45592</v>
      </c>
      <c r="B211" s="383"/>
      <c r="C211" s="287"/>
      <c r="D211" s="297"/>
      <c r="E211" s="1"/>
      <c r="F211" s="1"/>
      <c r="G211" s="61"/>
      <c r="H211" s="61"/>
      <c r="I211" s="1"/>
      <c r="J211" s="1"/>
      <c r="K211" s="1"/>
      <c r="L211" s="1"/>
      <c r="M211" s="17"/>
      <c r="N211" s="17"/>
      <c r="O211" s="17"/>
      <c r="P211" s="17"/>
      <c r="Q211" s="148"/>
      <c r="R211" s="39"/>
      <c r="S211" s="149"/>
      <c r="T211" s="1"/>
      <c r="U211" s="363"/>
      <c r="V211" s="363"/>
      <c r="W211" s="363"/>
      <c r="X211" s="398"/>
    </row>
    <row r="212" spans="1:35">
      <c r="A212" s="396">
        <v>45593</v>
      </c>
      <c r="B212" s="383"/>
      <c r="C212" s="287"/>
      <c r="D212" s="297"/>
      <c r="E212" s="1"/>
      <c r="F212" s="1"/>
      <c r="G212" s="61"/>
      <c r="H212" s="61"/>
      <c r="I212" s="1"/>
      <c r="J212" s="1"/>
      <c r="K212" s="1"/>
      <c r="L212" s="1"/>
      <c r="M212" s="17"/>
      <c r="N212" s="17"/>
      <c r="O212" s="17"/>
      <c r="P212" s="17"/>
      <c r="Q212" s="148"/>
      <c r="R212" s="39"/>
      <c r="S212" s="149"/>
      <c r="T212" s="1"/>
      <c r="U212" s="363"/>
      <c r="V212" s="363"/>
      <c r="W212" s="363"/>
      <c r="X212" s="398"/>
      <c r="Z212" s="45"/>
    </row>
    <row r="213" spans="1:35">
      <c r="A213" s="396">
        <v>45594</v>
      </c>
      <c r="B213" s="383"/>
      <c r="C213" s="287"/>
      <c r="D213" s="297"/>
      <c r="E213" s="1"/>
      <c r="F213" s="1"/>
      <c r="G213" s="61"/>
      <c r="H213" s="61"/>
      <c r="I213" s="1"/>
      <c r="J213" s="1"/>
      <c r="K213" s="1"/>
      <c r="L213" s="1"/>
      <c r="M213" s="17"/>
      <c r="N213" s="17"/>
      <c r="O213" s="17"/>
      <c r="P213" s="17"/>
      <c r="Q213" s="148"/>
      <c r="R213" s="39"/>
      <c r="S213" s="149"/>
      <c r="T213" s="1"/>
      <c r="U213" s="363"/>
      <c r="V213" s="363"/>
      <c r="W213" s="363"/>
      <c r="X213" s="398"/>
    </row>
    <row r="214" spans="1:35">
      <c r="A214" s="396">
        <v>45595</v>
      </c>
      <c r="B214" s="383"/>
      <c r="C214" s="287"/>
      <c r="D214" s="297"/>
      <c r="E214" s="1"/>
      <c r="F214" s="1"/>
      <c r="G214" s="61"/>
      <c r="H214" s="61"/>
      <c r="I214" s="1"/>
      <c r="J214" s="1"/>
      <c r="K214" s="1"/>
      <c r="L214" s="1"/>
      <c r="M214" s="17"/>
      <c r="N214" s="17"/>
      <c r="O214" s="17"/>
      <c r="P214" s="17"/>
      <c r="Q214" s="148"/>
      <c r="R214" s="39"/>
      <c r="S214" s="149"/>
      <c r="T214" s="1"/>
      <c r="U214" s="363"/>
      <c r="V214" s="363"/>
      <c r="W214" s="363"/>
      <c r="X214" s="398"/>
    </row>
    <row r="215" spans="1:35" s="45" customFormat="1">
      <c r="A215" s="396">
        <v>45596</v>
      </c>
      <c r="B215" s="383"/>
      <c r="C215" s="288"/>
      <c r="D215" s="297"/>
      <c r="E215" s="47"/>
      <c r="F215" s="47"/>
      <c r="G215" s="61"/>
      <c r="H215" s="61"/>
      <c r="I215" s="47"/>
      <c r="J215" s="47"/>
      <c r="K215" s="47"/>
      <c r="L215" s="47"/>
      <c r="M215" s="48"/>
      <c r="N215" s="48"/>
      <c r="O215" s="48"/>
      <c r="P215" s="48"/>
      <c r="Q215" s="148"/>
      <c r="R215" s="39"/>
      <c r="S215" s="154"/>
      <c r="T215" s="47"/>
      <c r="U215" s="363"/>
      <c r="V215" s="363"/>
      <c r="W215" s="363"/>
      <c r="X215" s="398"/>
      <c r="Z215"/>
      <c r="AE215"/>
      <c r="AF215"/>
      <c r="AG215"/>
      <c r="AH215"/>
      <c r="AI215"/>
    </row>
    <row r="216" spans="1:35">
      <c r="A216" s="396">
        <v>45597</v>
      </c>
      <c r="B216" s="383"/>
      <c r="C216" s="289"/>
      <c r="D216" s="297"/>
      <c r="E216" s="1"/>
      <c r="F216" s="1"/>
      <c r="G216" s="61"/>
      <c r="H216" s="61"/>
      <c r="I216" s="1"/>
      <c r="J216" s="1"/>
      <c r="K216" s="1"/>
      <c r="L216" s="1"/>
      <c r="M216" s="17"/>
      <c r="N216" s="17"/>
      <c r="O216" s="17"/>
      <c r="P216" s="17"/>
      <c r="Q216" s="148"/>
      <c r="R216" s="39"/>
      <c r="S216" s="149"/>
      <c r="T216" s="1"/>
      <c r="U216" s="363"/>
      <c r="V216" s="363"/>
      <c r="W216" s="363"/>
      <c r="X216" s="398"/>
    </row>
    <row r="217" spans="1:35">
      <c r="A217" s="396">
        <v>45598</v>
      </c>
      <c r="B217" s="383"/>
      <c r="C217" s="289"/>
      <c r="D217" s="297"/>
      <c r="E217" s="1"/>
      <c r="F217" s="1"/>
      <c r="G217" s="61"/>
      <c r="H217" s="61"/>
      <c r="I217" s="1"/>
      <c r="J217" s="1"/>
      <c r="K217" s="1"/>
      <c r="L217" s="1"/>
      <c r="M217" s="17"/>
      <c r="N217" s="17"/>
      <c r="O217" s="17"/>
      <c r="P217" s="17"/>
      <c r="Q217" s="148"/>
      <c r="R217" s="39"/>
      <c r="S217" s="149"/>
      <c r="T217" s="1"/>
      <c r="U217" s="363"/>
      <c r="V217" s="363"/>
      <c r="W217" s="363"/>
      <c r="X217" s="398"/>
    </row>
    <row r="218" spans="1:35">
      <c r="A218" s="396">
        <v>45599</v>
      </c>
      <c r="B218" s="383"/>
      <c r="C218" s="289"/>
      <c r="D218" s="297"/>
      <c r="E218" s="1"/>
      <c r="F218" s="1"/>
      <c r="G218" s="61"/>
      <c r="H218" s="61"/>
      <c r="I218" s="1"/>
      <c r="J218" s="1"/>
      <c r="K218" s="1"/>
      <c r="L218" s="1"/>
      <c r="M218" s="17"/>
      <c r="N218" s="17"/>
      <c r="O218" s="17"/>
      <c r="P218" s="17"/>
      <c r="Q218" s="148"/>
      <c r="R218" s="39"/>
      <c r="S218" s="149"/>
      <c r="T218" s="1"/>
      <c r="U218" s="363"/>
      <c r="V218" s="363"/>
      <c r="W218" s="363"/>
      <c r="X218" s="398"/>
    </row>
    <row r="219" spans="1:35">
      <c r="A219" s="396">
        <v>45600</v>
      </c>
      <c r="B219" s="383"/>
      <c r="C219" s="289"/>
      <c r="D219" s="297"/>
      <c r="E219" s="1"/>
      <c r="F219" s="1"/>
      <c r="G219" s="61"/>
      <c r="H219" s="61"/>
      <c r="I219" s="1"/>
      <c r="J219" s="1"/>
      <c r="K219" s="1"/>
      <c r="L219" s="1"/>
      <c r="M219" s="17"/>
      <c r="N219" s="17"/>
      <c r="O219" s="17"/>
      <c r="P219" s="17"/>
      <c r="Q219" s="148"/>
      <c r="R219" s="39"/>
      <c r="S219" s="149"/>
      <c r="T219" s="1"/>
      <c r="U219" s="363"/>
      <c r="V219" s="363"/>
      <c r="W219" s="363"/>
      <c r="X219" s="398"/>
    </row>
    <row r="220" spans="1:35">
      <c r="A220" s="396">
        <v>45601</v>
      </c>
      <c r="B220" s="383"/>
      <c r="C220" s="289"/>
      <c r="D220" s="297"/>
      <c r="E220" s="1"/>
      <c r="F220" s="1"/>
      <c r="G220" s="61"/>
      <c r="H220" s="61"/>
      <c r="I220" s="1"/>
      <c r="J220" s="1"/>
      <c r="K220" s="1"/>
      <c r="L220" s="1"/>
      <c r="M220" s="17"/>
      <c r="N220" s="17"/>
      <c r="O220" s="17"/>
      <c r="P220" s="17"/>
      <c r="Q220" s="148"/>
      <c r="R220" s="39"/>
      <c r="S220" s="149"/>
      <c r="T220" s="1"/>
      <c r="U220" s="363"/>
      <c r="V220" s="363"/>
      <c r="W220" s="363"/>
      <c r="X220" s="398"/>
    </row>
    <row r="221" spans="1:35">
      <c r="A221" s="396">
        <v>45602</v>
      </c>
      <c r="B221" s="383"/>
      <c r="C221" s="289"/>
      <c r="D221" s="297"/>
      <c r="E221" s="1"/>
      <c r="F221" s="1"/>
      <c r="G221" s="61"/>
      <c r="H221" s="61"/>
      <c r="I221" s="1"/>
      <c r="J221" s="1"/>
      <c r="K221" s="1"/>
      <c r="L221" s="1"/>
      <c r="M221" s="17"/>
      <c r="N221" s="17"/>
      <c r="O221" s="17"/>
      <c r="P221" s="17"/>
      <c r="Q221" s="148"/>
      <c r="R221" s="39"/>
      <c r="S221" s="149"/>
      <c r="T221" s="1"/>
      <c r="U221" s="363"/>
      <c r="V221" s="363"/>
      <c r="W221" s="363"/>
      <c r="X221" s="398"/>
    </row>
    <row r="222" spans="1:35">
      <c r="A222" s="396">
        <v>45603</v>
      </c>
      <c r="B222" s="383"/>
      <c r="C222" s="289"/>
      <c r="D222" s="297"/>
      <c r="E222" s="1"/>
      <c r="F222" s="1"/>
      <c r="G222" s="61"/>
      <c r="H222" s="61"/>
      <c r="I222" s="1"/>
      <c r="J222" s="1"/>
      <c r="K222" s="1"/>
      <c r="L222" s="1"/>
      <c r="M222" s="17"/>
      <c r="N222" s="17"/>
      <c r="O222" s="17"/>
      <c r="P222" s="17"/>
      <c r="Q222" s="148"/>
      <c r="R222" s="39"/>
      <c r="S222" s="149"/>
      <c r="T222" s="1"/>
      <c r="U222" s="363"/>
      <c r="V222" s="363"/>
      <c r="W222" s="363"/>
      <c r="X222" s="398"/>
    </row>
    <row r="223" spans="1:35">
      <c r="A223" s="396">
        <v>45604</v>
      </c>
      <c r="B223" s="383"/>
      <c r="C223" s="289"/>
      <c r="D223" s="297"/>
      <c r="E223" s="1"/>
      <c r="F223" s="1"/>
      <c r="G223" s="61"/>
      <c r="H223" s="61"/>
      <c r="I223" s="1"/>
      <c r="J223" s="1"/>
      <c r="K223" s="1"/>
      <c r="L223" s="1"/>
      <c r="M223" s="17"/>
      <c r="N223" s="17"/>
      <c r="O223" s="17"/>
      <c r="P223" s="17"/>
      <c r="Q223" s="148"/>
      <c r="R223" s="39"/>
      <c r="S223" s="149"/>
      <c r="T223" s="1"/>
      <c r="U223" s="363"/>
      <c r="V223" s="363"/>
      <c r="W223" s="363"/>
      <c r="X223" s="398"/>
    </row>
    <row r="224" spans="1:35">
      <c r="A224" s="396">
        <v>45605</v>
      </c>
      <c r="B224" s="383"/>
      <c r="C224" s="289"/>
      <c r="D224" s="297"/>
      <c r="E224" s="1"/>
      <c r="F224" s="1"/>
      <c r="G224" s="61"/>
      <c r="H224" s="61"/>
      <c r="I224" s="1"/>
      <c r="J224" s="1"/>
      <c r="K224" s="1"/>
      <c r="L224" s="1"/>
      <c r="M224" s="17"/>
      <c r="N224" s="17"/>
      <c r="O224" s="17"/>
      <c r="P224" s="17"/>
      <c r="Q224" s="148"/>
      <c r="R224" s="39"/>
      <c r="S224" s="149"/>
      <c r="T224" s="1"/>
      <c r="U224" s="363"/>
      <c r="V224" s="363"/>
      <c r="W224" s="363"/>
      <c r="X224" s="398"/>
    </row>
    <row r="225" spans="1:24">
      <c r="A225" s="396">
        <v>45606</v>
      </c>
      <c r="B225" s="383"/>
      <c r="C225" s="289"/>
      <c r="D225" s="297"/>
      <c r="E225" s="1"/>
      <c r="F225" s="1"/>
      <c r="G225" s="61"/>
      <c r="H225" s="61"/>
      <c r="I225" s="1"/>
      <c r="J225" s="1"/>
      <c r="K225" s="1"/>
      <c r="L225" s="1"/>
      <c r="M225" s="17"/>
      <c r="N225" s="17"/>
      <c r="O225" s="17"/>
      <c r="P225" s="17"/>
      <c r="Q225" s="148"/>
      <c r="R225" s="39"/>
      <c r="S225" s="149"/>
      <c r="T225" s="1"/>
      <c r="U225" s="363"/>
      <c r="V225" s="363"/>
      <c r="W225" s="363"/>
      <c r="X225" s="398"/>
    </row>
    <row r="226" spans="1:24">
      <c r="A226" s="396">
        <v>45607</v>
      </c>
      <c r="B226" s="383"/>
      <c r="C226" s="289"/>
      <c r="D226" s="297"/>
      <c r="E226" s="1"/>
      <c r="F226" s="1"/>
      <c r="G226" s="61"/>
      <c r="H226" s="61"/>
      <c r="I226" s="1"/>
      <c r="J226" s="1"/>
      <c r="K226" s="1"/>
      <c r="L226" s="1"/>
      <c r="M226" s="17"/>
      <c r="N226" s="17"/>
      <c r="O226" s="17"/>
      <c r="P226" s="17"/>
      <c r="Q226" s="148"/>
      <c r="R226" s="39"/>
      <c r="S226" s="149"/>
      <c r="T226" s="1"/>
      <c r="U226" s="363"/>
      <c r="V226" s="363"/>
      <c r="W226" s="363"/>
      <c r="X226" s="398"/>
    </row>
    <row r="227" spans="1:24">
      <c r="A227" s="396">
        <v>45608</v>
      </c>
      <c r="B227" s="383"/>
      <c r="C227" s="289"/>
      <c r="D227" s="297"/>
      <c r="E227" s="1"/>
      <c r="F227" s="1"/>
      <c r="G227" s="61"/>
      <c r="H227" s="61"/>
      <c r="I227" s="1"/>
      <c r="J227" s="1"/>
      <c r="K227" s="1"/>
      <c r="L227" s="1"/>
      <c r="M227" s="17"/>
      <c r="N227" s="17"/>
      <c r="O227" s="17"/>
      <c r="P227" s="17"/>
      <c r="Q227" s="148"/>
      <c r="R227" s="39"/>
      <c r="S227" s="149"/>
      <c r="T227" s="1"/>
      <c r="U227" s="363"/>
      <c r="V227" s="363"/>
      <c r="W227" s="363"/>
      <c r="X227" s="398"/>
    </row>
    <row r="228" spans="1:24">
      <c r="A228" s="396">
        <v>45609</v>
      </c>
      <c r="B228" s="383"/>
      <c r="C228" s="289"/>
      <c r="D228" s="297"/>
      <c r="E228" s="1"/>
      <c r="F228" s="1"/>
      <c r="G228" s="61"/>
      <c r="H228" s="61"/>
      <c r="I228" s="1"/>
      <c r="J228" s="1"/>
      <c r="K228" s="1"/>
      <c r="L228" s="1"/>
      <c r="M228" s="17"/>
      <c r="N228" s="17"/>
      <c r="O228" s="17"/>
      <c r="P228" s="17"/>
      <c r="Q228" s="148"/>
      <c r="R228" s="39"/>
      <c r="S228" s="149"/>
      <c r="T228" s="1"/>
      <c r="U228" s="363"/>
      <c r="V228" s="363"/>
      <c r="W228" s="363"/>
      <c r="X228" s="398"/>
    </row>
    <row r="229" spans="1:24">
      <c r="A229" s="396">
        <v>45610</v>
      </c>
      <c r="B229" s="383"/>
      <c r="C229" s="289"/>
      <c r="D229" s="297"/>
      <c r="E229" s="1"/>
      <c r="F229" s="1"/>
      <c r="G229" s="61"/>
      <c r="H229" s="61"/>
      <c r="I229" s="1"/>
      <c r="J229" s="1"/>
      <c r="K229" s="1"/>
      <c r="L229" s="1"/>
      <c r="M229" s="17"/>
      <c r="N229" s="17"/>
      <c r="O229" s="17"/>
      <c r="P229" s="17"/>
      <c r="Q229" s="148"/>
      <c r="R229" s="39"/>
      <c r="S229" s="149"/>
      <c r="T229" s="1"/>
      <c r="U229" s="363"/>
      <c r="V229" s="363"/>
      <c r="W229" s="363"/>
      <c r="X229" s="398"/>
    </row>
    <row r="230" spans="1:24">
      <c r="A230" s="396">
        <v>45611</v>
      </c>
      <c r="B230" s="383"/>
      <c r="C230" s="289"/>
      <c r="D230" s="297"/>
      <c r="E230" s="1"/>
      <c r="F230" s="1"/>
      <c r="G230" s="61"/>
      <c r="H230" s="61"/>
      <c r="I230" s="1"/>
      <c r="J230" s="1"/>
      <c r="K230" s="1"/>
      <c r="L230" s="1"/>
      <c r="M230" s="17"/>
      <c r="N230" s="17"/>
      <c r="O230" s="17"/>
      <c r="P230" s="17"/>
      <c r="Q230" s="148"/>
      <c r="R230" s="39"/>
      <c r="S230" s="149"/>
      <c r="T230" s="1"/>
      <c r="U230" s="363"/>
      <c r="V230" s="363"/>
      <c r="W230" s="363"/>
      <c r="X230" s="398"/>
    </row>
    <row r="231" spans="1:24">
      <c r="A231" s="396">
        <v>45612</v>
      </c>
      <c r="B231" s="383"/>
      <c r="C231" s="289"/>
      <c r="D231" s="297"/>
      <c r="E231" s="1"/>
      <c r="F231" s="1"/>
      <c r="G231" s="61"/>
      <c r="H231" s="61"/>
      <c r="I231" s="1"/>
      <c r="J231" s="1"/>
      <c r="K231" s="1"/>
      <c r="L231" s="1"/>
      <c r="M231" s="17"/>
      <c r="N231" s="17"/>
      <c r="O231" s="17"/>
      <c r="P231" s="17"/>
      <c r="Q231" s="148"/>
      <c r="R231" s="39"/>
      <c r="S231" s="149"/>
      <c r="T231" s="1"/>
      <c r="U231" s="363"/>
      <c r="V231" s="363"/>
      <c r="W231" s="363"/>
      <c r="X231" s="398"/>
    </row>
    <row r="232" spans="1:24">
      <c r="A232" s="396">
        <v>45613</v>
      </c>
      <c r="B232" s="383"/>
      <c r="C232" s="289"/>
      <c r="D232" s="297"/>
      <c r="E232" s="1"/>
      <c r="F232" s="1"/>
      <c r="G232" s="61"/>
      <c r="H232" s="61"/>
      <c r="I232" s="1"/>
      <c r="J232" s="1"/>
      <c r="K232" s="1"/>
      <c r="L232" s="1"/>
      <c r="M232" s="17"/>
      <c r="N232" s="17"/>
      <c r="O232" s="17"/>
      <c r="P232" s="17"/>
      <c r="Q232" s="148"/>
      <c r="R232" s="39"/>
      <c r="S232" s="149"/>
      <c r="T232" s="1"/>
      <c r="U232" s="363"/>
      <c r="V232" s="363"/>
      <c r="W232" s="363"/>
      <c r="X232" s="398"/>
    </row>
    <row r="233" spans="1:24">
      <c r="A233" s="396">
        <v>45614</v>
      </c>
      <c r="B233" s="383"/>
      <c r="C233" s="289"/>
      <c r="D233" s="297"/>
      <c r="E233" s="1"/>
      <c r="F233" s="1"/>
      <c r="G233" s="61"/>
      <c r="H233" s="61"/>
      <c r="I233" s="1"/>
      <c r="J233" s="1"/>
      <c r="K233" s="1"/>
      <c r="L233" s="1"/>
      <c r="M233" s="17"/>
      <c r="N233" s="17"/>
      <c r="O233" s="17"/>
      <c r="P233" s="17"/>
      <c r="Q233" s="148"/>
      <c r="R233" s="39"/>
      <c r="S233" s="149"/>
      <c r="T233" s="1"/>
      <c r="U233" s="363"/>
      <c r="V233" s="363"/>
      <c r="W233" s="363"/>
      <c r="X233" s="398"/>
    </row>
    <row r="234" spans="1:24">
      <c r="A234" s="396">
        <v>45615</v>
      </c>
      <c r="B234" s="383"/>
      <c r="C234" s="289"/>
      <c r="D234" s="297"/>
      <c r="E234" s="1"/>
      <c r="F234" s="1"/>
      <c r="G234" s="61"/>
      <c r="H234" s="61"/>
      <c r="I234" s="1"/>
      <c r="J234" s="1"/>
      <c r="K234" s="1"/>
      <c r="L234" s="1"/>
      <c r="M234" s="17"/>
      <c r="N234" s="17"/>
      <c r="O234" s="17"/>
      <c r="P234" s="17"/>
      <c r="Q234" s="148"/>
      <c r="R234" s="39"/>
      <c r="S234" s="149"/>
      <c r="T234" s="1"/>
      <c r="U234" s="363"/>
      <c r="V234" s="363"/>
      <c r="W234" s="363"/>
      <c r="X234" s="398"/>
    </row>
    <row r="235" spans="1:24">
      <c r="A235" s="396">
        <v>45616</v>
      </c>
      <c r="B235" s="383"/>
      <c r="C235" s="289"/>
      <c r="D235" s="297"/>
      <c r="E235" s="1"/>
      <c r="F235" s="1"/>
      <c r="G235" s="61"/>
      <c r="H235" s="61"/>
      <c r="I235" s="1"/>
      <c r="J235" s="1"/>
      <c r="K235" s="1"/>
      <c r="L235" s="1"/>
      <c r="M235" s="17"/>
      <c r="N235" s="17"/>
      <c r="O235" s="17"/>
      <c r="P235" s="17"/>
      <c r="Q235" s="148"/>
      <c r="R235" s="39"/>
      <c r="S235" s="149"/>
      <c r="T235" s="1"/>
      <c r="U235" s="363"/>
      <c r="V235" s="363"/>
      <c r="W235" s="363"/>
      <c r="X235" s="398"/>
    </row>
    <row r="236" spans="1:24">
      <c r="A236" s="396">
        <v>45617</v>
      </c>
      <c r="B236" s="383"/>
      <c r="C236" s="289"/>
      <c r="D236" s="297"/>
      <c r="E236" s="1"/>
      <c r="F236" s="1"/>
      <c r="G236" s="61"/>
      <c r="H236" s="61"/>
      <c r="I236" s="1"/>
      <c r="J236" s="1"/>
      <c r="K236" s="1"/>
      <c r="L236" s="1"/>
      <c r="M236" s="17"/>
      <c r="N236" s="17"/>
      <c r="O236" s="17"/>
      <c r="P236" s="17"/>
      <c r="Q236" s="148"/>
      <c r="R236" s="39"/>
      <c r="S236" s="149"/>
      <c r="T236" s="1"/>
      <c r="U236" s="363"/>
      <c r="V236" s="363"/>
      <c r="W236" s="363"/>
      <c r="X236" s="398"/>
    </row>
    <row r="237" spans="1:24">
      <c r="A237" s="396">
        <v>45618</v>
      </c>
      <c r="B237" s="383"/>
      <c r="C237" s="289"/>
      <c r="D237" s="297"/>
      <c r="E237" s="1"/>
      <c r="F237" s="1"/>
      <c r="G237" s="61"/>
      <c r="H237" s="61"/>
      <c r="I237" s="1"/>
      <c r="J237" s="1"/>
      <c r="K237" s="1"/>
      <c r="L237" s="1"/>
      <c r="M237" s="17"/>
      <c r="N237" s="17"/>
      <c r="O237" s="17"/>
      <c r="P237" s="17"/>
      <c r="Q237" s="148"/>
      <c r="R237" s="39"/>
      <c r="S237" s="149"/>
      <c r="T237" s="1"/>
      <c r="U237" s="363"/>
      <c r="V237" s="363"/>
      <c r="W237" s="363"/>
      <c r="X237" s="398"/>
    </row>
    <row r="238" spans="1:24">
      <c r="A238" s="396">
        <v>45619</v>
      </c>
      <c r="B238" s="383"/>
      <c r="C238" s="289"/>
      <c r="D238" s="297"/>
      <c r="E238" s="1"/>
      <c r="F238" s="1"/>
      <c r="G238" s="61"/>
      <c r="H238" s="61"/>
      <c r="I238" s="1"/>
      <c r="J238" s="1"/>
      <c r="K238" s="1"/>
      <c r="L238" s="1"/>
      <c r="M238" s="17"/>
      <c r="N238" s="17"/>
      <c r="O238" s="17"/>
      <c r="P238" s="17"/>
      <c r="Q238" s="148"/>
      <c r="R238" s="39"/>
      <c r="S238" s="149"/>
      <c r="T238" s="1"/>
      <c r="U238" s="363"/>
      <c r="V238" s="363"/>
      <c r="W238" s="363"/>
      <c r="X238" s="398"/>
    </row>
    <row r="239" spans="1:24">
      <c r="A239" s="396">
        <v>45620</v>
      </c>
      <c r="B239" s="383"/>
      <c r="C239" s="289"/>
      <c r="D239" s="297"/>
      <c r="E239" s="1"/>
      <c r="F239" s="1"/>
      <c r="G239" s="61"/>
      <c r="H239" s="61"/>
      <c r="I239" s="1"/>
      <c r="J239" s="1"/>
      <c r="K239" s="1"/>
      <c r="L239" s="1"/>
      <c r="M239" s="17"/>
      <c r="N239" s="17"/>
      <c r="O239" s="17"/>
      <c r="P239" s="17"/>
      <c r="Q239" s="148"/>
      <c r="R239" s="39"/>
      <c r="S239" s="149"/>
      <c r="T239" s="1"/>
      <c r="U239" s="363"/>
      <c r="V239" s="363"/>
      <c r="W239" s="363"/>
      <c r="X239" s="398"/>
    </row>
    <row r="240" spans="1:24">
      <c r="A240" s="396">
        <v>45621</v>
      </c>
      <c r="B240" s="383"/>
      <c r="C240" s="289"/>
      <c r="D240" s="297"/>
      <c r="E240" s="1"/>
      <c r="F240" s="1"/>
      <c r="G240" s="61"/>
      <c r="H240" s="61"/>
      <c r="I240" s="1"/>
      <c r="J240" s="1"/>
      <c r="K240" s="1"/>
      <c r="L240" s="1"/>
      <c r="M240" s="17"/>
      <c r="N240" s="17"/>
      <c r="O240" s="17"/>
      <c r="P240" s="17"/>
      <c r="Q240" s="148"/>
      <c r="R240" s="39"/>
      <c r="S240" s="149"/>
      <c r="T240" s="1"/>
      <c r="U240" s="363"/>
      <c r="V240" s="363"/>
      <c r="W240" s="363"/>
      <c r="X240" s="398"/>
    </row>
    <row r="241" spans="1:35">
      <c r="A241" s="396">
        <v>45622</v>
      </c>
      <c r="B241" s="383"/>
      <c r="C241" s="289"/>
      <c r="D241" s="297"/>
      <c r="E241" s="1"/>
      <c r="F241" s="1"/>
      <c r="G241" s="61"/>
      <c r="H241" s="61"/>
      <c r="I241" s="1"/>
      <c r="J241" s="1"/>
      <c r="K241" s="1"/>
      <c r="L241" s="1"/>
      <c r="M241" s="17"/>
      <c r="N241" s="17"/>
      <c r="O241" s="17"/>
      <c r="P241" s="17"/>
      <c r="Q241" s="148"/>
      <c r="R241" s="39"/>
      <c r="S241" s="149"/>
      <c r="T241" s="1"/>
      <c r="U241" s="363"/>
      <c r="V241" s="363"/>
      <c r="W241" s="363"/>
      <c r="X241" s="398"/>
    </row>
    <row r="242" spans="1:35">
      <c r="A242" s="396">
        <v>45623</v>
      </c>
      <c r="B242" s="383"/>
      <c r="C242" s="289"/>
      <c r="D242" s="297"/>
      <c r="E242" s="1"/>
      <c r="F242" s="1"/>
      <c r="G242" s="61"/>
      <c r="H242" s="61"/>
      <c r="I242" s="1"/>
      <c r="J242" s="1"/>
      <c r="K242" s="1"/>
      <c r="L242" s="1"/>
      <c r="M242" s="17"/>
      <c r="N242" s="17"/>
      <c r="O242" s="17"/>
      <c r="P242" s="17"/>
      <c r="Q242" s="148"/>
      <c r="R242" s="39"/>
      <c r="S242" s="149"/>
      <c r="T242" s="1"/>
      <c r="U242" s="363"/>
      <c r="V242" s="363"/>
      <c r="W242" s="363"/>
      <c r="X242" s="398"/>
    </row>
    <row r="243" spans="1:35">
      <c r="A243" s="396">
        <v>45624</v>
      </c>
      <c r="B243" s="383"/>
      <c r="C243" s="289"/>
      <c r="D243" s="297"/>
      <c r="E243" s="1"/>
      <c r="F243" s="1"/>
      <c r="G243" s="61"/>
      <c r="H243" s="61"/>
      <c r="I243" s="1"/>
      <c r="J243" s="1"/>
      <c r="K243" s="1"/>
      <c r="L243" s="1"/>
      <c r="M243" s="17"/>
      <c r="N243" s="17"/>
      <c r="O243" s="17"/>
      <c r="P243" s="17"/>
      <c r="Q243" s="148"/>
      <c r="R243" s="39"/>
      <c r="S243" s="149"/>
      <c r="T243" s="1"/>
      <c r="U243" s="363"/>
      <c r="V243" s="363"/>
      <c r="W243" s="363"/>
      <c r="X243" s="398"/>
      <c r="Z243" s="45"/>
    </row>
    <row r="244" spans="1:35">
      <c r="A244" s="396">
        <v>45625</v>
      </c>
      <c r="B244" s="383"/>
      <c r="C244" s="289"/>
      <c r="D244" s="297"/>
      <c r="E244" s="1"/>
      <c r="F244" s="1"/>
      <c r="G244" s="61"/>
      <c r="H244" s="61"/>
      <c r="I244" s="1"/>
      <c r="J244" s="1"/>
      <c r="K244" s="1"/>
      <c r="L244" s="1"/>
      <c r="M244" s="17"/>
      <c r="N244" s="17"/>
      <c r="O244" s="17"/>
      <c r="P244" s="17"/>
      <c r="Q244" s="148"/>
      <c r="R244" s="39"/>
      <c r="S244" s="149"/>
      <c r="T244" s="1"/>
      <c r="U244" s="363"/>
      <c r="V244" s="363"/>
      <c r="W244" s="363"/>
      <c r="X244" s="398"/>
    </row>
    <row r="245" spans="1:35">
      <c r="A245" s="396">
        <v>45626</v>
      </c>
      <c r="B245" s="383"/>
      <c r="C245" s="289"/>
      <c r="D245" s="297"/>
      <c r="E245" s="1"/>
      <c r="F245" s="1"/>
      <c r="G245" s="61"/>
      <c r="H245" s="61"/>
      <c r="I245" s="1"/>
      <c r="J245" s="1"/>
      <c r="K245" s="1"/>
      <c r="L245" s="1"/>
      <c r="M245" s="17"/>
      <c r="N245" s="17"/>
      <c r="O245" s="17"/>
      <c r="P245" s="17"/>
      <c r="Q245" s="148"/>
      <c r="R245" s="39"/>
      <c r="S245" s="149"/>
      <c r="T245" s="1"/>
      <c r="U245" s="363"/>
      <c r="V245" s="363"/>
      <c r="W245" s="363"/>
      <c r="X245" s="398"/>
    </row>
    <row r="246" spans="1:35" s="45" customFormat="1">
      <c r="A246" s="396">
        <v>45627</v>
      </c>
      <c r="B246" s="383"/>
      <c r="C246" s="289"/>
      <c r="D246" s="297"/>
      <c r="E246" s="47"/>
      <c r="F246" s="47"/>
      <c r="G246" s="61"/>
      <c r="H246" s="61"/>
      <c r="I246" s="47"/>
      <c r="J246" s="47"/>
      <c r="K246" s="47"/>
      <c r="L246" s="47"/>
      <c r="M246" s="48"/>
      <c r="N246" s="48"/>
      <c r="O246" s="48"/>
      <c r="P246" s="48"/>
      <c r="Q246" s="148"/>
      <c r="R246" s="39"/>
      <c r="S246" s="154"/>
      <c r="T246" s="47"/>
      <c r="U246" s="363"/>
      <c r="V246" s="363"/>
      <c r="W246" s="363"/>
      <c r="X246" s="398"/>
      <c r="Z246"/>
      <c r="AE246"/>
      <c r="AF246"/>
      <c r="AG246"/>
      <c r="AH246"/>
      <c r="AI246"/>
    </row>
    <row r="247" spans="1:35">
      <c r="A247" s="396">
        <v>45628</v>
      </c>
      <c r="B247" s="383"/>
      <c r="C247" s="289"/>
      <c r="D247" s="297"/>
      <c r="E247" s="1"/>
      <c r="F247" s="1"/>
      <c r="G247" s="61"/>
      <c r="H247" s="61"/>
      <c r="I247" s="1"/>
      <c r="J247" s="1"/>
      <c r="K247" s="1"/>
      <c r="L247" s="1"/>
      <c r="M247" s="17"/>
      <c r="N247" s="17"/>
      <c r="O247" s="17"/>
      <c r="P247" s="17"/>
      <c r="Q247" s="148"/>
      <c r="R247" s="39"/>
      <c r="S247" s="149"/>
      <c r="T247" s="1"/>
      <c r="U247" s="363"/>
      <c r="V247" s="363"/>
      <c r="W247" s="363"/>
      <c r="X247" s="398"/>
    </row>
    <row r="248" spans="1:35">
      <c r="A248" s="396">
        <v>45629</v>
      </c>
      <c r="B248" s="383"/>
      <c r="C248" s="289"/>
      <c r="D248" s="297"/>
      <c r="E248" s="1"/>
      <c r="F248" s="1"/>
      <c r="G248" s="61"/>
      <c r="H248" s="61"/>
      <c r="I248" s="1"/>
      <c r="J248" s="1"/>
      <c r="K248" s="1"/>
      <c r="L248" s="1"/>
      <c r="M248" s="17"/>
      <c r="N248" s="17"/>
      <c r="O248" s="17"/>
      <c r="P248" s="17"/>
      <c r="Q248" s="148"/>
      <c r="R248" s="39"/>
      <c r="S248" s="149"/>
      <c r="T248" s="1"/>
      <c r="U248" s="363"/>
      <c r="V248" s="363"/>
      <c r="W248" s="363"/>
      <c r="X248" s="398"/>
    </row>
    <row r="249" spans="1:35">
      <c r="A249" s="396">
        <v>45630</v>
      </c>
      <c r="B249" s="383"/>
      <c r="C249" s="289"/>
      <c r="D249" s="297"/>
      <c r="E249" s="1"/>
      <c r="F249" s="1"/>
      <c r="G249" s="61"/>
      <c r="H249" s="61"/>
      <c r="I249" s="1"/>
      <c r="J249" s="1"/>
      <c r="K249" s="1"/>
      <c r="L249" s="1"/>
      <c r="M249" s="17"/>
      <c r="N249" s="17"/>
      <c r="O249" s="17"/>
      <c r="P249" s="17"/>
      <c r="Q249" s="148"/>
      <c r="R249" s="39"/>
      <c r="S249" s="149"/>
      <c r="T249" s="1"/>
      <c r="U249" s="363"/>
      <c r="V249" s="363"/>
      <c r="W249" s="363"/>
      <c r="X249" s="398"/>
    </row>
    <row r="250" spans="1:35">
      <c r="A250" s="396">
        <v>45631</v>
      </c>
      <c r="B250" s="383"/>
      <c r="C250" s="289"/>
      <c r="D250" s="297"/>
      <c r="E250" s="1"/>
      <c r="F250" s="1"/>
      <c r="G250" s="61"/>
      <c r="H250" s="61"/>
      <c r="I250" s="1"/>
      <c r="J250" s="1"/>
      <c r="K250" s="1"/>
      <c r="L250" s="1"/>
      <c r="M250" s="17"/>
      <c r="N250" s="17"/>
      <c r="O250" s="17"/>
      <c r="P250" s="17"/>
      <c r="Q250" s="148"/>
      <c r="R250" s="39"/>
      <c r="S250" s="149"/>
      <c r="T250" s="1"/>
      <c r="U250" s="363"/>
      <c r="V250" s="363"/>
      <c r="W250" s="363"/>
      <c r="X250" s="398"/>
    </row>
    <row r="251" spans="1:35">
      <c r="A251" s="396">
        <v>45632</v>
      </c>
      <c r="B251" s="383"/>
      <c r="C251" s="289"/>
      <c r="D251" s="297"/>
      <c r="E251" s="1"/>
      <c r="F251" s="1"/>
      <c r="G251" s="61"/>
      <c r="H251" s="61"/>
      <c r="I251" s="1"/>
      <c r="J251" s="1"/>
      <c r="K251" s="1"/>
      <c r="L251" s="1"/>
      <c r="M251" s="17"/>
      <c r="N251" s="17"/>
      <c r="O251" s="17"/>
      <c r="P251" s="17"/>
      <c r="Q251" s="148"/>
      <c r="R251" s="39"/>
      <c r="S251" s="149"/>
      <c r="T251" s="1"/>
      <c r="U251" s="363"/>
      <c r="V251" s="363"/>
      <c r="W251" s="363"/>
      <c r="X251" s="398"/>
    </row>
    <row r="252" spans="1:35">
      <c r="A252" s="396">
        <v>45633</v>
      </c>
      <c r="B252" s="383"/>
      <c r="C252" s="289"/>
      <c r="D252" s="297"/>
      <c r="E252" s="1"/>
      <c r="F252" s="1"/>
      <c r="G252" s="61"/>
      <c r="H252" s="61"/>
      <c r="I252" s="1"/>
      <c r="J252" s="1"/>
      <c r="K252" s="1"/>
      <c r="L252" s="1"/>
      <c r="M252" s="17"/>
      <c r="N252" s="17"/>
      <c r="O252" s="17"/>
      <c r="P252" s="17"/>
      <c r="Q252" s="148"/>
      <c r="R252" s="39"/>
      <c r="S252" s="150"/>
      <c r="T252" s="1"/>
      <c r="U252" s="363"/>
      <c r="V252" s="363"/>
      <c r="W252" s="363"/>
      <c r="X252" s="398"/>
    </row>
    <row r="253" spans="1:35">
      <c r="A253" s="396">
        <v>45634</v>
      </c>
      <c r="B253" s="383"/>
      <c r="C253" s="289"/>
      <c r="D253" s="297"/>
      <c r="E253" s="1"/>
      <c r="F253" s="1"/>
      <c r="G253" s="61"/>
      <c r="H253" s="61"/>
      <c r="I253" s="1"/>
      <c r="J253" s="1"/>
      <c r="K253" s="1"/>
      <c r="L253" s="1"/>
      <c r="M253" s="17"/>
      <c r="N253" s="17"/>
      <c r="O253" s="17"/>
      <c r="P253" s="17"/>
      <c r="Q253" s="148"/>
      <c r="R253" s="39"/>
      <c r="S253" s="150"/>
      <c r="T253" s="1"/>
      <c r="U253" s="363"/>
      <c r="V253" s="363"/>
      <c r="W253" s="363"/>
      <c r="X253" s="398"/>
    </row>
    <row r="254" spans="1:35">
      <c r="A254" s="396">
        <v>45635</v>
      </c>
      <c r="B254" s="383"/>
      <c r="C254" s="289"/>
      <c r="D254" s="297"/>
      <c r="E254" s="1"/>
      <c r="F254" s="1"/>
      <c r="G254" s="61"/>
      <c r="H254" s="61"/>
      <c r="I254" s="1"/>
      <c r="J254" s="1"/>
      <c r="K254" s="1"/>
      <c r="L254" s="1"/>
      <c r="M254" s="17"/>
      <c r="N254" s="17"/>
      <c r="O254" s="17"/>
      <c r="P254" s="17"/>
      <c r="Q254" s="148"/>
      <c r="R254" s="39"/>
      <c r="S254" s="150"/>
      <c r="T254" s="1"/>
      <c r="U254" s="363"/>
      <c r="V254" s="363"/>
      <c r="W254" s="363"/>
      <c r="X254" s="398"/>
    </row>
    <row r="255" spans="1:35">
      <c r="A255" s="396">
        <v>45636</v>
      </c>
      <c r="B255" s="383"/>
      <c r="C255" s="289"/>
      <c r="D255" s="297"/>
      <c r="E255" s="1"/>
      <c r="F255" s="1"/>
      <c r="G255" s="61"/>
      <c r="H255" s="61"/>
      <c r="I255" s="1"/>
      <c r="J255" s="1"/>
      <c r="K255" s="1"/>
      <c r="L255" s="1"/>
      <c r="M255" s="17"/>
      <c r="N255" s="17"/>
      <c r="O255" s="17"/>
      <c r="P255" s="17"/>
      <c r="Q255" s="148"/>
      <c r="R255" s="39"/>
      <c r="S255" s="150"/>
      <c r="T255" s="1"/>
      <c r="U255" s="363"/>
      <c r="V255" s="363"/>
      <c r="W255" s="363"/>
      <c r="X255" s="398"/>
    </row>
    <row r="256" spans="1:35">
      <c r="A256" s="396">
        <v>45637</v>
      </c>
      <c r="B256" s="383"/>
      <c r="C256" s="289"/>
      <c r="D256" s="297"/>
      <c r="E256" s="1"/>
      <c r="F256" s="1"/>
      <c r="G256" s="61"/>
      <c r="H256" s="61"/>
      <c r="I256" s="1"/>
      <c r="J256" s="1"/>
      <c r="K256" s="1"/>
      <c r="L256" s="1"/>
      <c r="M256" s="17"/>
      <c r="N256" s="17"/>
      <c r="O256" s="17"/>
      <c r="P256" s="17"/>
      <c r="Q256" s="148"/>
      <c r="R256" s="39"/>
      <c r="S256" s="150"/>
      <c r="T256" s="1"/>
      <c r="U256" s="363"/>
      <c r="V256" s="363"/>
      <c r="W256" s="363"/>
      <c r="X256" s="398"/>
    </row>
    <row r="257" spans="1:24">
      <c r="A257" s="396">
        <v>45638</v>
      </c>
      <c r="B257" s="383"/>
      <c r="C257" s="289"/>
      <c r="D257" s="297"/>
      <c r="E257" s="1"/>
      <c r="F257" s="1"/>
      <c r="G257" s="61"/>
      <c r="H257" s="61"/>
      <c r="I257" s="1"/>
      <c r="J257" s="1"/>
      <c r="K257" s="1"/>
      <c r="L257" s="1"/>
      <c r="M257" s="17"/>
      <c r="N257" s="17"/>
      <c r="O257" s="17"/>
      <c r="P257" s="17"/>
      <c r="Q257" s="148"/>
      <c r="R257" s="39"/>
      <c r="S257" s="150"/>
      <c r="T257" s="1"/>
      <c r="U257" s="363"/>
      <c r="V257" s="363"/>
      <c r="W257" s="363"/>
      <c r="X257" s="398"/>
    </row>
    <row r="258" spans="1:24">
      <c r="A258" s="396">
        <v>45639</v>
      </c>
      <c r="B258" s="383"/>
      <c r="C258" s="289"/>
      <c r="D258" s="297"/>
      <c r="E258" s="1"/>
      <c r="F258" s="1"/>
      <c r="G258" s="61"/>
      <c r="H258" s="61"/>
      <c r="I258" s="1"/>
      <c r="J258" s="1"/>
      <c r="K258" s="1"/>
      <c r="L258" s="1"/>
      <c r="M258" s="17"/>
      <c r="N258" s="17"/>
      <c r="O258" s="17"/>
      <c r="P258" s="17"/>
      <c r="Q258" s="148"/>
      <c r="R258" s="39"/>
      <c r="S258" s="150"/>
      <c r="T258" s="1"/>
      <c r="U258" s="363"/>
      <c r="V258" s="363"/>
      <c r="W258" s="363"/>
      <c r="X258" s="398"/>
    </row>
    <row r="259" spans="1:24">
      <c r="A259" s="396">
        <v>45640</v>
      </c>
      <c r="B259" s="383"/>
      <c r="C259" s="289"/>
      <c r="D259" s="297"/>
      <c r="E259" s="1"/>
      <c r="F259" s="1"/>
      <c r="G259" s="61"/>
      <c r="H259" s="61"/>
      <c r="I259" s="1"/>
      <c r="J259" s="1"/>
      <c r="K259" s="1"/>
      <c r="L259" s="1"/>
      <c r="M259" s="17"/>
      <c r="N259" s="17"/>
      <c r="O259" s="17"/>
      <c r="P259" s="17"/>
      <c r="Q259" s="148"/>
      <c r="R259" s="39"/>
      <c r="S259" s="150"/>
      <c r="T259" s="1"/>
      <c r="U259" s="363"/>
      <c r="V259" s="363"/>
      <c r="W259" s="363"/>
      <c r="X259" s="398"/>
    </row>
    <row r="260" spans="1:24">
      <c r="A260" s="396">
        <v>45641</v>
      </c>
      <c r="B260" s="383"/>
      <c r="C260" s="289"/>
      <c r="D260" s="297"/>
      <c r="E260" s="1"/>
      <c r="F260" s="1"/>
      <c r="G260" s="61"/>
      <c r="H260" s="61"/>
      <c r="I260" s="1"/>
      <c r="J260" s="1"/>
      <c r="K260" s="1"/>
      <c r="L260" s="1"/>
      <c r="M260" s="17"/>
      <c r="N260" s="17"/>
      <c r="O260" s="17"/>
      <c r="P260" s="17"/>
      <c r="Q260" s="148"/>
      <c r="R260" s="39"/>
      <c r="S260" s="150"/>
      <c r="T260" s="1"/>
      <c r="U260" s="363"/>
      <c r="V260" s="363"/>
      <c r="W260" s="363"/>
      <c r="X260" s="398"/>
    </row>
    <row r="261" spans="1:24">
      <c r="A261" s="396">
        <v>45642</v>
      </c>
      <c r="B261" s="383"/>
      <c r="C261" s="289"/>
      <c r="D261" s="297"/>
      <c r="E261" s="1"/>
      <c r="F261" s="1"/>
      <c r="G261" s="61"/>
      <c r="H261" s="61"/>
      <c r="I261" s="1"/>
      <c r="J261" s="1"/>
      <c r="K261" s="1"/>
      <c r="L261" s="1"/>
      <c r="M261" s="17"/>
      <c r="N261" s="17"/>
      <c r="O261" s="17"/>
      <c r="P261" s="17"/>
      <c r="Q261" s="148"/>
      <c r="R261" s="39"/>
      <c r="S261" s="150"/>
      <c r="T261" s="1"/>
      <c r="U261" s="363"/>
      <c r="V261" s="363"/>
      <c r="W261" s="363"/>
      <c r="X261" s="398"/>
    </row>
    <row r="262" spans="1:24">
      <c r="A262" s="396">
        <v>45643</v>
      </c>
      <c r="B262" s="383"/>
      <c r="C262" s="289"/>
      <c r="D262" s="297"/>
      <c r="E262" s="1"/>
      <c r="F262" s="1"/>
      <c r="G262" s="61"/>
      <c r="H262" s="61"/>
      <c r="I262" s="1"/>
      <c r="J262" s="1"/>
      <c r="K262" s="1"/>
      <c r="L262" s="1"/>
      <c r="M262" s="17"/>
      <c r="N262" s="17"/>
      <c r="O262" s="17"/>
      <c r="P262" s="17"/>
      <c r="Q262" s="148"/>
      <c r="R262" s="39"/>
      <c r="S262" s="150"/>
      <c r="T262" s="1"/>
      <c r="U262" s="363"/>
      <c r="V262" s="363"/>
      <c r="W262" s="363"/>
      <c r="X262" s="398"/>
    </row>
    <row r="263" spans="1:24">
      <c r="A263" s="396">
        <v>45644</v>
      </c>
      <c r="B263" s="383"/>
      <c r="C263" s="289"/>
      <c r="D263" s="297"/>
      <c r="E263" s="1"/>
      <c r="F263" s="1"/>
      <c r="G263" s="61"/>
      <c r="H263" s="61"/>
      <c r="I263" s="1"/>
      <c r="J263" s="1"/>
      <c r="K263" s="1"/>
      <c r="L263" s="1"/>
      <c r="M263" s="17"/>
      <c r="N263" s="17"/>
      <c r="O263" s="17"/>
      <c r="P263" s="17"/>
      <c r="Q263" s="148"/>
      <c r="R263" s="39"/>
      <c r="S263" s="150"/>
      <c r="T263" s="1"/>
      <c r="U263" s="363"/>
      <c r="V263" s="363"/>
      <c r="W263" s="363"/>
      <c r="X263" s="398"/>
    </row>
    <row r="264" spans="1:24">
      <c r="A264" s="396">
        <v>45645</v>
      </c>
      <c r="B264" s="383"/>
      <c r="C264" s="289"/>
      <c r="D264" s="297"/>
      <c r="E264" s="1"/>
      <c r="F264" s="1"/>
      <c r="G264" s="61"/>
      <c r="H264" s="61"/>
      <c r="I264" s="1"/>
      <c r="J264" s="1"/>
      <c r="K264" s="1"/>
      <c r="L264" s="1"/>
      <c r="M264" s="17"/>
      <c r="N264" s="17"/>
      <c r="O264" s="17"/>
      <c r="P264" s="17"/>
      <c r="Q264" s="148"/>
      <c r="R264" s="39"/>
      <c r="S264" s="150"/>
      <c r="T264" s="1"/>
      <c r="U264" s="363"/>
      <c r="V264" s="363"/>
      <c r="W264" s="363"/>
      <c r="X264" s="398"/>
    </row>
    <row r="265" spans="1:24">
      <c r="A265" s="396">
        <v>45646</v>
      </c>
      <c r="B265" s="383"/>
      <c r="C265" s="289"/>
      <c r="D265" s="297"/>
      <c r="E265" s="1"/>
      <c r="F265" s="1"/>
      <c r="G265" s="61"/>
      <c r="H265" s="61"/>
      <c r="I265" s="1"/>
      <c r="J265" s="1"/>
      <c r="K265" s="1"/>
      <c r="L265" s="1"/>
      <c r="M265" s="17"/>
      <c r="N265" s="17"/>
      <c r="O265" s="17"/>
      <c r="P265" s="17"/>
      <c r="Q265" s="148"/>
      <c r="R265" s="39"/>
      <c r="S265" s="150"/>
      <c r="T265" s="1"/>
      <c r="U265" s="363"/>
      <c r="V265" s="363"/>
      <c r="W265" s="363"/>
      <c r="X265" s="398"/>
    </row>
    <row r="266" spans="1:24">
      <c r="A266" s="396">
        <v>45647</v>
      </c>
      <c r="B266" s="383"/>
      <c r="C266" s="289"/>
      <c r="D266" s="297"/>
      <c r="E266" s="1"/>
      <c r="F266" s="1"/>
      <c r="G266" s="61"/>
      <c r="H266" s="61"/>
      <c r="I266" s="1"/>
      <c r="J266" s="1"/>
      <c r="K266" s="1"/>
      <c r="L266" s="1"/>
      <c r="M266" s="17"/>
      <c r="N266" s="17"/>
      <c r="O266" s="17"/>
      <c r="P266" s="17"/>
      <c r="Q266" s="148"/>
      <c r="R266" s="39"/>
      <c r="S266" s="150"/>
      <c r="T266" s="1"/>
      <c r="U266" s="363"/>
      <c r="V266" s="363"/>
      <c r="W266" s="363"/>
      <c r="X266" s="398"/>
    </row>
    <row r="267" spans="1:24">
      <c r="A267" s="396">
        <v>45648</v>
      </c>
      <c r="B267" s="383"/>
      <c r="C267" s="289"/>
      <c r="D267" s="297"/>
      <c r="E267" s="1"/>
      <c r="F267" s="1"/>
      <c r="G267" s="61"/>
      <c r="H267" s="61"/>
      <c r="I267" s="1"/>
      <c r="J267" s="1"/>
      <c r="K267" s="1"/>
      <c r="L267" s="1"/>
      <c r="M267" s="17"/>
      <c r="N267" s="17"/>
      <c r="O267" s="17"/>
      <c r="P267" s="17"/>
      <c r="Q267" s="148"/>
      <c r="R267" s="39"/>
      <c r="S267" s="150"/>
      <c r="T267" s="1"/>
      <c r="U267" s="363"/>
      <c r="V267" s="363"/>
      <c r="W267" s="363"/>
      <c r="X267" s="398"/>
    </row>
    <row r="268" spans="1:24">
      <c r="A268" s="396">
        <v>45649</v>
      </c>
      <c r="B268" s="383"/>
      <c r="C268" s="289"/>
      <c r="D268" s="297"/>
      <c r="E268" s="1"/>
      <c r="F268" s="1"/>
      <c r="G268" s="61"/>
      <c r="H268" s="61"/>
      <c r="I268" s="1"/>
      <c r="J268" s="1"/>
      <c r="K268" s="1"/>
      <c r="L268" s="1"/>
      <c r="M268" s="17"/>
      <c r="N268" s="17"/>
      <c r="O268" s="17"/>
      <c r="P268" s="17"/>
      <c r="Q268" s="148"/>
      <c r="R268" s="39"/>
      <c r="S268" s="150"/>
      <c r="T268" s="1"/>
      <c r="U268" s="363"/>
      <c r="V268" s="363"/>
      <c r="W268" s="363"/>
      <c r="X268" s="398"/>
    </row>
    <row r="269" spans="1:24">
      <c r="A269" s="396">
        <v>45650</v>
      </c>
      <c r="B269" s="383"/>
      <c r="C269" s="289"/>
      <c r="D269" s="297"/>
      <c r="E269" s="1"/>
      <c r="F269" s="1"/>
      <c r="G269" s="61"/>
      <c r="H269" s="61"/>
      <c r="I269" s="1"/>
      <c r="J269" s="1"/>
      <c r="K269" s="1"/>
      <c r="L269" s="1"/>
      <c r="M269" s="17"/>
      <c r="N269" s="17"/>
      <c r="O269" s="17"/>
      <c r="P269" s="17"/>
      <c r="Q269" s="148"/>
      <c r="R269" s="39"/>
      <c r="S269" s="150"/>
      <c r="T269" s="1"/>
      <c r="U269" s="363"/>
      <c r="V269" s="363"/>
      <c r="W269" s="363"/>
      <c r="X269" s="398"/>
    </row>
    <row r="270" spans="1:24">
      <c r="A270" s="396">
        <v>45651</v>
      </c>
      <c r="B270" s="383"/>
      <c r="C270" s="289"/>
      <c r="D270" s="297"/>
      <c r="E270" s="1"/>
      <c r="F270" s="1"/>
      <c r="G270" s="61"/>
      <c r="H270" s="61"/>
      <c r="I270" s="1"/>
      <c r="J270" s="1"/>
      <c r="K270" s="1"/>
      <c r="L270" s="1"/>
      <c r="M270" s="17"/>
      <c r="N270" s="17"/>
      <c r="O270" s="17"/>
      <c r="P270" s="17"/>
      <c r="Q270" s="148"/>
      <c r="R270" s="39"/>
      <c r="S270" s="150"/>
      <c r="T270" s="1"/>
      <c r="U270" s="363"/>
      <c r="V270" s="363"/>
      <c r="W270" s="363"/>
      <c r="X270" s="398"/>
    </row>
    <row r="271" spans="1:24">
      <c r="A271" s="396">
        <v>45652</v>
      </c>
      <c r="B271" s="383"/>
      <c r="C271" s="289"/>
      <c r="D271" s="297"/>
      <c r="E271" s="1"/>
      <c r="F271" s="1"/>
      <c r="G271" s="61"/>
      <c r="H271" s="61"/>
      <c r="I271" s="1"/>
      <c r="J271" s="1"/>
      <c r="K271" s="1"/>
      <c r="L271" s="1"/>
      <c r="M271" s="17"/>
      <c r="N271" s="17"/>
      <c r="O271" s="17"/>
      <c r="P271" s="17"/>
      <c r="Q271" s="148"/>
      <c r="R271" s="39"/>
      <c r="S271" s="150"/>
      <c r="T271" s="1"/>
      <c r="U271" s="363"/>
      <c r="V271" s="363"/>
      <c r="W271" s="363"/>
      <c r="X271" s="398"/>
    </row>
    <row r="272" spans="1:24">
      <c r="A272" s="396">
        <v>45653</v>
      </c>
      <c r="B272" s="383"/>
      <c r="C272" s="289"/>
      <c r="D272" s="297"/>
      <c r="E272" s="1"/>
      <c r="F272" s="1"/>
      <c r="G272" s="61"/>
      <c r="H272" s="61"/>
      <c r="I272" s="1"/>
      <c r="J272" s="1"/>
      <c r="K272" s="1"/>
      <c r="L272" s="1"/>
      <c r="M272" s="17"/>
      <c r="N272" s="17"/>
      <c r="O272" s="17"/>
      <c r="P272" s="17"/>
      <c r="Q272" s="148"/>
      <c r="R272" s="39"/>
      <c r="S272" s="150"/>
      <c r="T272" s="1"/>
      <c r="U272" s="363"/>
      <c r="V272" s="363"/>
      <c r="W272" s="363"/>
      <c r="X272" s="398"/>
    </row>
    <row r="273" spans="1:35">
      <c r="A273" s="396">
        <v>45654</v>
      </c>
      <c r="B273" s="383"/>
      <c r="C273" s="289"/>
      <c r="D273" s="297"/>
      <c r="E273" s="1"/>
      <c r="F273" s="1"/>
      <c r="G273" s="61"/>
      <c r="H273" s="61"/>
      <c r="I273" s="1"/>
      <c r="J273" s="1"/>
      <c r="K273" s="1"/>
      <c r="L273" s="1"/>
      <c r="M273" s="17"/>
      <c r="N273" s="17"/>
      <c r="O273" s="17"/>
      <c r="P273" s="17"/>
      <c r="Q273" s="148"/>
      <c r="R273" s="39"/>
      <c r="S273" s="150"/>
      <c r="T273" s="1"/>
      <c r="U273" s="363"/>
      <c r="V273" s="363"/>
      <c r="W273" s="363"/>
      <c r="X273" s="398"/>
    </row>
    <row r="274" spans="1:35">
      <c r="A274" s="396">
        <v>45655</v>
      </c>
      <c r="B274" s="383"/>
      <c r="C274" s="289"/>
      <c r="D274" s="297"/>
      <c r="E274" s="1"/>
      <c r="F274" s="1"/>
      <c r="G274" s="61"/>
      <c r="H274" s="61"/>
      <c r="I274" s="1"/>
      <c r="J274" s="1"/>
      <c r="K274" s="1"/>
      <c r="L274" s="1"/>
      <c r="M274" s="17"/>
      <c r="N274" s="17"/>
      <c r="O274" s="17"/>
      <c r="P274" s="17"/>
      <c r="Q274" s="148"/>
      <c r="R274" s="39"/>
      <c r="S274" s="150"/>
      <c r="T274" s="1"/>
      <c r="U274" s="363"/>
      <c r="V274" s="363"/>
      <c r="W274" s="363"/>
      <c r="X274" s="398"/>
      <c r="Z274" s="44"/>
    </row>
    <row r="275" spans="1:35">
      <c r="A275" s="396">
        <v>45656</v>
      </c>
      <c r="B275" s="383"/>
      <c r="C275" s="289"/>
      <c r="D275" s="297"/>
      <c r="E275" s="1"/>
      <c r="F275" s="1"/>
      <c r="G275" s="61"/>
      <c r="H275" s="61"/>
      <c r="I275" s="1"/>
      <c r="J275" s="1"/>
      <c r="K275" s="1"/>
      <c r="L275" s="1"/>
      <c r="M275" s="17"/>
      <c r="N275" s="17"/>
      <c r="O275" s="17"/>
      <c r="P275" s="17"/>
      <c r="Q275" s="148"/>
      <c r="R275" s="39"/>
      <c r="S275" s="150"/>
      <c r="T275" s="1"/>
      <c r="U275" s="363"/>
      <c r="V275" s="363"/>
      <c r="W275" s="363"/>
      <c r="X275" s="398"/>
    </row>
    <row r="276" spans="1:35">
      <c r="A276" s="396">
        <v>45657</v>
      </c>
      <c r="B276" s="383"/>
      <c r="C276" s="289"/>
      <c r="D276" s="297"/>
      <c r="E276" s="1"/>
      <c r="F276" s="1"/>
      <c r="G276" s="61"/>
      <c r="H276" s="61"/>
      <c r="I276" s="1"/>
      <c r="J276" s="1"/>
      <c r="K276" s="1"/>
      <c r="L276" s="1"/>
      <c r="M276" s="17"/>
      <c r="N276" s="17"/>
      <c r="O276" s="17"/>
      <c r="P276" s="17"/>
      <c r="Q276" s="148"/>
      <c r="R276" s="39"/>
      <c r="S276" s="150"/>
      <c r="T276" s="1"/>
      <c r="U276" s="363"/>
      <c r="V276" s="363"/>
      <c r="W276" s="363"/>
      <c r="X276" s="398"/>
    </row>
    <row r="277" spans="1:35" s="44" customFormat="1">
      <c r="A277" s="396">
        <v>45658</v>
      </c>
      <c r="B277" s="383"/>
      <c r="C277" s="289"/>
      <c r="D277" s="297"/>
      <c r="E277" s="62"/>
      <c r="F277" s="62"/>
      <c r="G277" s="61"/>
      <c r="H277" s="61"/>
      <c r="I277" s="62"/>
      <c r="J277" s="62"/>
      <c r="K277" s="62"/>
      <c r="L277" s="62"/>
      <c r="M277" s="2"/>
      <c r="N277" s="2"/>
      <c r="O277" s="2"/>
      <c r="P277" s="2"/>
      <c r="Q277" s="148"/>
      <c r="R277" s="39"/>
      <c r="S277" s="152"/>
      <c r="T277" s="199"/>
      <c r="U277" s="363"/>
      <c r="V277" s="363"/>
      <c r="W277" s="363"/>
      <c r="X277" s="398"/>
      <c r="Z277"/>
      <c r="AE277"/>
      <c r="AF277"/>
      <c r="AG277"/>
      <c r="AH277"/>
      <c r="AI277"/>
    </row>
    <row r="278" spans="1:35">
      <c r="A278" s="396">
        <v>45659</v>
      </c>
      <c r="B278" s="383"/>
      <c r="C278" s="289"/>
      <c r="D278" s="297"/>
      <c r="E278" s="1"/>
      <c r="F278" s="1"/>
      <c r="G278" s="61"/>
      <c r="H278" s="61"/>
      <c r="I278" s="1"/>
      <c r="J278" s="1"/>
      <c r="K278" s="1"/>
      <c r="L278" s="1"/>
      <c r="M278" s="17"/>
      <c r="N278" s="17"/>
      <c r="O278" s="17"/>
      <c r="P278" s="17"/>
      <c r="Q278" s="148"/>
      <c r="R278" s="39"/>
      <c r="S278" s="150"/>
      <c r="T278" s="200"/>
      <c r="U278" s="363"/>
      <c r="V278" s="363"/>
      <c r="W278" s="363"/>
      <c r="X278" s="398"/>
    </row>
    <row r="279" spans="1:35">
      <c r="A279" s="396">
        <v>45660</v>
      </c>
      <c r="B279" s="383"/>
      <c r="C279" s="289"/>
      <c r="D279" s="297"/>
      <c r="E279" s="1"/>
      <c r="F279" s="1"/>
      <c r="G279" s="61"/>
      <c r="H279" s="61"/>
      <c r="I279" s="1"/>
      <c r="J279" s="1"/>
      <c r="K279" s="1"/>
      <c r="L279" s="1"/>
      <c r="M279" s="17"/>
      <c r="N279" s="17"/>
      <c r="O279" s="17"/>
      <c r="P279" s="17"/>
      <c r="Q279" s="148"/>
      <c r="R279" s="39"/>
      <c r="S279" s="149"/>
      <c r="T279" s="1"/>
      <c r="U279" s="363"/>
      <c r="V279" s="363"/>
      <c r="W279" s="363"/>
      <c r="X279" s="398"/>
    </row>
    <row r="280" spans="1:35">
      <c r="A280" s="396">
        <v>45661</v>
      </c>
      <c r="B280" s="383"/>
      <c r="C280" s="289"/>
      <c r="D280" s="297"/>
      <c r="E280" s="1"/>
      <c r="F280" s="1"/>
      <c r="G280" s="61"/>
      <c r="H280" s="61"/>
      <c r="I280" s="1"/>
      <c r="J280" s="1"/>
      <c r="K280" s="1"/>
      <c r="L280" s="1"/>
      <c r="M280" s="17"/>
      <c r="N280" s="17"/>
      <c r="O280" s="17"/>
      <c r="P280" s="17"/>
      <c r="Q280" s="148"/>
      <c r="R280" s="39"/>
      <c r="S280" s="149"/>
      <c r="T280" s="1"/>
      <c r="U280" s="363"/>
      <c r="V280" s="363"/>
      <c r="W280" s="363"/>
      <c r="X280" s="398"/>
    </row>
    <row r="281" spans="1:35">
      <c r="A281" s="396">
        <v>45662</v>
      </c>
      <c r="B281" s="383"/>
      <c r="C281" s="289"/>
      <c r="D281" s="297"/>
      <c r="E281" s="1"/>
      <c r="F281" s="1"/>
      <c r="G281" s="61"/>
      <c r="H281" s="61"/>
      <c r="I281" s="1"/>
      <c r="J281" s="1"/>
      <c r="K281" s="1"/>
      <c r="L281" s="1"/>
      <c r="M281" s="17"/>
      <c r="N281" s="17"/>
      <c r="O281" s="17"/>
      <c r="P281" s="17"/>
      <c r="Q281" s="148"/>
      <c r="R281" s="39"/>
      <c r="S281" s="149"/>
      <c r="T281" s="1"/>
      <c r="U281" s="363"/>
      <c r="V281" s="363"/>
      <c r="W281" s="363"/>
      <c r="X281" s="398"/>
    </row>
    <row r="282" spans="1:35">
      <c r="A282" s="396">
        <v>45663</v>
      </c>
      <c r="B282" s="383"/>
      <c r="C282" s="289"/>
      <c r="D282" s="297"/>
      <c r="E282" s="1"/>
      <c r="F282" s="1"/>
      <c r="G282" s="61"/>
      <c r="H282" s="61"/>
      <c r="I282" s="1"/>
      <c r="J282" s="1"/>
      <c r="K282" s="1"/>
      <c r="L282" s="1"/>
      <c r="M282" s="17"/>
      <c r="N282" s="17"/>
      <c r="O282" s="17"/>
      <c r="P282" s="17"/>
      <c r="Q282" s="148"/>
      <c r="R282" s="39"/>
      <c r="S282" s="149"/>
      <c r="T282" s="1"/>
      <c r="U282" s="363"/>
      <c r="V282" s="363"/>
      <c r="W282" s="363"/>
      <c r="X282" s="398"/>
    </row>
    <row r="283" spans="1:35">
      <c r="A283" s="396">
        <v>45664</v>
      </c>
      <c r="B283" s="383"/>
      <c r="C283" s="289"/>
      <c r="D283" s="297"/>
      <c r="E283" s="1"/>
      <c r="F283" s="1"/>
      <c r="G283" s="61"/>
      <c r="H283" s="61"/>
      <c r="I283" s="1"/>
      <c r="J283" s="1"/>
      <c r="K283" s="1"/>
      <c r="L283" s="1"/>
      <c r="M283" s="17"/>
      <c r="N283" s="17"/>
      <c r="O283" s="17"/>
      <c r="P283" s="17"/>
      <c r="Q283" s="148"/>
      <c r="R283" s="39"/>
      <c r="S283" s="149"/>
      <c r="T283" s="1"/>
      <c r="U283" s="363"/>
      <c r="V283" s="363"/>
      <c r="W283" s="363"/>
      <c r="X283" s="398"/>
    </row>
    <row r="284" spans="1:35">
      <c r="A284" s="396">
        <v>45665</v>
      </c>
      <c r="B284" s="383"/>
      <c r="C284" s="289"/>
      <c r="D284" s="297"/>
      <c r="E284" s="1"/>
      <c r="F284" s="1"/>
      <c r="G284" s="61"/>
      <c r="H284" s="61"/>
      <c r="I284" s="1"/>
      <c r="J284" s="1"/>
      <c r="K284" s="1"/>
      <c r="L284" s="1"/>
      <c r="M284" s="17"/>
      <c r="N284" s="17"/>
      <c r="O284" s="17"/>
      <c r="P284" s="17"/>
      <c r="Q284" s="148"/>
      <c r="R284" s="39"/>
      <c r="S284" s="149"/>
      <c r="T284" s="1"/>
      <c r="U284" s="363"/>
      <c r="V284" s="363"/>
      <c r="W284" s="363"/>
      <c r="X284" s="398"/>
    </row>
    <row r="285" spans="1:35">
      <c r="A285" s="396">
        <v>45666</v>
      </c>
      <c r="B285" s="383"/>
      <c r="C285" s="289"/>
      <c r="D285" s="297"/>
      <c r="E285" s="1"/>
      <c r="F285" s="1"/>
      <c r="G285" s="61"/>
      <c r="H285" s="61"/>
      <c r="I285" s="1"/>
      <c r="J285" s="1"/>
      <c r="K285" s="1"/>
      <c r="L285" s="1"/>
      <c r="M285" s="17"/>
      <c r="N285" s="17"/>
      <c r="O285" s="17"/>
      <c r="P285" s="17"/>
      <c r="Q285" s="148"/>
      <c r="R285" s="39"/>
      <c r="S285" s="149"/>
      <c r="T285" s="1"/>
      <c r="U285" s="363"/>
      <c r="V285" s="363"/>
      <c r="W285" s="363"/>
      <c r="X285" s="398"/>
    </row>
    <row r="286" spans="1:35">
      <c r="A286" s="396">
        <v>45667</v>
      </c>
      <c r="B286" s="383"/>
      <c r="C286" s="289"/>
      <c r="D286" s="297"/>
      <c r="E286" s="1"/>
      <c r="F286" s="1"/>
      <c r="G286" s="61"/>
      <c r="H286" s="61"/>
      <c r="I286" s="1"/>
      <c r="J286" s="1"/>
      <c r="K286" s="1"/>
      <c r="L286" s="1"/>
      <c r="M286" s="17"/>
      <c r="N286" s="17"/>
      <c r="O286" s="17"/>
      <c r="P286" s="17"/>
      <c r="Q286" s="148"/>
      <c r="R286" s="39"/>
      <c r="S286" s="149"/>
      <c r="T286" s="1"/>
      <c r="U286" s="363"/>
      <c r="V286" s="363"/>
      <c r="W286" s="363"/>
      <c r="X286" s="398"/>
    </row>
    <row r="287" spans="1:35">
      <c r="A287" s="396">
        <v>45668</v>
      </c>
      <c r="B287" s="383"/>
      <c r="C287" s="289"/>
      <c r="D287" s="297"/>
      <c r="E287" s="1"/>
      <c r="F287" s="1"/>
      <c r="G287" s="61"/>
      <c r="H287" s="61"/>
      <c r="I287" s="1"/>
      <c r="J287" s="1"/>
      <c r="K287" s="1"/>
      <c r="L287" s="1"/>
      <c r="M287" s="17"/>
      <c r="N287" s="17"/>
      <c r="O287" s="17"/>
      <c r="P287" s="17"/>
      <c r="Q287" s="148"/>
      <c r="R287" s="39"/>
      <c r="S287" s="149"/>
      <c r="T287" s="1"/>
      <c r="U287" s="363"/>
      <c r="V287" s="363"/>
      <c r="W287" s="363"/>
      <c r="X287" s="398"/>
    </row>
    <row r="288" spans="1:35">
      <c r="A288" s="396">
        <v>45669</v>
      </c>
      <c r="B288" s="383"/>
      <c r="C288" s="289"/>
      <c r="D288" s="297"/>
      <c r="E288" s="1"/>
      <c r="F288" s="1"/>
      <c r="G288" s="61"/>
      <c r="H288" s="61"/>
      <c r="I288" s="1"/>
      <c r="J288" s="1"/>
      <c r="K288" s="1"/>
      <c r="L288" s="1"/>
      <c r="M288" s="17"/>
      <c r="N288" s="17"/>
      <c r="O288" s="17"/>
      <c r="P288" s="17"/>
      <c r="Q288" s="148"/>
      <c r="R288" s="39"/>
      <c r="S288" s="149"/>
      <c r="T288" s="1"/>
      <c r="U288" s="363"/>
      <c r="V288" s="363"/>
      <c r="W288" s="363"/>
      <c r="X288" s="398"/>
    </row>
    <row r="289" spans="1:24">
      <c r="A289" s="396">
        <v>45670</v>
      </c>
      <c r="B289" s="383"/>
      <c r="C289" s="289"/>
      <c r="D289" s="297"/>
      <c r="E289" s="1"/>
      <c r="F289" s="1"/>
      <c r="G289" s="61"/>
      <c r="H289" s="61"/>
      <c r="I289" s="1"/>
      <c r="J289" s="1"/>
      <c r="K289" s="1"/>
      <c r="L289" s="1"/>
      <c r="M289" s="17"/>
      <c r="N289" s="17"/>
      <c r="O289" s="17"/>
      <c r="P289" s="17"/>
      <c r="Q289" s="148"/>
      <c r="R289" s="39"/>
      <c r="S289" s="149"/>
      <c r="T289" s="1"/>
      <c r="U289" s="363"/>
      <c r="V289" s="363"/>
      <c r="W289" s="363"/>
      <c r="X289" s="398"/>
    </row>
    <row r="290" spans="1:24">
      <c r="A290" s="396">
        <v>45671</v>
      </c>
      <c r="B290" s="383"/>
      <c r="C290" s="289"/>
      <c r="D290" s="297"/>
      <c r="E290" s="1"/>
      <c r="F290" s="1"/>
      <c r="G290" s="61"/>
      <c r="H290" s="61"/>
      <c r="I290" s="1"/>
      <c r="J290" s="1"/>
      <c r="K290" s="1"/>
      <c r="L290" s="1"/>
      <c r="M290" s="17"/>
      <c r="N290" s="17"/>
      <c r="O290" s="17"/>
      <c r="P290" s="17"/>
      <c r="Q290" s="148"/>
      <c r="R290" s="39"/>
      <c r="S290" s="149"/>
      <c r="T290" s="1"/>
      <c r="U290" s="363"/>
      <c r="V290" s="363"/>
      <c r="W290" s="363"/>
      <c r="X290" s="398"/>
    </row>
    <row r="291" spans="1:24">
      <c r="A291" s="396">
        <v>45672</v>
      </c>
      <c r="B291" s="383"/>
      <c r="C291" s="289"/>
      <c r="D291" s="297"/>
      <c r="E291" s="1"/>
      <c r="F291" s="1"/>
      <c r="G291" s="61"/>
      <c r="H291" s="61"/>
      <c r="I291" s="1"/>
      <c r="J291" s="1"/>
      <c r="K291" s="1"/>
      <c r="L291" s="1"/>
      <c r="M291" s="17"/>
      <c r="N291" s="17"/>
      <c r="O291" s="17"/>
      <c r="P291" s="17"/>
      <c r="Q291" s="148"/>
      <c r="R291" s="39"/>
      <c r="S291" s="149"/>
      <c r="T291" s="1"/>
      <c r="U291" s="363"/>
      <c r="V291" s="363"/>
      <c r="W291" s="363"/>
      <c r="X291" s="398"/>
    </row>
    <row r="292" spans="1:24">
      <c r="A292" s="396">
        <v>45673</v>
      </c>
      <c r="B292" s="383"/>
      <c r="C292" s="289"/>
      <c r="D292" s="297"/>
      <c r="E292" s="1"/>
      <c r="F292" s="1"/>
      <c r="G292" s="61"/>
      <c r="H292" s="61"/>
      <c r="I292" s="1"/>
      <c r="J292" s="1"/>
      <c r="K292" s="1"/>
      <c r="L292" s="1"/>
      <c r="M292" s="17"/>
      <c r="N292" s="17"/>
      <c r="O292" s="17"/>
      <c r="P292" s="17"/>
      <c r="Q292" s="148"/>
      <c r="R292" s="39"/>
      <c r="S292" s="149"/>
      <c r="T292" s="1"/>
      <c r="U292" s="363"/>
      <c r="V292" s="363"/>
      <c r="W292" s="363"/>
      <c r="X292" s="398"/>
    </row>
    <row r="293" spans="1:24">
      <c r="A293" s="396">
        <v>45674</v>
      </c>
      <c r="B293" s="383"/>
      <c r="C293" s="289"/>
      <c r="D293" s="297"/>
      <c r="E293" s="1"/>
      <c r="F293" s="1"/>
      <c r="G293" s="61"/>
      <c r="H293" s="61"/>
      <c r="I293" s="1"/>
      <c r="J293" s="1"/>
      <c r="K293" s="1"/>
      <c r="L293" s="1"/>
      <c r="M293" s="17"/>
      <c r="N293" s="17"/>
      <c r="O293" s="17"/>
      <c r="P293" s="17"/>
      <c r="Q293" s="148"/>
      <c r="R293" s="39"/>
      <c r="S293" s="149"/>
      <c r="T293" s="1"/>
      <c r="U293" s="363"/>
      <c r="V293" s="363"/>
      <c r="W293" s="363"/>
      <c r="X293" s="398"/>
    </row>
    <row r="294" spans="1:24">
      <c r="A294" s="396">
        <v>45675</v>
      </c>
      <c r="B294" s="383"/>
      <c r="C294" s="289"/>
      <c r="D294" s="297"/>
      <c r="E294" s="1"/>
      <c r="F294" s="1"/>
      <c r="G294" s="61"/>
      <c r="H294" s="61"/>
      <c r="I294" s="1"/>
      <c r="J294" s="1"/>
      <c r="K294" s="1"/>
      <c r="L294" s="1"/>
      <c r="M294" s="17"/>
      <c r="N294" s="17"/>
      <c r="O294" s="17"/>
      <c r="P294" s="17"/>
      <c r="Q294" s="148"/>
      <c r="R294" s="39"/>
      <c r="S294" s="149"/>
      <c r="T294" s="1"/>
      <c r="U294" s="363"/>
      <c r="V294" s="363"/>
      <c r="W294" s="363"/>
      <c r="X294" s="398"/>
    </row>
    <row r="295" spans="1:24">
      <c r="A295" s="396">
        <v>45676</v>
      </c>
      <c r="B295" s="383"/>
      <c r="C295" s="289"/>
      <c r="D295" s="297"/>
      <c r="E295" s="1"/>
      <c r="F295" s="1"/>
      <c r="G295" s="61"/>
      <c r="H295" s="61"/>
      <c r="I295" s="1"/>
      <c r="J295" s="1"/>
      <c r="K295" s="1"/>
      <c r="L295" s="1"/>
      <c r="M295" s="17"/>
      <c r="N295" s="17"/>
      <c r="O295" s="17"/>
      <c r="P295" s="17"/>
      <c r="Q295" s="148"/>
      <c r="R295" s="39"/>
      <c r="S295" s="149"/>
      <c r="T295" s="1"/>
      <c r="U295" s="363"/>
      <c r="V295" s="363"/>
      <c r="W295" s="363"/>
      <c r="X295" s="398"/>
    </row>
    <row r="296" spans="1:24">
      <c r="A296" s="396">
        <v>45677</v>
      </c>
      <c r="B296" s="383"/>
      <c r="C296" s="289"/>
      <c r="D296" s="297"/>
      <c r="E296" s="1"/>
      <c r="F296" s="1"/>
      <c r="G296" s="61"/>
      <c r="H296" s="61"/>
      <c r="I296" s="1"/>
      <c r="J296" s="1"/>
      <c r="K296" s="1"/>
      <c r="L296" s="1"/>
      <c r="M296" s="17"/>
      <c r="N296" s="17"/>
      <c r="O296" s="17"/>
      <c r="P296" s="17"/>
      <c r="Q296" s="148"/>
      <c r="R296" s="39"/>
      <c r="S296" s="149"/>
      <c r="T296" s="1"/>
      <c r="U296" s="363"/>
      <c r="V296" s="363"/>
      <c r="W296" s="363"/>
      <c r="X296" s="398"/>
    </row>
    <row r="297" spans="1:24">
      <c r="A297" s="396">
        <v>45678</v>
      </c>
      <c r="B297" s="383"/>
      <c r="C297" s="289"/>
      <c r="D297" s="297"/>
      <c r="E297" s="1"/>
      <c r="F297" s="1"/>
      <c r="G297" s="61"/>
      <c r="H297" s="61"/>
      <c r="I297" s="1"/>
      <c r="J297" s="1"/>
      <c r="K297" s="1"/>
      <c r="L297" s="1"/>
      <c r="M297" s="17"/>
      <c r="N297" s="17"/>
      <c r="O297" s="17"/>
      <c r="P297" s="17"/>
      <c r="Q297" s="148"/>
      <c r="R297" s="39"/>
      <c r="S297" s="149"/>
      <c r="T297" s="1"/>
      <c r="U297" s="363"/>
      <c r="V297" s="363"/>
      <c r="W297" s="363"/>
      <c r="X297" s="398"/>
    </row>
    <row r="298" spans="1:24">
      <c r="A298" s="396">
        <v>45679</v>
      </c>
      <c r="B298" s="383"/>
      <c r="C298" s="289"/>
      <c r="D298" s="297"/>
      <c r="E298" s="1"/>
      <c r="F298" s="1"/>
      <c r="G298" s="61"/>
      <c r="H298" s="61"/>
      <c r="I298" s="1"/>
      <c r="J298" s="1"/>
      <c r="K298" s="1"/>
      <c r="L298" s="1"/>
      <c r="M298" s="17"/>
      <c r="N298" s="17"/>
      <c r="O298" s="17"/>
      <c r="P298" s="17"/>
      <c r="Q298" s="148"/>
      <c r="R298" s="39"/>
      <c r="S298" s="149"/>
      <c r="T298" s="1"/>
      <c r="U298" s="363"/>
      <c r="V298" s="363"/>
      <c r="W298" s="363"/>
      <c r="X298" s="398"/>
    </row>
    <row r="299" spans="1:24">
      <c r="A299" s="396">
        <v>45680</v>
      </c>
      <c r="B299" s="383"/>
      <c r="C299" s="289"/>
      <c r="D299" s="297"/>
      <c r="E299" s="1"/>
      <c r="F299" s="1"/>
      <c r="G299" s="61"/>
      <c r="H299" s="61"/>
      <c r="I299" s="1"/>
      <c r="J299" s="1"/>
      <c r="K299" s="1"/>
      <c r="L299" s="1"/>
      <c r="M299" s="17"/>
      <c r="N299" s="17"/>
      <c r="O299" s="17"/>
      <c r="P299" s="17"/>
      <c r="Q299" s="148"/>
      <c r="R299" s="39"/>
      <c r="S299" s="149"/>
      <c r="T299" s="1"/>
      <c r="U299" s="363"/>
      <c r="V299" s="363"/>
      <c r="W299" s="363"/>
      <c r="X299" s="398"/>
    </row>
    <row r="300" spans="1:24">
      <c r="A300" s="396">
        <v>45681</v>
      </c>
      <c r="B300" s="383"/>
      <c r="C300" s="289"/>
      <c r="D300" s="297"/>
      <c r="E300" s="1"/>
      <c r="F300" s="1"/>
      <c r="G300" s="61"/>
      <c r="H300" s="61"/>
      <c r="I300" s="1"/>
      <c r="J300" s="1"/>
      <c r="K300" s="1"/>
      <c r="L300" s="1"/>
      <c r="M300" s="17"/>
      <c r="N300" s="17"/>
      <c r="O300" s="17"/>
      <c r="P300" s="17"/>
      <c r="Q300" s="148"/>
      <c r="R300" s="39"/>
      <c r="S300" s="149"/>
      <c r="T300" s="1"/>
      <c r="U300" s="363"/>
      <c r="V300" s="363"/>
      <c r="W300" s="363"/>
      <c r="X300" s="398"/>
    </row>
    <row r="301" spans="1:24">
      <c r="A301" s="396">
        <v>45682</v>
      </c>
      <c r="B301" s="383"/>
      <c r="C301" s="289"/>
      <c r="D301" s="297"/>
      <c r="E301" s="1"/>
      <c r="F301" s="1"/>
      <c r="G301" s="61"/>
      <c r="H301" s="61"/>
      <c r="I301" s="1"/>
      <c r="J301" s="1"/>
      <c r="K301" s="1"/>
      <c r="L301" s="1"/>
      <c r="M301" s="17"/>
      <c r="N301" s="17"/>
      <c r="O301" s="17"/>
      <c r="P301" s="17"/>
      <c r="Q301" s="148"/>
      <c r="R301" s="39"/>
      <c r="S301" s="149"/>
      <c r="T301" s="1"/>
      <c r="U301" s="363"/>
      <c r="V301" s="363"/>
      <c r="W301" s="363"/>
      <c r="X301" s="398"/>
    </row>
    <row r="302" spans="1:24">
      <c r="A302" s="396">
        <v>45683</v>
      </c>
      <c r="B302" s="383"/>
      <c r="C302" s="289"/>
      <c r="D302" s="297"/>
      <c r="E302" s="1"/>
      <c r="F302" s="1"/>
      <c r="G302" s="61"/>
      <c r="H302" s="61"/>
      <c r="I302" s="1"/>
      <c r="J302" s="1"/>
      <c r="K302" s="1"/>
      <c r="L302" s="1"/>
      <c r="M302" s="17"/>
      <c r="N302" s="17"/>
      <c r="O302" s="17"/>
      <c r="P302" s="17"/>
      <c r="Q302" s="148"/>
      <c r="R302" s="39"/>
      <c r="S302" s="149"/>
      <c r="T302" s="1"/>
      <c r="U302" s="363"/>
      <c r="V302" s="363"/>
      <c r="W302" s="363"/>
      <c r="X302" s="398"/>
    </row>
    <row r="303" spans="1:24">
      <c r="A303" s="396">
        <v>45684</v>
      </c>
      <c r="B303" s="383"/>
      <c r="C303" s="289"/>
      <c r="D303" s="297"/>
      <c r="E303" s="1"/>
      <c r="F303" s="1"/>
      <c r="G303" s="61"/>
      <c r="H303" s="61"/>
      <c r="I303" s="1"/>
      <c r="J303" s="1"/>
      <c r="K303" s="1"/>
      <c r="L303" s="1"/>
      <c r="M303" s="17"/>
      <c r="N303" s="17"/>
      <c r="O303" s="17"/>
      <c r="P303" s="17"/>
      <c r="Q303" s="148"/>
      <c r="R303" s="39"/>
      <c r="S303" s="149"/>
      <c r="T303" s="1"/>
      <c r="U303" s="363"/>
      <c r="V303" s="363"/>
      <c r="W303" s="363"/>
      <c r="X303" s="398"/>
    </row>
    <row r="304" spans="1:24">
      <c r="A304" s="396">
        <v>45685</v>
      </c>
      <c r="B304" s="383"/>
      <c r="C304" s="289"/>
      <c r="D304" s="297"/>
      <c r="E304" s="1"/>
      <c r="F304" s="1"/>
      <c r="G304" s="61"/>
      <c r="H304" s="61"/>
      <c r="I304" s="1"/>
      <c r="J304" s="1"/>
      <c r="K304" s="1"/>
      <c r="L304" s="1"/>
      <c r="M304" s="17"/>
      <c r="N304" s="17"/>
      <c r="O304" s="17"/>
      <c r="P304" s="17"/>
      <c r="Q304" s="148"/>
      <c r="R304" s="39"/>
      <c r="S304" s="149"/>
      <c r="T304" s="1"/>
      <c r="U304" s="363"/>
      <c r="V304" s="363"/>
      <c r="W304" s="363"/>
      <c r="X304" s="398"/>
    </row>
    <row r="305" spans="1:24">
      <c r="A305" s="396">
        <v>45686</v>
      </c>
      <c r="B305" s="383"/>
      <c r="C305" s="289"/>
      <c r="D305" s="297"/>
      <c r="E305" s="1"/>
      <c r="F305" s="1"/>
      <c r="G305" s="61"/>
      <c r="H305" s="61"/>
      <c r="I305" s="1"/>
      <c r="J305" s="1"/>
      <c r="K305" s="1"/>
      <c r="L305" s="1"/>
      <c r="M305" s="17"/>
      <c r="N305" s="17"/>
      <c r="O305" s="17"/>
      <c r="P305" s="17"/>
      <c r="Q305" s="148"/>
      <c r="R305" s="39"/>
      <c r="S305" s="149"/>
      <c r="T305" s="1"/>
      <c r="U305" s="363"/>
      <c r="V305" s="363"/>
      <c r="W305" s="363"/>
      <c r="X305" s="398"/>
    </row>
    <row r="306" spans="1:24">
      <c r="A306" s="396">
        <v>45687</v>
      </c>
      <c r="B306" s="383"/>
      <c r="C306" s="289"/>
      <c r="D306" s="297"/>
      <c r="E306" s="1"/>
      <c r="F306" s="1"/>
      <c r="G306" s="61"/>
      <c r="H306" s="61"/>
      <c r="I306" s="1"/>
      <c r="J306" s="1"/>
      <c r="K306" s="1"/>
      <c r="L306" s="1"/>
      <c r="M306" s="17"/>
      <c r="N306" s="17"/>
      <c r="O306" s="17"/>
      <c r="P306" s="17"/>
      <c r="Q306" s="148"/>
      <c r="R306" s="39"/>
      <c r="S306" s="149"/>
      <c r="T306" s="1"/>
      <c r="U306" s="363"/>
      <c r="V306" s="363"/>
      <c r="W306" s="363"/>
      <c r="X306" s="398"/>
    </row>
    <row r="307" spans="1:24">
      <c r="A307" s="396">
        <v>45688</v>
      </c>
      <c r="B307" s="383"/>
      <c r="C307" s="289"/>
      <c r="D307" s="297"/>
      <c r="E307" s="1"/>
      <c r="F307" s="1"/>
      <c r="G307" s="61"/>
      <c r="H307" s="61"/>
      <c r="I307" s="1"/>
      <c r="J307" s="1"/>
      <c r="K307" s="1"/>
      <c r="L307" s="1"/>
      <c r="M307" s="17"/>
      <c r="N307" s="17"/>
      <c r="O307" s="17"/>
      <c r="P307" s="17"/>
      <c r="Q307" s="148"/>
      <c r="R307" s="39"/>
      <c r="S307" s="149"/>
      <c r="T307" s="1"/>
      <c r="U307" s="363"/>
      <c r="V307" s="363"/>
      <c r="W307" s="363"/>
      <c r="X307" s="398"/>
    </row>
    <row r="308" spans="1:24">
      <c r="A308" s="396">
        <v>45689</v>
      </c>
      <c r="B308" s="383"/>
      <c r="C308" s="289"/>
      <c r="D308" s="297"/>
      <c r="E308" s="1"/>
      <c r="F308" s="1"/>
      <c r="G308" s="61"/>
      <c r="H308" s="61"/>
      <c r="I308" s="1"/>
      <c r="J308" s="1"/>
      <c r="K308" s="1"/>
      <c r="L308" s="1"/>
      <c r="M308" s="17"/>
      <c r="N308" s="17"/>
      <c r="O308" s="17"/>
      <c r="P308" s="17"/>
      <c r="Q308" s="148"/>
      <c r="R308" s="39"/>
      <c r="S308" s="149"/>
      <c r="T308" s="1"/>
      <c r="U308" s="363"/>
      <c r="V308" s="363"/>
      <c r="W308" s="363"/>
      <c r="X308" s="398"/>
    </row>
    <row r="309" spans="1:24">
      <c r="A309" s="396">
        <v>45690</v>
      </c>
      <c r="B309" s="383"/>
      <c r="C309" s="289"/>
      <c r="D309" s="297"/>
      <c r="E309" s="1"/>
      <c r="F309" s="1"/>
      <c r="G309" s="61"/>
      <c r="H309" s="61"/>
      <c r="I309" s="1"/>
      <c r="J309" s="1"/>
      <c r="K309" s="1"/>
      <c r="L309" s="1"/>
      <c r="M309" s="17"/>
      <c r="N309" s="17"/>
      <c r="O309" s="17"/>
      <c r="P309" s="17"/>
      <c r="Q309" s="148"/>
      <c r="R309" s="39"/>
      <c r="S309" s="149"/>
      <c r="T309" s="1"/>
      <c r="U309" s="363"/>
      <c r="V309" s="363"/>
      <c r="W309" s="363"/>
      <c r="X309" s="398"/>
    </row>
    <row r="310" spans="1:24">
      <c r="A310" s="396">
        <v>45691</v>
      </c>
      <c r="B310" s="383"/>
      <c r="C310" s="289"/>
      <c r="D310" s="297"/>
      <c r="E310" s="1"/>
      <c r="F310" s="1"/>
      <c r="G310" s="61"/>
      <c r="H310" s="61"/>
      <c r="I310" s="1"/>
      <c r="J310" s="1"/>
      <c r="K310" s="1"/>
      <c r="L310" s="1"/>
      <c r="M310" s="17"/>
      <c r="N310" s="17"/>
      <c r="O310" s="17"/>
      <c r="P310" s="17"/>
      <c r="Q310" s="148"/>
      <c r="R310" s="39"/>
      <c r="S310" s="149"/>
      <c r="T310" s="1"/>
      <c r="U310" s="363"/>
      <c r="V310" s="363"/>
      <c r="W310" s="363"/>
      <c r="X310" s="398"/>
    </row>
    <row r="311" spans="1:24">
      <c r="A311" s="396">
        <v>45692</v>
      </c>
      <c r="B311" s="383"/>
      <c r="C311" s="289"/>
      <c r="D311" s="297"/>
      <c r="E311" s="1"/>
      <c r="F311" s="1"/>
      <c r="G311" s="61"/>
      <c r="H311" s="61"/>
      <c r="I311" s="1"/>
      <c r="J311" s="1"/>
      <c r="K311" s="1"/>
      <c r="L311" s="1"/>
      <c r="M311" s="17"/>
      <c r="N311" s="17"/>
      <c r="O311" s="17"/>
      <c r="P311" s="17"/>
      <c r="Q311" s="148"/>
      <c r="R311" s="39"/>
      <c r="S311" s="149"/>
      <c r="T311" s="1"/>
      <c r="U311" s="363"/>
      <c r="V311" s="363"/>
      <c r="W311" s="363"/>
      <c r="X311" s="398"/>
    </row>
    <row r="312" spans="1:24">
      <c r="A312" s="396">
        <v>45693</v>
      </c>
      <c r="B312" s="383"/>
      <c r="C312" s="289"/>
      <c r="D312" s="297"/>
      <c r="E312" s="1"/>
      <c r="F312" s="1"/>
      <c r="G312" s="61"/>
      <c r="H312" s="61"/>
      <c r="I312" s="1"/>
      <c r="J312" s="1"/>
      <c r="K312" s="1"/>
      <c r="L312" s="1"/>
      <c r="M312" s="17"/>
      <c r="N312" s="17"/>
      <c r="O312" s="17"/>
      <c r="P312" s="17"/>
      <c r="Q312" s="148"/>
      <c r="R312" s="39"/>
      <c r="S312" s="149"/>
      <c r="T312" s="1"/>
      <c r="U312" s="363"/>
      <c r="V312" s="363"/>
      <c r="W312" s="363"/>
      <c r="X312" s="398"/>
    </row>
    <row r="313" spans="1:24">
      <c r="A313" s="396">
        <v>45694</v>
      </c>
      <c r="B313" s="383"/>
      <c r="C313" s="289"/>
      <c r="D313" s="297"/>
      <c r="E313" s="1"/>
      <c r="F313" s="1"/>
      <c r="G313" s="61"/>
      <c r="H313" s="61"/>
      <c r="I313" s="1"/>
      <c r="J313" s="1"/>
      <c r="K313" s="1"/>
      <c r="L313" s="1"/>
      <c r="M313" s="17"/>
      <c r="N313" s="17"/>
      <c r="O313" s="17"/>
      <c r="P313" s="17"/>
      <c r="Q313" s="148"/>
      <c r="R313" s="39"/>
      <c r="S313" s="149"/>
      <c r="T313" s="1"/>
      <c r="U313" s="363"/>
      <c r="V313" s="363"/>
      <c r="W313" s="363"/>
      <c r="X313" s="398"/>
    </row>
    <row r="314" spans="1:24">
      <c r="A314" s="396">
        <v>45695</v>
      </c>
      <c r="B314" s="383"/>
      <c r="C314" s="289"/>
      <c r="D314" s="297"/>
      <c r="E314" s="1"/>
      <c r="F314" s="1"/>
      <c r="G314" s="61"/>
      <c r="H314" s="61"/>
      <c r="I314" s="1"/>
      <c r="J314" s="1"/>
      <c r="K314" s="1"/>
      <c r="L314" s="1"/>
      <c r="M314" s="17"/>
      <c r="N314" s="17"/>
      <c r="O314" s="17"/>
      <c r="P314" s="17"/>
      <c r="Q314" s="148"/>
      <c r="R314" s="39"/>
      <c r="S314" s="149"/>
      <c r="T314" s="1"/>
      <c r="U314" s="363"/>
      <c r="V314" s="363"/>
      <c r="W314" s="363"/>
      <c r="X314" s="398"/>
    </row>
    <row r="315" spans="1:24">
      <c r="A315" s="396">
        <v>45696</v>
      </c>
      <c r="B315" s="383"/>
      <c r="C315" s="289"/>
      <c r="D315" s="297"/>
      <c r="E315" s="1"/>
      <c r="F315" s="1"/>
      <c r="G315" s="61"/>
      <c r="H315" s="61"/>
      <c r="I315" s="1"/>
      <c r="J315" s="1"/>
      <c r="K315" s="1"/>
      <c r="L315" s="1"/>
      <c r="M315" s="17"/>
      <c r="N315" s="17"/>
      <c r="O315" s="17"/>
      <c r="P315" s="17"/>
      <c r="Q315" s="148"/>
      <c r="R315" s="39"/>
      <c r="S315" s="149"/>
      <c r="T315" s="1"/>
      <c r="U315" s="363"/>
      <c r="V315" s="363"/>
      <c r="W315" s="363"/>
      <c r="X315" s="398"/>
    </row>
    <row r="316" spans="1:24">
      <c r="A316" s="396">
        <v>45697</v>
      </c>
      <c r="B316" s="383"/>
      <c r="C316" s="289"/>
      <c r="D316" s="297"/>
      <c r="E316" s="1"/>
      <c r="F316" s="1"/>
      <c r="G316" s="61"/>
      <c r="H316" s="61"/>
      <c r="I316" s="1"/>
      <c r="J316" s="1"/>
      <c r="K316" s="1"/>
      <c r="L316" s="1"/>
      <c r="M316" s="17"/>
      <c r="N316" s="17"/>
      <c r="O316" s="17"/>
      <c r="P316" s="17"/>
      <c r="Q316" s="148"/>
      <c r="R316" s="39"/>
      <c r="S316" s="149"/>
      <c r="T316" s="1"/>
      <c r="U316" s="363"/>
      <c r="V316" s="363"/>
      <c r="W316" s="363"/>
      <c r="X316" s="398"/>
    </row>
    <row r="317" spans="1:24">
      <c r="A317" s="396">
        <v>45698</v>
      </c>
      <c r="B317" s="383"/>
      <c r="C317" s="289"/>
      <c r="D317" s="297"/>
      <c r="E317" s="1"/>
      <c r="F317" s="1"/>
      <c r="G317" s="61"/>
      <c r="H317" s="61"/>
      <c r="I317" s="1"/>
      <c r="J317" s="1"/>
      <c r="K317" s="1"/>
      <c r="L317" s="1"/>
      <c r="M317" s="17"/>
      <c r="N317" s="17"/>
      <c r="O317" s="17"/>
      <c r="P317" s="17"/>
      <c r="Q317" s="148"/>
      <c r="R317" s="39"/>
      <c r="S317" s="149"/>
      <c r="T317" s="1"/>
      <c r="U317" s="363"/>
      <c r="V317" s="363"/>
      <c r="W317" s="363"/>
      <c r="X317" s="398"/>
    </row>
    <row r="318" spans="1:24">
      <c r="A318" s="396">
        <v>45699</v>
      </c>
      <c r="B318" s="383"/>
      <c r="C318" s="289"/>
      <c r="D318" s="297"/>
      <c r="E318" s="1"/>
      <c r="F318" s="1"/>
      <c r="G318" s="61"/>
      <c r="H318" s="61"/>
      <c r="I318" s="1"/>
      <c r="J318" s="1"/>
      <c r="K318" s="1"/>
      <c r="L318" s="1"/>
      <c r="M318" s="17"/>
      <c r="N318" s="17"/>
      <c r="O318" s="17"/>
      <c r="P318" s="17"/>
      <c r="Q318" s="148"/>
      <c r="R318" s="39"/>
      <c r="S318" s="149"/>
      <c r="T318" s="1"/>
      <c r="U318" s="363"/>
      <c r="V318" s="363"/>
      <c r="W318" s="363"/>
      <c r="X318" s="398"/>
    </row>
    <row r="319" spans="1:24">
      <c r="A319" s="396">
        <v>45700</v>
      </c>
      <c r="B319" s="383"/>
      <c r="C319" s="289"/>
      <c r="D319" s="297"/>
      <c r="E319" s="1"/>
      <c r="F319" s="1"/>
      <c r="G319" s="61"/>
      <c r="H319" s="61"/>
      <c r="I319" s="1"/>
      <c r="J319" s="1"/>
      <c r="K319" s="1"/>
      <c r="L319" s="1"/>
      <c r="M319" s="17"/>
      <c r="N319" s="17"/>
      <c r="O319" s="17"/>
      <c r="P319" s="17"/>
      <c r="Q319" s="148"/>
      <c r="R319" s="39"/>
      <c r="S319" s="149"/>
      <c r="T319" s="1"/>
      <c r="U319" s="363"/>
      <c r="V319" s="363"/>
      <c r="W319" s="363"/>
      <c r="X319" s="398"/>
    </row>
    <row r="320" spans="1:24">
      <c r="A320" s="396">
        <v>45701</v>
      </c>
      <c r="B320" s="383"/>
      <c r="C320" s="289"/>
      <c r="D320" s="297"/>
      <c r="E320" s="1"/>
      <c r="F320" s="1"/>
      <c r="G320" s="61"/>
      <c r="H320" s="61"/>
      <c r="I320" s="1"/>
      <c r="J320" s="1"/>
      <c r="K320" s="1"/>
      <c r="L320" s="1"/>
      <c r="M320" s="17"/>
      <c r="N320" s="17"/>
      <c r="O320" s="17"/>
      <c r="P320" s="17"/>
      <c r="Q320" s="148"/>
      <c r="R320" s="39"/>
      <c r="S320" s="149"/>
      <c r="T320" s="1"/>
      <c r="U320" s="363"/>
      <c r="V320" s="363"/>
      <c r="W320" s="363"/>
      <c r="X320" s="398"/>
    </row>
    <row r="321" spans="1:24">
      <c r="A321" s="396">
        <v>45702</v>
      </c>
      <c r="B321" s="383"/>
      <c r="C321" s="289"/>
      <c r="D321" s="297"/>
      <c r="E321" s="1"/>
      <c r="F321" s="1"/>
      <c r="G321" s="61"/>
      <c r="H321" s="61"/>
      <c r="I321" s="1"/>
      <c r="J321" s="1"/>
      <c r="K321" s="1"/>
      <c r="L321" s="1"/>
      <c r="M321" s="17"/>
      <c r="N321" s="17"/>
      <c r="O321" s="17"/>
      <c r="P321" s="17"/>
      <c r="Q321" s="148"/>
      <c r="R321" s="39"/>
      <c r="S321" s="149"/>
      <c r="T321" s="1"/>
      <c r="U321" s="363"/>
      <c r="V321" s="363"/>
      <c r="W321" s="363"/>
      <c r="X321" s="398"/>
    </row>
    <row r="322" spans="1:24">
      <c r="A322" s="396">
        <v>45703</v>
      </c>
      <c r="B322" s="383"/>
      <c r="C322" s="289"/>
      <c r="D322" s="297"/>
      <c r="E322" s="1"/>
      <c r="F322" s="1"/>
      <c r="G322" s="61"/>
      <c r="H322" s="61"/>
      <c r="I322" s="1"/>
      <c r="J322" s="1"/>
      <c r="K322" s="1"/>
      <c r="L322" s="1"/>
      <c r="M322" s="17"/>
      <c r="N322" s="17"/>
      <c r="O322" s="17"/>
      <c r="P322" s="17"/>
      <c r="Q322" s="148"/>
      <c r="R322" s="39"/>
      <c r="S322" s="149"/>
      <c r="T322" s="1"/>
      <c r="U322" s="363"/>
      <c r="V322" s="363"/>
      <c r="W322" s="363"/>
      <c r="X322" s="398"/>
    </row>
    <row r="323" spans="1:24">
      <c r="A323" s="396">
        <v>45704</v>
      </c>
      <c r="B323" s="383"/>
      <c r="C323" s="289"/>
      <c r="D323" s="297"/>
      <c r="E323" s="1"/>
      <c r="F323" s="1"/>
      <c r="G323" s="61"/>
      <c r="H323" s="61"/>
      <c r="I323" s="1"/>
      <c r="J323" s="1"/>
      <c r="K323" s="1"/>
      <c r="L323" s="1"/>
      <c r="M323" s="17"/>
      <c r="N323" s="17"/>
      <c r="O323" s="17"/>
      <c r="P323" s="17"/>
      <c r="Q323" s="148"/>
      <c r="R323" s="39"/>
      <c r="S323" s="149"/>
      <c r="T323" s="1"/>
      <c r="U323" s="363"/>
      <c r="V323" s="363"/>
      <c r="W323" s="363"/>
      <c r="X323" s="398"/>
    </row>
    <row r="324" spans="1:24">
      <c r="A324" s="396">
        <v>45705</v>
      </c>
      <c r="B324" s="383"/>
      <c r="C324" s="289"/>
      <c r="D324" s="297"/>
      <c r="E324" s="1"/>
      <c r="F324" s="1"/>
      <c r="G324" s="61"/>
      <c r="H324" s="61"/>
      <c r="I324" s="1"/>
      <c r="J324" s="1"/>
      <c r="K324" s="1"/>
      <c r="L324" s="1"/>
      <c r="M324" s="17"/>
      <c r="N324" s="17"/>
      <c r="O324" s="17"/>
      <c r="P324" s="17"/>
      <c r="Q324" s="148"/>
      <c r="R324" s="39"/>
      <c r="S324" s="149"/>
      <c r="T324" s="1"/>
      <c r="U324" s="363"/>
      <c r="V324" s="363"/>
      <c r="W324" s="363"/>
      <c r="X324" s="398"/>
    </row>
    <row r="325" spans="1:24">
      <c r="A325" s="396">
        <v>45706</v>
      </c>
      <c r="B325" s="383"/>
      <c r="C325" s="289"/>
      <c r="D325" s="297"/>
      <c r="E325" s="1"/>
      <c r="F325" s="1"/>
      <c r="G325" s="61"/>
      <c r="H325" s="61"/>
      <c r="I325" s="1"/>
      <c r="J325" s="1"/>
      <c r="K325" s="1"/>
      <c r="L325" s="1"/>
      <c r="M325" s="17"/>
      <c r="N325" s="17"/>
      <c r="O325" s="17"/>
      <c r="P325" s="17"/>
      <c r="Q325" s="148"/>
      <c r="R325" s="39"/>
      <c r="S325" s="149"/>
      <c r="T325" s="1"/>
      <c r="U325" s="363"/>
      <c r="V325" s="363"/>
      <c r="W325" s="363"/>
      <c r="X325" s="398"/>
    </row>
    <row r="326" spans="1:24">
      <c r="A326" s="396">
        <v>45707</v>
      </c>
      <c r="B326" s="383"/>
      <c r="C326" s="289"/>
      <c r="D326" s="297"/>
      <c r="E326" s="1"/>
      <c r="F326" s="1"/>
      <c r="G326" s="61"/>
      <c r="H326" s="61"/>
      <c r="I326" s="1"/>
      <c r="J326" s="1"/>
      <c r="K326" s="1"/>
      <c r="L326" s="1"/>
      <c r="M326" s="17"/>
      <c r="N326" s="17"/>
      <c r="O326" s="17"/>
      <c r="P326" s="17"/>
      <c r="Q326" s="148"/>
      <c r="R326" s="39"/>
      <c r="S326" s="149"/>
      <c r="T326" s="1"/>
      <c r="U326" s="363"/>
      <c r="V326" s="363"/>
      <c r="W326" s="363"/>
      <c r="X326" s="398"/>
    </row>
    <row r="327" spans="1:24">
      <c r="A327" s="396">
        <v>45708</v>
      </c>
      <c r="B327" s="383"/>
      <c r="C327" s="289"/>
      <c r="D327" s="297"/>
      <c r="E327" s="1"/>
      <c r="F327" s="1"/>
      <c r="G327" s="61"/>
      <c r="H327" s="61"/>
      <c r="I327" s="1"/>
      <c r="J327" s="1"/>
      <c r="K327" s="1"/>
      <c r="L327" s="1"/>
      <c r="M327" s="17"/>
      <c r="N327" s="17"/>
      <c r="O327" s="17"/>
      <c r="P327" s="17"/>
      <c r="Q327" s="148"/>
      <c r="R327" s="39"/>
      <c r="S327" s="149"/>
      <c r="T327" s="1"/>
      <c r="U327" s="363"/>
      <c r="V327" s="363"/>
      <c r="W327" s="363"/>
      <c r="X327" s="398"/>
    </row>
    <row r="328" spans="1:24">
      <c r="A328" s="396">
        <v>45709</v>
      </c>
      <c r="B328" s="383"/>
      <c r="C328" s="289"/>
      <c r="D328" s="297"/>
      <c r="E328" s="1"/>
      <c r="F328" s="1"/>
      <c r="G328" s="61"/>
      <c r="H328" s="61"/>
      <c r="I328" s="1"/>
      <c r="J328" s="1"/>
      <c r="K328" s="1"/>
      <c r="L328" s="1"/>
      <c r="M328" s="17"/>
      <c r="N328" s="17"/>
      <c r="O328" s="17"/>
      <c r="P328" s="17"/>
      <c r="Q328" s="148"/>
      <c r="R328" s="39"/>
      <c r="S328" s="149"/>
      <c r="T328" s="1"/>
      <c r="U328" s="363"/>
      <c r="V328" s="363"/>
      <c r="W328" s="363"/>
      <c r="X328" s="398"/>
    </row>
    <row r="329" spans="1:24">
      <c r="A329" s="396">
        <v>45710</v>
      </c>
      <c r="B329" s="383"/>
      <c r="C329" s="289"/>
      <c r="D329" s="297"/>
      <c r="E329" s="1"/>
      <c r="F329" s="1"/>
      <c r="G329" s="61"/>
      <c r="H329" s="61"/>
      <c r="I329" s="1"/>
      <c r="J329" s="1"/>
      <c r="K329" s="1"/>
      <c r="L329" s="1"/>
      <c r="M329" s="17"/>
      <c r="N329" s="17"/>
      <c r="O329" s="17"/>
      <c r="P329" s="17"/>
      <c r="Q329" s="148"/>
      <c r="R329" s="39"/>
      <c r="S329" s="149"/>
      <c r="T329" s="1"/>
      <c r="U329" s="363"/>
      <c r="V329" s="363"/>
      <c r="W329" s="363"/>
      <c r="X329" s="398"/>
    </row>
    <row r="330" spans="1:24">
      <c r="A330" s="396">
        <v>45711</v>
      </c>
      <c r="B330" s="383"/>
      <c r="C330" s="289"/>
      <c r="D330" s="297"/>
      <c r="E330" s="1"/>
      <c r="F330" s="1"/>
      <c r="G330" s="61"/>
      <c r="H330" s="61"/>
      <c r="I330" s="1"/>
      <c r="J330" s="1"/>
      <c r="K330" s="1"/>
      <c r="L330" s="1"/>
      <c r="M330" s="17"/>
      <c r="N330" s="17"/>
      <c r="O330" s="17"/>
      <c r="P330" s="17"/>
      <c r="Q330" s="148"/>
      <c r="R330" s="39"/>
      <c r="S330" s="149"/>
      <c r="T330" s="1"/>
      <c r="U330" s="363"/>
      <c r="V330" s="363"/>
      <c r="W330" s="363"/>
      <c r="X330" s="398"/>
    </row>
    <row r="331" spans="1:24">
      <c r="A331" s="396">
        <v>45712</v>
      </c>
      <c r="B331" s="383"/>
      <c r="C331" s="289"/>
      <c r="D331" s="297"/>
      <c r="E331" s="1"/>
      <c r="F331" s="1"/>
      <c r="G331" s="61"/>
      <c r="H331" s="61"/>
      <c r="I331" s="1"/>
      <c r="J331" s="1"/>
      <c r="K331" s="1"/>
      <c r="L331" s="1"/>
      <c r="M331" s="17"/>
      <c r="N331" s="17"/>
      <c r="O331" s="17"/>
      <c r="P331" s="17"/>
      <c r="Q331" s="148"/>
      <c r="R331" s="39"/>
      <c r="S331" s="149"/>
      <c r="T331" s="1"/>
      <c r="U331" s="363"/>
      <c r="V331" s="363"/>
      <c r="W331" s="363"/>
      <c r="X331" s="398"/>
    </row>
    <row r="332" spans="1:24">
      <c r="A332" s="396">
        <v>45713</v>
      </c>
      <c r="B332" s="383"/>
      <c r="C332" s="289"/>
      <c r="D332" s="297"/>
      <c r="E332" s="1"/>
      <c r="F332" s="1"/>
      <c r="G332" s="61"/>
      <c r="H332" s="61"/>
      <c r="I332" s="1"/>
      <c r="J332" s="1"/>
      <c r="K332" s="1"/>
      <c r="L332" s="1"/>
      <c r="M332" s="17"/>
      <c r="N332" s="17"/>
      <c r="O332" s="17"/>
      <c r="P332" s="17"/>
      <c r="Q332" s="148"/>
      <c r="R332" s="39"/>
      <c r="S332" s="149"/>
      <c r="T332" s="1"/>
      <c r="U332" s="363"/>
      <c r="V332" s="363"/>
      <c r="W332" s="363"/>
      <c r="X332" s="398"/>
    </row>
    <row r="333" spans="1:24">
      <c r="A333" s="396">
        <v>45714</v>
      </c>
      <c r="B333" s="383"/>
      <c r="C333" s="289"/>
      <c r="D333" s="297"/>
      <c r="E333" s="1"/>
      <c r="F333" s="1"/>
      <c r="G333" s="61"/>
      <c r="H333" s="61"/>
      <c r="I333" s="1"/>
      <c r="J333" s="1"/>
      <c r="K333" s="1"/>
      <c r="L333" s="1"/>
      <c r="M333" s="17"/>
      <c r="N333" s="17"/>
      <c r="O333" s="17"/>
      <c r="P333" s="17"/>
      <c r="Q333" s="148"/>
      <c r="R333" s="39"/>
      <c r="S333" s="149"/>
      <c r="T333" s="1"/>
      <c r="U333" s="363"/>
      <c r="V333" s="363"/>
      <c r="W333" s="363"/>
      <c r="X333" s="398"/>
    </row>
    <row r="334" spans="1:24">
      <c r="A334" s="396">
        <v>45715</v>
      </c>
      <c r="B334" s="383"/>
      <c r="C334" s="289"/>
      <c r="D334" s="297"/>
      <c r="E334" s="1"/>
      <c r="F334" s="1"/>
      <c r="G334" s="61"/>
      <c r="H334" s="61"/>
      <c r="I334" s="1"/>
      <c r="J334" s="1"/>
      <c r="K334" s="1"/>
      <c r="L334" s="1"/>
      <c r="M334" s="17"/>
      <c r="N334" s="17"/>
      <c r="O334" s="17"/>
      <c r="P334" s="17"/>
      <c r="Q334" s="148"/>
      <c r="R334" s="39"/>
      <c r="S334" s="149"/>
      <c r="T334" s="1"/>
      <c r="U334" s="363"/>
      <c r="V334" s="363"/>
      <c r="W334" s="363"/>
      <c r="X334" s="398"/>
    </row>
    <row r="335" spans="1:24">
      <c r="A335" s="396">
        <v>45716</v>
      </c>
      <c r="B335" s="383"/>
      <c r="C335" s="289"/>
      <c r="D335" s="297"/>
      <c r="E335" s="1"/>
      <c r="F335" s="1"/>
      <c r="G335" s="61"/>
      <c r="H335" s="61"/>
      <c r="I335" s="1"/>
      <c r="J335" s="1"/>
      <c r="K335" s="1"/>
      <c r="L335" s="1"/>
      <c r="M335" s="17"/>
      <c r="N335" s="17"/>
      <c r="O335" s="17"/>
      <c r="P335" s="17"/>
      <c r="Q335" s="148"/>
      <c r="R335" s="39"/>
      <c r="S335" s="149"/>
      <c r="T335" s="1"/>
      <c r="U335" s="363"/>
      <c r="V335" s="363"/>
      <c r="W335" s="363"/>
      <c r="X335" s="398"/>
    </row>
    <row r="336" spans="1:24">
      <c r="A336" s="396">
        <v>45717</v>
      </c>
      <c r="B336" s="383"/>
      <c r="C336" s="289"/>
      <c r="D336" s="297"/>
      <c r="E336" s="1"/>
      <c r="F336" s="1"/>
      <c r="G336" s="61"/>
      <c r="H336" s="61"/>
      <c r="I336" s="1"/>
      <c r="J336" s="1"/>
      <c r="K336" s="1"/>
      <c r="L336" s="1"/>
      <c r="M336" s="17"/>
      <c r="N336" s="17"/>
      <c r="O336" s="17"/>
      <c r="P336" s="17"/>
      <c r="Q336" s="148"/>
      <c r="R336" s="39"/>
      <c r="S336" s="149"/>
      <c r="T336" s="1"/>
      <c r="U336" s="363"/>
      <c r="V336" s="363"/>
      <c r="W336" s="363"/>
      <c r="X336" s="398"/>
    </row>
    <row r="337" spans="1:24">
      <c r="A337" s="396">
        <v>45718</v>
      </c>
      <c r="B337" s="383"/>
      <c r="C337" s="289"/>
      <c r="D337" s="297"/>
      <c r="E337" s="1"/>
      <c r="F337" s="1"/>
      <c r="G337" s="61"/>
      <c r="H337" s="61"/>
      <c r="I337" s="1"/>
      <c r="J337" s="1"/>
      <c r="K337" s="1"/>
      <c r="L337" s="1"/>
      <c r="M337" s="17"/>
      <c r="N337" s="17"/>
      <c r="O337" s="17"/>
      <c r="P337" s="17"/>
      <c r="Q337" s="148"/>
      <c r="R337" s="39"/>
      <c r="S337" s="149"/>
      <c r="T337" s="1"/>
      <c r="U337" s="363"/>
      <c r="V337" s="363"/>
      <c r="W337" s="363"/>
      <c r="X337" s="398"/>
    </row>
    <row r="338" spans="1:24">
      <c r="A338" s="396">
        <v>45719</v>
      </c>
      <c r="B338" s="383"/>
      <c r="C338" s="289"/>
      <c r="D338" s="297"/>
      <c r="E338" s="1"/>
      <c r="F338" s="1"/>
      <c r="G338" s="61"/>
      <c r="H338" s="61"/>
      <c r="I338" s="1"/>
      <c r="J338" s="1"/>
      <c r="K338" s="1"/>
      <c r="L338" s="1"/>
      <c r="M338" s="17"/>
      <c r="N338" s="17"/>
      <c r="O338" s="17"/>
      <c r="P338" s="17"/>
      <c r="Q338" s="148"/>
      <c r="R338" s="39"/>
      <c r="S338" s="149"/>
      <c r="T338" s="1"/>
      <c r="U338" s="363"/>
      <c r="V338" s="363"/>
      <c r="W338" s="363"/>
      <c r="X338" s="398"/>
    </row>
    <row r="339" spans="1:24">
      <c r="A339" s="396">
        <v>45720</v>
      </c>
      <c r="B339" s="383"/>
      <c r="C339" s="289"/>
      <c r="D339" s="297"/>
      <c r="E339" s="1"/>
      <c r="F339" s="1"/>
      <c r="G339" s="61"/>
      <c r="H339" s="61"/>
      <c r="I339" s="1"/>
      <c r="J339" s="1"/>
      <c r="K339" s="1"/>
      <c r="L339" s="1"/>
      <c r="M339" s="17"/>
      <c r="N339" s="17"/>
      <c r="O339" s="17"/>
      <c r="P339" s="17"/>
      <c r="Q339" s="148"/>
      <c r="R339" s="39"/>
      <c r="S339" s="149"/>
      <c r="T339" s="1"/>
      <c r="U339" s="363"/>
      <c r="V339" s="363"/>
      <c r="W339" s="363"/>
      <c r="X339" s="398"/>
    </row>
    <row r="340" spans="1:24">
      <c r="A340" s="396">
        <v>45721</v>
      </c>
      <c r="B340" s="383"/>
      <c r="C340" s="289"/>
      <c r="D340" s="297"/>
      <c r="E340" s="1"/>
      <c r="F340" s="1"/>
      <c r="G340" s="61"/>
      <c r="H340" s="61"/>
      <c r="I340" s="1"/>
      <c r="J340" s="1"/>
      <c r="K340" s="1"/>
      <c r="L340" s="1"/>
      <c r="M340" s="17"/>
      <c r="N340" s="17"/>
      <c r="O340" s="17"/>
      <c r="P340" s="17"/>
      <c r="Q340" s="148"/>
      <c r="R340" s="39"/>
      <c r="S340" s="149"/>
      <c r="T340" s="1"/>
      <c r="U340" s="363"/>
      <c r="V340" s="363"/>
      <c r="W340" s="363"/>
      <c r="X340" s="398"/>
    </row>
    <row r="341" spans="1:24">
      <c r="A341" s="396">
        <v>45722</v>
      </c>
      <c r="B341" s="383"/>
      <c r="C341" s="289"/>
      <c r="D341" s="297"/>
      <c r="E341" s="1"/>
      <c r="F341" s="1"/>
      <c r="G341" s="61"/>
      <c r="H341" s="61"/>
      <c r="I341" s="1"/>
      <c r="J341" s="1"/>
      <c r="K341" s="1"/>
      <c r="L341" s="1"/>
      <c r="M341" s="17"/>
      <c r="N341" s="17"/>
      <c r="O341" s="17"/>
      <c r="P341" s="17"/>
      <c r="Q341" s="148"/>
      <c r="R341" s="39"/>
      <c r="S341" s="149"/>
      <c r="T341" s="1"/>
      <c r="U341" s="363"/>
      <c r="V341" s="363"/>
      <c r="W341" s="363"/>
      <c r="X341" s="398"/>
    </row>
    <row r="342" spans="1:24">
      <c r="A342" s="396">
        <v>45723</v>
      </c>
      <c r="B342" s="383"/>
      <c r="C342" s="289"/>
      <c r="D342" s="297"/>
      <c r="E342" s="1"/>
      <c r="F342" s="1"/>
      <c r="G342" s="61"/>
      <c r="H342" s="61"/>
      <c r="I342" s="1"/>
      <c r="J342" s="1"/>
      <c r="K342" s="1"/>
      <c r="L342" s="1"/>
      <c r="M342" s="17"/>
      <c r="N342" s="17"/>
      <c r="O342" s="17"/>
      <c r="P342" s="17"/>
      <c r="Q342" s="148"/>
      <c r="R342" s="39"/>
      <c r="S342" s="149"/>
      <c r="T342" s="1"/>
      <c r="U342" s="363"/>
      <c r="V342" s="363"/>
      <c r="W342" s="363"/>
      <c r="X342" s="398"/>
    </row>
    <row r="343" spans="1:24">
      <c r="A343" s="396">
        <v>45724</v>
      </c>
      <c r="B343" s="383"/>
      <c r="C343" s="289"/>
      <c r="D343" s="297"/>
      <c r="E343" s="1"/>
      <c r="F343" s="1"/>
      <c r="G343" s="61"/>
      <c r="H343" s="61"/>
      <c r="I343" s="1"/>
      <c r="J343" s="1"/>
      <c r="K343" s="1"/>
      <c r="L343" s="1"/>
      <c r="M343" s="17"/>
      <c r="N343" s="17"/>
      <c r="O343" s="17"/>
      <c r="P343" s="17"/>
      <c r="Q343" s="148"/>
      <c r="R343" s="39"/>
      <c r="S343" s="149"/>
      <c r="T343" s="1"/>
      <c r="U343" s="363"/>
      <c r="V343" s="363"/>
      <c r="W343" s="363"/>
      <c r="X343" s="398"/>
    </row>
    <row r="344" spans="1:24">
      <c r="A344" s="396">
        <v>45725</v>
      </c>
      <c r="B344" s="383"/>
      <c r="C344" s="289"/>
      <c r="D344" s="297"/>
      <c r="E344" s="1"/>
      <c r="F344" s="1"/>
      <c r="G344" s="61"/>
      <c r="H344" s="61"/>
      <c r="I344" s="1"/>
      <c r="J344" s="1"/>
      <c r="K344" s="1"/>
      <c r="L344" s="1"/>
      <c r="M344" s="17"/>
      <c r="N344" s="17"/>
      <c r="O344" s="17"/>
      <c r="P344" s="17"/>
      <c r="Q344" s="148"/>
      <c r="R344" s="39"/>
      <c r="S344" s="149"/>
      <c r="T344" s="1"/>
      <c r="U344" s="363"/>
      <c r="V344" s="363"/>
      <c r="W344" s="363"/>
      <c r="X344" s="398"/>
    </row>
    <row r="345" spans="1:24">
      <c r="A345" s="396">
        <v>45726</v>
      </c>
      <c r="B345" s="383"/>
      <c r="C345" s="289"/>
      <c r="D345" s="297"/>
      <c r="E345" s="1"/>
      <c r="F345" s="1"/>
      <c r="G345" s="61"/>
      <c r="H345" s="61"/>
      <c r="I345" s="1"/>
      <c r="J345" s="1"/>
      <c r="K345" s="1"/>
      <c r="L345" s="1"/>
      <c r="M345" s="17"/>
      <c r="N345" s="17"/>
      <c r="O345" s="17"/>
      <c r="P345" s="17"/>
      <c r="Q345" s="148"/>
      <c r="R345" s="39"/>
      <c r="S345" s="149"/>
      <c r="T345" s="1"/>
      <c r="U345" s="363"/>
      <c r="V345" s="363"/>
      <c r="W345" s="363"/>
      <c r="X345" s="398"/>
    </row>
    <row r="346" spans="1:24">
      <c r="A346" s="396">
        <v>45727</v>
      </c>
      <c r="B346" s="383"/>
      <c r="C346" s="289"/>
      <c r="D346" s="297"/>
      <c r="E346" s="1"/>
      <c r="F346" s="1"/>
      <c r="G346" s="61"/>
      <c r="H346" s="61"/>
      <c r="I346" s="1"/>
      <c r="J346" s="1"/>
      <c r="K346" s="1"/>
      <c r="L346" s="1"/>
      <c r="M346" s="17"/>
      <c r="N346" s="17"/>
      <c r="O346" s="17"/>
      <c r="P346" s="17"/>
      <c r="Q346" s="148"/>
      <c r="R346" s="39"/>
      <c r="S346" s="149"/>
      <c r="T346" s="1"/>
      <c r="U346" s="363"/>
      <c r="V346" s="363"/>
      <c r="W346" s="363"/>
      <c r="X346" s="398"/>
    </row>
    <row r="347" spans="1:24">
      <c r="A347" s="396">
        <v>45728</v>
      </c>
      <c r="B347" s="383"/>
      <c r="C347" s="289"/>
      <c r="D347" s="297"/>
      <c r="E347" s="1"/>
      <c r="F347" s="1"/>
      <c r="G347" s="61"/>
      <c r="H347" s="61"/>
      <c r="I347" s="1"/>
      <c r="J347" s="1"/>
      <c r="K347" s="1"/>
      <c r="L347" s="1"/>
      <c r="M347" s="17"/>
      <c r="N347" s="17"/>
      <c r="O347" s="17"/>
      <c r="P347" s="17"/>
      <c r="Q347" s="148"/>
      <c r="R347" s="39"/>
      <c r="S347" s="149"/>
      <c r="T347" s="1"/>
      <c r="U347" s="363"/>
      <c r="V347" s="363"/>
      <c r="W347" s="363"/>
      <c r="X347" s="398"/>
    </row>
    <row r="348" spans="1:24">
      <c r="A348" s="396">
        <v>45729</v>
      </c>
      <c r="B348" s="383"/>
      <c r="C348" s="289"/>
      <c r="D348" s="297"/>
      <c r="E348" s="1"/>
      <c r="F348" s="1"/>
      <c r="G348" s="61"/>
      <c r="H348" s="61"/>
      <c r="I348" s="1"/>
      <c r="J348" s="1"/>
      <c r="K348" s="1"/>
      <c r="L348" s="1"/>
      <c r="M348" s="17"/>
      <c r="N348" s="17"/>
      <c r="O348" s="17"/>
      <c r="P348" s="17"/>
      <c r="Q348" s="148"/>
      <c r="R348" s="39"/>
      <c r="S348" s="149"/>
      <c r="T348" s="1"/>
      <c r="U348" s="363"/>
      <c r="V348" s="363"/>
      <c r="W348" s="363"/>
      <c r="X348" s="398"/>
    </row>
    <row r="349" spans="1:24">
      <c r="A349" s="396">
        <v>45730</v>
      </c>
      <c r="B349" s="383"/>
      <c r="C349" s="289"/>
      <c r="D349" s="297"/>
      <c r="E349" s="1"/>
      <c r="F349" s="1"/>
      <c r="G349" s="61"/>
      <c r="H349" s="61"/>
      <c r="I349" s="1"/>
      <c r="J349" s="1"/>
      <c r="K349" s="1"/>
      <c r="L349" s="1"/>
      <c r="M349" s="17"/>
      <c r="N349" s="17"/>
      <c r="O349" s="17"/>
      <c r="P349" s="17"/>
      <c r="Q349" s="148"/>
      <c r="R349" s="39"/>
      <c r="S349" s="149"/>
      <c r="T349" s="1"/>
      <c r="U349" s="363"/>
      <c r="V349" s="363"/>
      <c r="W349" s="363"/>
      <c r="X349" s="398"/>
    </row>
    <row r="350" spans="1:24">
      <c r="A350" s="396">
        <v>45731</v>
      </c>
      <c r="B350" s="383"/>
      <c r="C350" s="289"/>
      <c r="D350" s="297"/>
      <c r="E350" s="1"/>
      <c r="F350" s="1"/>
      <c r="G350" s="61"/>
      <c r="H350" s="61"/>
      <c r="I350" s="1"/>
      <c r="J350" s="1"/>
      <c r="K350" s="1"/>
      <c r="L350" s="1"/>
      <c r="M350" s="17"/>
      <c r="N350" s="17"/>
      <c r="O350" s="17"/>
      <c r="P350" s="17"/>
      <c r="Q350" s="148"/>
      <c r="R350" s="39"/>
      <c r="S350" s="149"/>
      <c r="T350" s="1"/>
      <c r="U350" s="363"/>
      <c r="V350" s="363"/>
      <c r="W350" s="363"/>
      <c r="X350" s="398"/>
    </row>
    <row r="351" spans="1:24">
      <c r="A351" s="396">
        <v>45732</v>
      </c>
      <c r="B351" s="383"/>
      <c r="C351" s="289"/>
      <c r="D351" s="297"/>
      <c r="E351" s="1"/>
      <c r="F351" s="1"/>
      <c r="G351" s="61"/>
      <c r="H351" s="61"/>
      <c r="I351" s="1"/>
      <c r="J351" s="1"/>
      <c r="K351" s="1"/>
      <c r="L351" s="1"/>
      <c r="M351" s="17"/>
      <c r="N351" s="17"/>
      <c r="O351" s="17"/>
      <c r="P351" s="17"/>
      <c r="Q351" s="148"/>
      <c r="R351" s="39"/>
      <c r="S351" s="149"/>
      <c r="T351" s="1"/>
      <c r="U351" s="363"/>
      <c r="V351" s="363"/>
      <c r="W351" s="363"/>
      <c r="X351" s="398"/>
    </row>
    <row r="352" spans="1:24">
      <c r="A352" s="396">
        <v>45733</v>
      </c>
      <c r="B352" s="383"/>
      <c r="C352" s="289"/>
      <c r="D352" s="297"/>
      <c r="E352" s="1"/>
      <c r="F352" s="1"/>
      <c r="G352" s="61"/>
      <c r="H352" s="61"/>
      <c r="I352" s="1"/>
      <c r="J352" s="1"/>
      <c r="K352" s="1"/>
      <c r="L352" s="1"/>
      <c r="M352" s="17"/>
      <c r="N352" s="17"/>
      <c r="O352" s="17"/>
      <c r="P352" s="17"/>
      <c r="Q352" s="148"/>
      <c r="R352" s="39"/>
      <c r="S352" s="149"/>
      <c r="T352" s="1"/>
      <c r="U352" s="363"/>
      <c r="V352" s="363"/>
      <c r="W352" s="363"/>
      <c r="X352" s="398"/>
    </row>
    <row r="353" spans="1:24">
      <c r="A353" s="396">
        <v>45734</v>
      </c>
      <c r="B353" s="383"/>
      <c r="C353" s="289"/>
      <c r="D353" s="297"/>
      <c r="E353" s="1"/>
      <c r="F353" s="1"/>
      <c r="G353" s="61"/>
      <c r="H353" s="61"/>
      <c r="I353" s="1"/>
      <c r="J353" s="1"/>
      <c r="K353" s="1"/>
      <c r="L353" s="1"/>
      <c r="M353" s="17"/>
      <c r="N353" s="17"/>
      <c r="O353" s="17"/>
      <c r="P353" s="17"/>
      <c r="Q353" s="148"/>
      <c r="R353" s="39"/>
      <c r="S353" s="149"/>
      <c r="T353" s="1"/>
      <c r="U353" s="363"/>
      <c r="V353" s="363"/>
      <c r="W353" s="363"/>
      <c r="X353" s="398"/>
    </row>
    <row r="354" spans="1:24">
      <c r="A354" s="396">
        <v>45735</v>
      </c>
      <c r="B354" s="383"/>
      <c r="C354" s="289"/>
      <c r="D354" s="297"/>
      <c r="E354" s="1"/>
      <c r="F354" s="1"/>
      <c r="G354" s="61"/>
      <c r="H354" s="61"/>
      <c r="I354" s="1"/>
      <c r="J354" s="1"/>
      <c r="K354" s="1"/>
      <c r="L354" s="1"/>
      <c r="M354" s="17"/>
      <c r="N354" s="17"/>
      <c r="O354" s="17"/>
      <c r="P354" s="17"/>
      <c r="Q354" s="148"/>
      <c r="R354" s="39"/>
      <c r="S354" s="149"/>
      <c r="T354" s="1"/>
      <c r="U354" s="363"/>
      <c r="V354" s="363"/>
      <c r="W354" s="363"/>
      <c r="X354" s="398"/>
    </row>
    <row r="355" spans="1:24">
      <c r="A355" s="396">
        <v>45736</v>
      </c>
      <c r="B355" s="383"/>
      <c r="C355" s="289"/>
      <c r="D355" s="297"/>
      <c r="E355" s="1"/>
      <c r="F355" s="1"/>
      <c r="G355" s="61"/>
      <c r="H355" s="61"/>
      <c r="I355" s="1"/>
      <c r="J355" s="1"/>
      <c r="K355" s="1"/>
      <c r="L355" s="1"/>
      <c r="M355" s="17"/>
      <c r="N355" s="17"/>
      <c r="O355" s="17"/>
      <c r="P355" s="17"/>
      <c r="Q355" s="148"/>
      <c r="R355" s="39"/>
      <c r="S355" s="149"/>
      <c r="T355" s="1"/>
      <c r="U355" s="363"/>
      <c r="V355" s="363"/>
      <c r="W355" s="363"/>
      <c r="X355" s="398"/>
    </row>
    <row r="356" spans="1:24">
      <c r="A356" s="396">
        <v>45737</v>
      </c>
      <c r="B356" s="383"/>
      <c r="C356" s="289"/>
      <c r="D356" s="297"/>
      <c r="E356" s="1"/>
      <c r="F356" s="1"/>
      <c r="G356" s="61"/>
      <c r="H356" s="61"/>
      <c r="I356" s="1"/>
      <c r="J356" s="1"/>
      <c r="K356" s="1"/>
      <c r="L356" s="1"/>
      <c r="M356" s="17"/>
      <c r="N356" s="17"/>
      <c r="O356" s="17"/>
      <c r="P356" s="17"/>
      <c r="Q356" s="148"/>
      <c r="R356" s="39"/>
      <c r="S356" s="149"/>
      <c r="T356" s="1"/>
      <c r="U356" s="363"/>
      <c r="V356" s="363"/>
      <c r="W356" s="363"/>
      <c r="X356" s="398"/>
    </row>
    <row r="357" spans="1:24">
      <c r="A357" s="396">
        <v>45738</v>
      </c>
      <c r="B357" s="383"/>
      <c r="C357" s="289"/>
      <c r="D357" s="297"/>
      <c r="E357" s="1"/>
      <c r="F357" s="1"/>
      <c r="G357" s="61"/>
      <c r="H357" s="61"/>
      <c r="I357" s="1"/>
      <c r="J357" s="1"/>
      <c r="K357" s="1"/>
      <c r="L357" s="1"/>
      <c r="M357" s="17"/>
      <c r="N357" s="17"/>
      <c r="O357" s="17"/>
      <c r="P357" s="17"/>
      <c r="Q357" s="148"/>
      <c r="R357" s="39"/>
      <c r="S357" s="149"/>
      <c r="T357" s="1"/>
      <c r="U357" s="363"/>
      <c r="V357" s="363"/>
      <c r="W357" s="363"/>
      <c r="X357" s="398"/>
    </row>
    <row r="358" spans="1:24">
      <c r="A358" s="396">
        <v>45739</v>
      </c>
      <c r="B358" s="383"/>
      <c r="C358" s="289"/>
      <c r="D358" s="297"/>
      <c r="E358" s="1"/>
      <c r="F358" s="1"/>
      <c r="G358" s="61"/>
      <c r="H358" s="61"/>
      <c r="I358" s="1"/>
      <c r="J358" s="1"/>
      <c r="K358" s="1"/>
      <c r="L358" s="1"/>
      <c r="M358" s="17"/>
      <c r="N358" s="17"/>
      <c r="O358" s="17"/>
      <c r="P358" s="17"/>
      <c r="Q358" s="148"/>
      <c r="R358" s="39"/>
      <c r="S358" s="149"/>
      <c r="T358" s="1"/>
      <c r="U358" s="363"/>
      <c r="V358" s="363"/>
      <c r="W358" s="363"/>
      <c r="X358" s="398"/>
    </row>
    <row r="359" spans="1:24">
      <c r="A359" s="396">
        <v>45740</v>
      </c>
      <c r="B359" s="383"/>
      <c r="C359" s="289"/>
      <c r="D359" s="297"/>
      <c r="E359" s="1"/>
      <c r="F359" s="1"/>
      <c r="G359" s="61"/>
      <c r="H359" s="61"/>
      <c r="I359" s="1"/>
      <c r="J359" s="1"/>
      <c r="K359" s="1"/>
      <c r="L359" s="1"/>
      <c r="M359" s="17"/>
      <c r="N359" s="17"/>
      <c r="O359" s="17"/>
      <c r="P359" s="17"/>
      <c r="Q359" s="148"/>
      <c r="R359" s="39"/>
      <c r="S359" s="149"/>
      <c r="T359" s="1"/>
      <c r="U359" s="363"/>
      <c r="V359" s="363"/>
      <c r="W359" s="363"/>
      <c r="X359" s="398"/>
    </row>
    <row r="360" spans="1:24">
      <c r="A360" s="396">
        <v>45741</v>
      </c>
      <c r="B360" s="383"/>
      <c r="C360" s="289"/>
      <c r="D360" s="297"/>
      <c r="E360" s="1"/>
      <c r="F360" s="1"/>
      <c r="G360" s="61"/>
      <c r="H360" s="61"/>
      <c r="I360" s="1"/>
      <c r="J360" s="1"/>
      <c r="K360" s="1"/>
      <c r="L360" s="1"/>
      <c r="M360" s="17"/>
      <c r="N360" s="17"/>
      <c r="O360" s="17"/>
      <c r="P360" s="17"/>
      <c r="Q360" s="148"/>
      <c r="R360" s="39"/>
      <c r="S360" s="149"/>
      <c r="T360" s="1"/>
      <c r="U360" s="363"/>
      <c r="V360" s="363"/>
      <c r="W360" s="363"/>
      <c r="X360" s="398"/>
    </row>
    <row r="361" spans="1:24">
      <c r="A361" s="396">
        <v>45742</v>
      </c>
      <c r="B361" s="383"/>
      <c r="C361" s="289"/>
      <c r="D361" s="297"/>
      <c r="E361" s="1"/>
      <c r="F361" s="1"/>
      <c r="G361" s="61"/>
      <c r="H361" s="61"/>
      <c r="I361" s="1"/>
      <c r="J361" s="1"/>
      <c r="K361" s="1"/>
      <c r="L361" s="1"/>
      <c r="M361" s="17"/>
      <c r="N361" s="17"/>
      <c r="O361" s="17"/>
      <c r="P361" s="17"/>
      <c r="Q361" s="148"/>
      <c r="R361" s="39"/>
      <c r="S361" s="149"/>
      <c r="T361" s="1"/>
      <c r="U361" s="363"/>
      <c r="V361" s="363"/>
      <c r="W361" s="363"/>
      <c r="X361" s="398"/>
    </row>
    <row r="362" spans="1:24">
      <c r="A362" s="396">
        <v>45743</v>
      </c>
      <c r="B362" s="383"/>
      <c r="C362" s="289"/>
      <c r="D362" s="297"/>
      <c r="E362" s="1"/>
      <c r="F362" s="1"/>
      <c r="G362" s="61"/>
      <c r="H362" s="61"/>
      <c r="I362" s="1"/>
      <c r="J362" s="1"/>
      <c r="K362" s="1"/>
      <c r="L362" s="1"/>
      <c r="M362" s="17"/>
      <c r="N362" s="17"/>
      <c r="O362" s="17"/>
      <c r="P362" s="17"/>
      <c r="Q362" s="148"/>
      <c r="R362" s="39"/>
      <c r="S362" s="149"/>
      <c r="T362" s="1"/>
      <c r="U362" s="363"/>
      <c r="V362" s="363"/>
      <c r="W362" s="363"/>
      <c r="X362" s="398"/>
    </row>
    <row r="363" spans="1:24">
      <c r="A363" s="396">
        <v>45744</v>
      </c>
      <c r="B363" s="383"/>
      <c r="C363" s="289"/>
      <c r="D363" s="297"/>
      <c r="E363" s="1"/>
      <c r="F363" s="1"/>
      <c r="G363" s="61"/>
      <c r="H363" s="61"/>
      <c r="I363" s="1"/>
      <c r="J363" s="1"/>
      <c r="K363" s="1"/>
      <c r="L363" s="1"/>
      <c r="M363" s="17"/>
      <c r="N363" s="17"/>
      <c r="O363" s="17"/>
      <c r="P363" s="17"/>
      <c r="Q363" s="148"/>
      <c r="R363" s="39"/>
      <c r="S363" s="149"/>
      <c r="T363" s="1"/>
      <c r="U363" s="363"/>
      <c r="V363" s="363"/>
      <c r="W363" s="363"/>
      <c r="X363" s="398"/>
    </row>
    <row r="364" spans="1:24">
      <c r="A364" s="396">
        <v>45745</v>
      </c>
      <c r="B364" s="383"/>
      <c r="C364" s="289"/>
      <c r="D364" s="297"/>
      <c r="E364" s="1"/>
      <c r="F364" s="1"/>
      <c r="G364" s="61"/>
      <c r="H364" s="61"/>
      <c r="I364" s="1"/>
      <c r="J364" s="1"/>
      <c r="K364" s="1"/>
      <c r="L364" s="1"/>
      <c r="M364" s="17"/>
      <c r="N364" s="17"/>
      <c r="O364" s="17"/>
      <c r="P364" s="17"/>
      <c r="Q364" s="148"/>
      <c r="R364" s="39"/>
      <c r="S364" s="149"/>
      <c r="T364" s="1"/>
      <c r="U364" s="363"/>
      <c r="V364" s="363"/>
      <c r="W364" s="363"/>
      <c r="X364" s="398"/>
    </row>
    <row r="365" spans="1:24">
      <c r="A365" s="396">
        <v>45746</v>
      </c>
      <c r="B365" s="383"/>
      <c r="C365" s="289"/>
      <c r="D365" s="297"/>
      <c r="E365" s="1"/>
      <c r="F365" s="1"/>
      <c r="G365" s="61"/>
      <c r="H365" s="61"/>
      <c r="I365" s="1"/>
      <c r="J365" s="1"/>
      <c r="K365" s="1"/>
      <c r="L365" s="1"/>
      <c r="M365" s="17"/>
      <c r="N365" s="17"/>
      <c r="O365" s="17"/>
      <c r="P365" s="17"/>
      <c r="Q365" s="148"/>
      <c r="R365" s="39"/>
      <c r="S365" s="149"/>
      <c r="T365" s="1"/>
      <c r="U365" s="363"/>
      <c r="V365" s="363"/>
      <c r="W365" s="363"/>
      <c r="X365" s="398"/>
    </row>
    <row r="366" spans="1:24">
      <c r="A366" s="399">
        <v>45747</v>
      </c>
      <c r="B366" s="384"/>
      <c r="C366" s="290"/>
      <c r="D366" s="400"/>
      <c r="E366" s="34"/>
      <c r="F366" s="34"/>
      <c r="G366" s="76"/>
      <c r="H366" s="76"/>
      <c r="I366" s="34"/>
      <c r="J366" s="34"/>
      <c r="K366" s="34"/>
      <c r="L366" s="34"/>
      <c r="M366" s="43"/>
      <c r="N366" s="43"/>
      <c r="O366" s="43"/>
      <c r="P366" s="43"/>
      <c r="Q366" s="401"/>
      <c r="R366" s="291"/>
      <c r="S366" s="151"/>
      <c r="T366" s="34"/>
      <c r="U366" s="402"/>
      <c r="V366" s="402"/>
      <c r="W366" s="402"/>
      <c r="X366" s="403"/>
    </row>
  </sheetData>
  <mergeCells count="5">
    <mergeCell ref="Z3:AB3"/>
    <mergeCell ref="AD3:AE3"/>
    <mergeCell ref="AG3:AH3"/>
    <mergeCell ref="Z8:AA8"/>
    <mergeCell ref="AD8:AE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AP368"/>
  <sheetViews>
    <sheetView zoomScale="70" zoomScaleNormal="70" workbookViewId="0">
      <pane xSplit="1" ySplit="1" topLeftCell="K84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RowHeight="14.5"/>
  <cols>
    <col min="2" max="2" width="19.1796875" bestFit="1" customWidth="1"/>
    <col min="3" max="3" width="19" bestFit="1" customWidth="1"/>
    <col min="4" max="4" width="16.453125" bestFit="1" customWidth="1"/>
    <col min="5" max="5" width="10" customWidth="1"/>
    <col min="6" max="6" width="10.453125" customWidth="1"/>
    <col min="7" max="7" width="27.54296875" bestFit="1" customWidth="1"/>
    <col min="8" max="8" width="24.08984375" bestFit="1" customWidth="1"/>
    <col min="9" max="9" width="21.90625" bestFit="1" customWidth="1"/>
    <col min="10" max="10" width="18.453125" bestFit="1" customWidth="1"/>
    <col min="11" max="12" width="18.453125" customWidth="1"/>
    <col min="16" max="16" width="8.90625" customWidth="1"/>
    <col min="19" max="19" width="9.6328125" bestFit="1" customWidth="1"/>
    <col min="21" max="21" width="32.1796875" customWidth="1"/>
    <col min="22" max="22" width="28.90625" customWidth="1"/>
    <col min="23" max="23" width="30.90625" bestFit="1" customWidth="1"/>
    <col min="24" max="24" width="27.36328125" bestFit="1" customWidth="1"/>
    <col min="25" max="25" width="9.54296875" bestFit="1" customWidth="1"/>
    <col min="27" max="27" width="13.1796875" bestFit="1" customWidth="1"/>
    <col min="28" max="28" width="14.1796875" bestFit="1" customWidth="1"/>
    <col min="29" max="29" width="13.1796875" bestFit="1" customWidth="1"/>
    <col min="31" max="31" width="8.26953125" bestFit="1" customWidth="1"/>
    <col min="32" max="32" width="13.08984375" bestFit="1" customWidth="1"/>
    <col min="35" max="35" width="8.81640625" bestFit="1" customWidth="1"/>
    <col min="38" max="38" width="17.26953125" bestFit="1" customWidth="1"/>
    <col min="39" max="39" width="19.08984375" bestFit="1" customWidth="1"/>
    <col min="40" max="40" width="19.7265625" bestFit="1" customWidth="1"/>
    <col min="41" max="41" width="17" bestFit="1" customWidth="1"/>
    <col min="42" max="42" width="17.26953125" bestFit="1" customWidth="1"/>
  </cols>
  <sheetData>
    <row r="1" spans="1:42" ht="29">
      <c r="A1" s="23" t="s">
        <v>30</v>
      </c>
      <c r="B1" s="23" t="s">
        <v>172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182</v>
      </c>
      <c r="L1" s="25" t="s">
        <v>183</v>
      </c>
      <c r="M1" s="25" t="s">
        <v>39</v>
      </c>
      <c r="N1" s="25" t="s">
        <v>40</v>
      </c>
      <c r="O1" s="25" t="s">
        <v>41</v>
      </c>
      <c r="P1" s="25" t="s">
        <v>72</v>
      </c>
      <c r="Q1" s="26" t="s">
        <v>43</v>
      </c>
      <c r="R1" s="23" t="s">
        <v>44</v>
      </c>
      <c r="S1" s="23" t="s">
        <v>45</v>
      </c>
      <c r="T1" s="23" t="s">
        <v>46</v>
      </c>
      <c r="U1" s="364" t="s">
        <v>164</v>
      </c>
      <c r="V1" s="364" t="s">
        <v>163</v>
      </c>
      <c r="W1" s="373" t="s">
        <v>171</v>
      </c>
      <c r="X1" s="373" t="s">
        <v>170</v>
      </c>
    </row>
    <row r="2" spans="1:42">
      <c r="A2" s="21">
        <v>45383</v>
      </c>
      <c r="B2" s="16">
        <f>IF(YEAR(Table6[[#This Row],[Date]]) = 2024, WEEKNUM(Table6[[#This Row],[Date]])-13, WEEKNUM(Table6[[#This Row],[Date]])+40)</f>
        <v>1</v>
      </c>
      <c r="C2" s="31" t="s">
        <v>47</v>
      </c>
      <c r="D2" s="295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Table6[[#This Row],[Calls Off]]</f>
        <v>0</v>
      </c>
      <c r="L2" s="1">
        <f>Table6[[#This Row],[Calls Ans]]</f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298">
        <v>0</v>
      </c>
      <c r="S2" s="299">
        <v>0</v>
      </c>
      <c r="T2" s="284">
        <v>0</v>
      </c>
      <c r="U2" s="1" t="str">
        <f>IF(OR(G2&lt;$AB$5,G2&gt;$AC$5), "Outlier", "Normal")</f>
        <v>Normal</v>
      </c>
      <c r="V2" s="1" t="str">
        <f>IF(OR(H2&lt;$AB$6,H2&gt;$AC$6), "Outlier", "Normal")</f>
        <v>Normal</v>
      </c>
      <c r="W2" s="18">
        <f>IF(U2="Normal",$G2,IF($G2&lt;250%, $G2, $AB$9))</f>
        <v>0</v>
      </c>
      <c r="X2" s="18">
        <f>IF(V2="Normal",$H2,IF($H2&lt;250%, $H2, $AF$9))</f>
        <v>0</v>
      </c>
    </row>
    <row r="3" spans="1:42">
      <c r="A3" s="21">
        <v>45384</v>
      </c>
      <c r="B3" s="16">
        <f>IF(YEAR(Table6[[#This Row],[Date]]) = 2024, WEEKNUM(Table6[[#This Row],[Date]])-13, WEEKNUM(Table6[[#This Row],[Date]])+40)</f>
        <v>1</v>
      </c>
      <c r="C3" s="31" t="s">
        <v>49</v>
      </c>
      <c r="D3" s="295" t="s">
        <v>48</v>
      </c>
      <c r="E3" s="1">
        <v>35</v>
      </c>
      <c r="F3" s="1">
        <v>34</v>
      </c>
      <c r="G3" s="61">
        <f>(E3-759)/759</f>
        <v>-0.95388669301712781</v>
      </c>
      <c r="H3" s="61">
        <f>(F3-742)/742</f>
        <v>-0.95417789757412397</v>
      </c>
      <c r="I3" s="1">
        <f>E3</f>
        <v>35</v>
      </c>
      <c r="J3" s="1">
        <f>F3</f>
        <v>34</v>
      </c>
      <c r="K3" s="1">
        <f>K2+Table7[[#This Row],[Calls Off]]</f>
        <v>35</v>
      </c>
      <c r="L3" s="1">
        <f>L2+Table7[[#This Row],[Calls Ans]]</f>
        <v>34</v>
      </c>
      <c r="M3" s="17">
        <v>0.86</v>
      </c>
      <c r="N3" s="17">
        <v>0.03</v>
      </c>
      <c r="O3" s="17">
        <v>0.97</v>
      </c>
      <c r="P3" s="17">
        <v>0.02</v>
      </c>
      <c r="Q3" s="17">
        <v>1</v>
      </c>
      <c r="R3" s="39">
        <v>175</v>
      </c>
      <c r="S3" s="139">
        <v>7.6388888888888886E-3</v>
      </c>
      <c r="T3" s="285">
        <v>10</v>
      </c>
      <c r="U3" s="1" t="str">
        <f t="shared" ref="U3:U66" si="0">IF(OR(G3&lt;$AB$5,G3&gt;$AC$5), "Outlier", "Normal")</f>
        <v>Outlier</v>
      </c>
      <c r="V3" s="1" t="str">
        <f t="shared" ref="V3:V66" si="1">IF(OR(H3&lt;$AB$6,H3&gt;$AC$6), "Outlier", "Normal")</f>
        <v>Outlier</v>
      </c>
      <c r="W3" s="18">
        <f t="shared" ref="W3:W66" si="2">IF(U3="Normal",$G3,IF($G3&lt;250%, $G3, $AB$9))</f>
        <v>-0.95388669301712781</v>
      </c>
      <c r="X3" s="18">
        <f t="shared" ref="X3:X66" si="3">IF(V3="Normal",$H3,IF($H3&lt;250%, $H3, $AF$9))</f>
        <v>-0.95417789757412397</v>
      </c>
      <c r="AA3" s="431" t="s">
        <v>153</v>
      </c>
      <c r="AB3" s="431"/>
      <c r="AC3" s="431"/>
      <c r="AE3" s="431" t="s">
        <v>159</v>
      </c>
      <c r="AF3" s="431"/>
      <c r="AH3" s="431" t="s">
        <v>160</v>
      </c>
      <c r="AI3" s="431"/>
    </row>
    <row r="4" spans="1:42">
      <c r="A4" s="21">
        <v>45385</v>
      </c>
      <c r="B4" s="16">
        <f>IF(YEAR(Table6[[#This Row],[Date]]) = 2024, WEEKNUM(Table6[[#This Row],[Date]])-13, WEEKNUM(Table6[[#This Row],[Date]])+40)</f>
        <v>1</v>
      </c>
      <c r="C4" s="31" t="s">
        <v>50</v>
      </c>
      <c r="D4" s="295" t="s">
        <v>48</v>
      </c>
      <c r="E4" s="1">
        <v>838</v>
      </c>
      <c r="F4" s="1">
        <v>798</v>
      </c>
      <c r="G4" s="61">
        <f>(E4-5)/5</f>
        <v>166.6</v>
      </c>
      <c r="H4" s="61">
        <f>(F4-5)/5</f>
        <v>158.6</v>
      </c>
      <c r="I4" s="1">
        <f t="shared" ref="I4:J6" si="4">I3+E4</f>
        <v>873</v>
      </c>
      <c r="J4" s="1">
        <f t="shared" si="4"/>
        <v>832</v>
      </c>
      <c r="K4" s="1">
        <f>K3+Table7[[#This Row],[Calls Off]]</f>
        <v>873</v>
      </c>
      <c r="L4" s="1">
        <f>L3+Table7[[#This Row],[Calls Ans]]</f>
        <v>832</v>
      </c>
      <c r="M4" s="17">
        <v>0.77</v>
      </c>
      <c r="N4" s="17">
        <v>0.05</v>
      </c>
      <c r="O4" s="17">
        <v>0.95</v>
      </c>
      <c r="P4" s="17">
        <v>0.35</v>
      </c>
      <c r="Q4" s="17">
        <v>1</v>
      </c>
      <c r="R4" s="39">
        <v>152</v>
      </c>
      <c r="S4" s="139">
        <v>2.0833333333333332E-2</v>
      </c>
      <c r="T4" s="285">
        <v>11</v>
      </c>
      <c r="U4" s="1" t="str">
        <f t="shared" si="0"/>
        <v>Outlier</v>
      </c>
      <c r="V4" s="1" t="str">
        <f t="shared" si="1"/>
        <v>Outlier</v>
      </c>
      <c r="W4" s="18">
        <f t="shared" si="2"/>
        <v>5.5425044678205735</v>
      </c>
      <c r="X4" s="18">
        <f t="shared" si="3"/>
        <v>5.4540794919577955</v>
      </c>
      <c r="AA4" s="361" t="s">
        <v>161</v>
      </c>
      <c r="AB4" s="1" t="s">
        <v>156</v>
      </c>
      <c r="AC4" s="1" t="s">
        <v>157</v>
      </c>
      <c r="AE4" s="1" t="s">
        <v>154</v>
      </c>
      <c r="AF4" s="359">
        <f>_xlfn.QUARTILE.INC(G:G, 1)</f>
        <v>-0.11884478562067029</v>
      </c>
      <c r="AH4" s="1" t="s">
        <v>154</v>
      </c>
      <c r="AI4" s="360">
        <f>_xlfn.QUARTILE.INC(H:H, 1)</f>
        <v>-0.10028452141642183</v>
      </c>
    </row>
    <row r="5" spans="1:42">
      <c r="A5" s="21">
        <v>45386</v>
      </c>
      <c r="B5" s="16">
        <f>IF(YEAR(Table6[[#This Row],[Date]]) = 2024, WEEKNUM(Table6[[#This Row],[Date]])-13, WEEKNUM(Table6[[#This Row],[Date]])+40)</f>
        <v>1</v>
      </c>
      <c r="C5" s="31" t="s">
        <v>51</v>
      </c>
      <c r="D5" s="295" t="s">
        <v>48</v>
      </c>
      <c r="E5" s="34">
        <v>676</v>
      </c>
      <c r="F5" s="34">
        <v>664</v>
      </c>
      <c r="G5" s="76">
        <f>(E5-10)/10</f>
        <v>66.599999999999994</v>
      </c>
      <c r="H5" s="76">
        <f>(F5-7)/7</f>
        <v>93.857142857142861</v>
      </c>
      <c r="I5" s="1">
        <f t="shared" si="4"/>
        <v>1549</v>
      </c>
      <c r="J5" s="1">
        <f t="shared" si="4"/>
        <v>1496</v>
      </c>
      <c r="K5" s="34">
        <f>K4+Table7[[#This Row],[Calls Off]]</f>
        <v>1549</v>
      </c>
      <c r="L5" s="34">
        <f>L4+Table7[[#This Row],[Calls Ans]]</f>
        <v>1496</v>
      </c>
      <c r="M5" s="43">
        <v>0.92</v>
      </c>
      <c r="N5" s="43">
        <v>0.02</v>
      </c>
      <c r="O5" s="43">
        <v>0.98</v>
      </c>
      <c r="P5" s="43">
        <v>0.31</v>
      </c>
      <c r="Q5" s="43">
        <v>1</v>
      </c>
      <c r="R5" s="291">
        <v>135</v>
      </c>
      <c r="S5" s="155">
        <v>6.2499999999999995E-3</v>
      </c>
      <c r="T5" s="285">
        <v>11</v>
      </c>
      <c r="U5" s="1" t="str">
        <f t="shared" si="0"/>
        <v>Outlier</v>
      </c>
      <c r="V5" s="1" t="str">
        <f t="shared" si="1"/>
        <v>Outlier</v>
      </c>
      <c r="W5" s="18">
        <f t="shared" si="2"/>
        <v>5.5425044678205735</v>
      </c>
      <c r="X5" s="18">
        <f t="shared" si="3"/>
        <v>5.4540794919577955</v>
      </c>
      <c r="AA5" s="361" t="s">
        <v>162</v>
      </c>
      <c r="AB5" s="1">
        <f>AF4-1.5*AF6</f>
        <v>-0.43139753199577635</v>
      </c>
      <c r="AC5" s="1">
        <f>AF5+1.5*AF6</f>
        <v>0.40207645833783978</v>
      </c>
      <c r="AE5" s="1" t="s">
        <v>155</v>
      </c>
      <c r="AF5" s="359">
        <f>_xlfn.QUARTILE.INC(G:G, 3)</f>
        <v>8.9523711962733732E-2</v>
      </c>
      <c r="AH5" s="1" t="s">
        <v>155</v>
      </c>
      <c r="AI5" s="360">
        <f>_xlfn.QUARTILE.INC(H:H, 3)</f>
        <v>5.7127233754019117E-2</v>
      </c>
    </row>
    <row r="6" spans="1:42">
      <c r="A6" s="21">
        <v>45387</v>
      </c>
      <c r="B6" s="16">
        <f>IF(YEAR(Table6[[#This Row],[Date]]) = 2024, WEEKNUM(Table6[[#This Row],[Date]])-13, WEEKNUM(Table6[[#This Row],[Date]])+40)</f>
        <v>1</v>
      </c>
      <c r="C6" s="31" t="s">
        <v>52</v>
      </c>
      <c r="D6" s="295" t="s">
        <v>48</v>
      </c>
      <c r="E6" s="34">
        <v>748</v>
      </c>
      <c r="F6" s="34">
        <v>704</v>
      </c>
      <c r="G6" s="76">
        <v>0</v>
      </c>
      <c r="H6" s="76">
        <v>0</v>
      </c>
      <c r="I6" s="1">
        <f t="shared" si="4"/>
        <v>2297</v>
      </c>
      <c r="J6" s="1">
        <f t="shared" si="4"/>
        <v>2200</v>
      </c>
      <c r="K6" s="34">
        <f>K5+Table7[[#This Row],[Calls Off]]</f>
        <v>2297</v>
      </c>
      <c r="L6" s="34">
        <f>L5+Table7[[#This Row],[Calls Ans]]</f>
        <v>2200</v>
      </c>
      <c r="M6" s="43">
        <v>0.83</v>
      </c>
      <c r="N6" s="43">
        <v>0.06</v>
      </c>
      <c r="O6" s="43">
        <v>0.94</v>
      </c>
      <c r="P6" s="43">
        <v>0.37</v>
      </c>
      <c r="Q6" s="43">
        <v>1</v>
      </c>
      <c r="R6" s="291">
        <v>118</v>
      </c>
      <c r="S6" s="155">
        <v>1.1805555555555555E-2</v>
      </c>
      <c r="T6" s="285">
        <v>10</v>
      </c>
      <c r="U6" s="1" t="str">
        <f t="shared" si="0"/>
        <v>Normal</v>
      </c>
      <c r="V6" s="1" t="str">
        <f t="shared" si="1"/>
        <v>Normal</v>
      </c>
      <c r="W6" s="18">
        <f t="shared" si="2"/>
        <v>0</v>
      </c>
      <c r="X6" s="18">
        <f t="shared" si="3"/>
        <v>0</v>
      </c>
      <c r="AA6" s="361" t="s">
        <v>34</v>
      </c>
      <c r="AB6" s="1">
        <f>AI4-1.5*AI6</f>
        <v>-0.3364021541720833</v>
      </c>
      <c r="AC6" s="1">
        <f>AI5+1.5*AI6</f>
        <v>0.29324486650968057</v>
      </c>
      <c r="AE6" s="62" t="s">
        <v>158</v>
      </c>
      <c r="AF6" s="62">
        <f>AF5-AF4</f>
        <v>0.20836849758340403</v>
      </c>
      <c r="AH6" s="62" t="s">
        <v>158</v>
      </c>
      <c r="AI6" s="112">
        <f>AI5-AI4</f>
        <v>0.15741175517044095</v>
      </c>
    </row>
    <row r="7" spans="1:42">
      <c r="A7" s="21">
        <v>45388</v>
      </c>
      <c r="B7" s="16">
        <f>IF(YEAR(Table6[[#This Row],[Date]]) = 2024, WEEKNUM(Table6[[#This Row],[Date]])-13, WEEKNUM(Table6[[#This Row],[Date]])+40)</f>
        <v>1</v>
      </c>
      <c r="C7" s="31" t="s">
        <v>53</v>
      </c>
      <c r="D7" s="295" t="s">
        <v>48</v>
      </c>
      <c r="E7" s="34">
        <v>440</v>
      </c>
      <c r="F7" s="34">
        <v>385</v>
      </c>
      <c r="G7" s="76">
        <v>0</v>
      </c>
      <c r="H7" s="76">
        <v>0</v>
      </c>
      <c r="I7" s="1">
        <f t="shared" ref="I7" si="5">I6+E7</f>
        <v>2737</v>
      </c>
      <c r="J7" s="1">
        <f t="shared" ref="J7" si="6">J6+F7</f>
        <v>2585</v>
      </c>
      <c r="K7" s="34">
        <f>K6+Table7[[#This Row],[Calls Off]]</f>
        <v>2737</v>
      </c>
      <c r="L7" s="34">
        <f>L6+Table7[[#This Row],[Calls Ans]]</f>
        <v>2585</v>
      </c>
      <c r="M7" s="43">
        <v>0.56999999999999995</v>
      </c>
      <c r="N7" s="43">
        <v>0.13</v>
      </c>
      <c r="O7" s="43">
        <v>0.87</v>
      </c>
      <c r="P7" s="43">
        <v>0.34</v>
      </c>
      <c r="Q7" s="43">
        <v>1</v>
      </c>
      <c r="R7" s="291">
        <v>123</v>
      </c>
      <c r="S7" s="155">
        <v>2.9861111111111113E-2</v>
      </c>
      <c r="T7" s="285">
        <v>7</v>
      </c>
      <c r="U7" s="1" t="str">
        <f t="shared" si="0"/>
        <v>Normal</v>
      </c>
      <c r="V7" s="1" t="str">
        <f t="shared" si="1"/>
        <v>Normal</v>
      </c>
      <c r="W7" s="18">
        <f t="shared" si="2"/>
        <v>0</v>
      </c>
      <c r="X7" s="18">
        <f t="shared" si="3"/>
        <v>0</v>
      </c>
    </row>
    <row r="8" spans="1:42">
      <c r="A8" s="21">
        <v>45389</v>
      </c>
      <c r="B8" s="16">
        <f>IF(YEAR(Table6[[#This Row],[Date]]) = 2024, WEEKNUM(Table6[[#This Row],[Date]])-13, WEEKNUM(Table6[[#This Row],[Date]])+40)</f>
        <v>2</v>
      </c>
      <c r="C8" s="31" t="s">
        <v>54</v>
      </c>
      <c r="D8" s="295" t="s">
        <v>48</v>
      </c>
      <c r="E8" s="34">
        <v>0</v>
      </c>
      <c r="F8" s="34">
        <v>0</v>
      </c>
      <c r="G8" s="76">
        <v>0</v>
      </c>
      <c r="H8" s="76">
        <v>0</v>
      </c>
      <c r="I8" s="1">
        <v>0</v>
      </c>
      <c r="J8" s="1">
        <v>0</v>
      </c>
      <c r="K8" s="34">
        <f>K7+Table7[[#This Row],[Calls Off]]</f>
        <v>2737</v>
      </c>
      <c r="L8" s="34">
        <f>L7+Table7[[#This Row],[Calls Ans]]</f>
        <v>2585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291">
        <v>0</v>
      </c>
      <c r="S8" s="155">
        <v>0</v>
      </c>
      <c r="T8" s="285">
        <v>0</v>
      </c>
      <c r="U8" s="1" t="str">
        <f t="shared" si="0"/>
        <v>Normal</v>
      </c>
      <c r="V8" s="1" t="str">
        <f t="shared" si="1"/>
        <v>Normal</v>
      </c>
      <c r="W8" s="18">
        <f t="shared" si="2"/>
        <v>0</v>
      </c>
      <c r="X8" s="18">
        <f t="shared" si="3"/>
        <v>0</v>
      </c>
      <c r="AA8" s="432" t="s">
        <v>169</v>
      </c>
      <c r="AB8" s="433"/>
      <c r="AE8" s="432" t="s">
        <v>168</v>
      </c>
      <c r="AF8" s="433"/>
    </row>
    <row r="9" spans="1:42">
      <c r="A9" s="21">
        <v>45390</v>
      </c>
      <c r="B9" s="16">
        <f>IF(YEAR(Table6[[#This Row],[Date]]) = 2024, WEEKNUM(Table6[[#This Row],[Date]])-13, WEEKNUM(Table6[[#This Row],[Date]])+40)</f>
        <v>2</v>
      </c>
      <c r="C9" s="31" t="s">
        <v>55</v>
      </c>
      <c r="D9" s="295" t="s">
        <v>48</v>
      </c>
      <c r="E9" s="34">
        <v>883</v>
      </c>
      <c r="F9" s="34">
        <v>840</v>
      </c>
      <c r="G9" s="76">
        <v>0</v>
      </c>
      <c r="H9" s="76">
        <v>0</v>
      </c>
      <c r="I9" s="1">
        <f>I7+E9</f>
        <v>3620</v>
      </c>
      <c r="J9" s="1">
        <f>J7+F9</f>
        <v>3425</v>
      </c>
      <c r="K9" s="34">
        <f>K8+Table7[[#This Row],[Calls Off]]</f>
        <v>3620</v>
      </c>
      <c r="L9" s="34">
        <f>L8+Table7[[#This Row],[Calls Ans]]</f>
        <v>3425</v>
      </c>
      <c r="M9" s="43">
        <v>0.84</v>
      </c>
      <c r="N9" s="43">
        <v>0.05</v>
      </c>
      <c r="O9" s="43">
        <v>0.95</v>
      </c>
      <c r="P9" s="43">
        <v>0.46</v>
      </c>
      <c r="Q9" s="43">
        <v>1</v>
      </c>
      <c r="R9" s="291">
        <v>120</v>
      </c>
      <c r="S9" s="155">
        <v>9.0277777777777787E-3</v>
      </c>
      <c r="T9" s="285">
        <v>10</v>
      </c>
      <c r="U9" s="1" t="str">
        <f t="shared" si="0"/>
        <v>Normal</v>
      </c>
      <c r="V9" s="1" t="str">
        <f t="shared" si="1"/>
        <v>Normal</v>
      </c>
      <c r="W9" s="18">
        <f t="shared" si="2"/>
        <v>0</v>
      </c>
      <c r="X9" s="18">
        <f t="shared" si="3"/>
        <v>0</v>
      </c>
      <c r="AA9" s="1" t="s">
        <v>165</v>
      </c>
      <c r="AB9" s="61">
        <f>AVERAGE(G2:G123)</f>
        <v>5.5425044678205735</v>
      </c>
      <c r="AE9" s="1" t="s">
        <v>165</v>
      </c>
      <c r="AF9" s="61">
        <f>AVERAGE(H2:H123)</f>
        <v>5.4540794919577955</v>
      </c>
    </row>
    <row r="10" spans="1:42">
      <c r="A10" s="21">
        <v>45391</v>
      </c>
      <c r="B10" s="16">
        <f>IF(YEAR(Table6[[#This Row],[Date]]) = 2024, WEEKNUM(Table6[[#This Row],[Date]])-13, WEEKNUM(Table6[[#This Row],[Date]])+40)</f>
        <v>2</v>
      </c>
      <c r="C10" s="31" t="s">
        <v>49</v>
      </c>
      <c r="D10" s="295" t="s">
        <v>48</v>
      </c>
      <c r="E10" s="34">
        <v>647</v>
      </c>
      <c r="F10" s="34">
        <v>539</v>
      </c>
      <c r="G10" s="76">
        <f>(E10-E3)/E3</f>
        <v>17.485714285714284</v>
      </c>
      <c r="H10" s="76">
        <f>(F10-F3)/F3</f>
        <v>14.852941176470589</v>
      </c>
      <c r="I10" s="34">
        <f>I9+E10</f>
        <v>4267</v>
      </c>
      <c r="J10" s="34">
        <f>J9+F10</f>
        <v>3964</v>
      </c>
      <c r="K10" s="34">
        <f>K9+Table7[[#This Row],[Calls Off]]</f>
        <v>4267</v>
      </c>
      <c r="L10" s="34">
        <f>L9+Table7[[#This Row],[Calls Ans]]</f>
        <v>3964</v>
      </c>
      <c r="M10" s="43">
        <v>0.6</v>
      </c>
      <c r="N10" s="43">
        <v>0.17</v>
      </c>
      <c r="O10" s="43">
        <v>0.83</v>
      </c>
      <c r="P10" s="43">
        <v>0.28000000000000003</v>
      </c>
      <c r="Q10" s="43">
        <v>0.99</v>
      </c>
      <c r="R10" s="291">
        <v>118</v>
      </c>
      <c r="S10" s="155">
        <v>4.2361111111111106E-2</v>
      </c>
      <c r="T10" s="285">
        <v>10</v>
      </c>
      <c r="U10" s="1" t="str">
        <f t="shared" si="0"/>
        <v>Outlier</v>
      </c>
      <c r="V10" s="1" t="str">
        <f t="shared" si="1"/>
        <v>Outlier</v>
      </c>
      <c r="W10" s="18">
        <f t="shared" si="2"/>
        <v>5.5425044678205735</v>
      </c>
      <c r="X10" s="18">
        <f t="shared" si="3"/>
        <v>5.4540794919577955</v>
      </c>
      <c r="AA10" s="1" t="s">
        <v>166</v>
      </c>
      <c r="AB10" s="18">
        <f>MEDIAN(G2:G123)</f>
        <v>0</v>
      </c>
      <c r="AE10" s="1" t="s">
        <v>166</v>
      </c>
      <c r="AF10" s="18">
        <f>MEDIAN(H2:H123)</f>
        <v>0</v>
      </c>
    </row>
    <row r="11" spans="1:42">
      <c r="A11" s="21">
        <v>45392</v>
      </c>
      <c r="B11" s="16">
        <f>IF(YEAR(Table6[[#This Row],[Date]]) = 2024, WEEKNUM(Table6[[#This Row],[Date]])-13, WEEKNUM(Table6[[#This Row],[Date]])+40)</f>
        <v>2</v>
      </c>
      <c r="C11" s="31" t="s">
        <v>50</v>
      </c>
      <c r="D11" s="295" t="s">
        <v>48</v>
      </c>
      <c r="E11" s="34">
        <v>0</v>
      </c>
      <c r="F11" s="34">
        <v>0</v>
      </c>
      <c r="G11" s="76">
        <v>0</v>
      </c>
      <c r="H11" s="76">
        <v>0</v>
      </c>
      <c r="I11" s="34">
        <v>0</v>
      </c>
      <c r="J11" s="34">
        <v>0</v>
      </c>
      <c r="K11" s="34">
        <f>K10+Table7[[#This Row],[Calls Off]]</f>
        <v>4267</v>
      </c>
      <c r="L11" s="34">
        <f>L10+Table7[[#This Row],[Calls Ans]]</f>
        <v>3964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291">
        <v>0</v>
      </c>
      <c r="S11" s="155">
        <v>0</v>
      </c>
      <c r="T11" s="285">
        <v>0</v>
      </c>
      <c r="U11" s="1" t="str">
        <f t="shared" si="0"/>
        <v>Normal</v>
      </c>
      <c r="V11" s="1" t="str">
        <f t="shared" si="1"/>
        <v>Normal</v>
      </c>
      <c r="W11" s="18">
        <f t="shared" si="2"/>
        <v>0</v>
      </c>
      <c r="X11" s="18">
        <f t="shared" si="3"/>
        <v>0</v>
      </c>
      <c r="AA11" s="1" t="s">
        <v>167</v>
      </c>
      <c r="AB11" s="16">
        <f>_xlfn.MODE.SNGL(G2:G123)</f>
        <v>0</v>
      </c>
      <c r="AE11" s="1" t="s">
        <v>167</v>
      </c>
      <c r="AF11" s="1">
        <f>_xlfn.MODE.SNGL(I2:I123)</f>
        <v>0</v>
      </c>
    </row>
    <row r="12" spans="1:42">
      <c r="A12" s="21">
        <v>45393</v>
      </c>
      <c r="B12" s="16">
        <f>IF(YEAR(Table6[[#This Row],[Date]]) = 2024, WEEKNUM(Table6[[#This Row],[Date]])-13, WEEKNUM(Table6[[#This Row],[Date]])+40)</f>
        <v>2</v>
      </c>
      <c r="C12" s="31" t="s">
        <v>51</v>
      </c>
      <c r="D12" s="295" t="s">
        <v>48</v>
      </c>
      <c r="E12" s="1">
        <v>5</v>
      </c>
      <c r="F12" s="1">
        <v>5</v>
      </c>
      <c r="G12" s="76">
        <f t="shared" ref="G12:H12" si="7">(E12-E5)/E5</f>
        <v>-0.99260355029585801</v>
      </c>
      <c r="H12" s="76">
        <f t="shared" si="7"/>
        <v>-0.99246987951807231</v>
      </c>
      <c r="I12" s="1">
        <f>I10+E12</f>
        <v>4272</v>
      </c>
      <c r="J12" s="1">
        <f>J10+F12</f>
        <v>3969</v>
      </c>
      <c r="K12" s="1">
        <f>K11+Table7[[#This Row],[Calls Off]]</f>
        <v>4272</v>
      </c>
      <c r="L12" s="1">
        <f>L11+Table7[[#This Row],[Calls Ans]]</f>
        <v>3969</v>
      </c>
      <c r="M12" s="17">
        <v>0.6</v>
      </c>
      <c r="N12" s="17">
        <v>0</v>
      </c>
      <c r="O12" s="17">
        <v>1</v>
      </c>
      <c r="P12" s="17">
        <v>0.03</v>
      </c>
      <c r="Q12" s="17">
        <v>0.91</v>
      </c>
      <c r="R12" s="39">
        <v>106</v>
      </c>
      <c r="S12" s="139">
        <v>5.8333333333333327E-2</v>
      </c>
      <c r="T12" s="285">
        <v>12</v>
      </c>
      <c r="U12" s="1" t="str">
        <f t="shared" si="0"/>
        <v>Outlier</v>
      </c>
      <c r="V12" s="1" t="str">
        <f t="shared" si="1"/>
        <v>Outlier</v>
      </c>
      <c r="W12" s="18">
        <f t="shared" si="2"/>
        <v>-0.99260355029585801</v>
      </c>
      <c r="X12" s="18">
        <f t="shared" si="3"/>
        <v>-0.99246987951807231</v>
      </c>
    </row>
    <row r="13" spans="1:42">
      <c r="A13" s="21">
        <v>45394</v>
      </c>
      <c r="B13" s="16">
        <f>IF(YEAR(Table6[[#This Row],[Date]]) = 2024, WEEKNUM(Table6[[#This Row],[Date]])-13, WEEKNUM(Table6[[#This Row],[Date]])+40)</f>
        <v>2</v>
      </c>
      <c r="C13" s="31" t="s">
        <v>52</v>
      </c>
      <c r="D13" s="295" t="s">
        <v>48</v>
      </c>
      <c r="E13" s="1">
        <v>836</v>
      </c>
      <c r="F13" s="1">
        <v>784</v>
      </c>
      <c r="G13" s="76">
        <f t="shared" ref="G13:H13" si="8">(E13-E6)/E6</f>
        <v>0.11764705882352941</v>
      </c>
      <c r="H13" s="76">
        <f t="shared" si="8"/>
        <v>0.11363636363636363</v>
      </c>
      <c r="I13" s="1">
        <f>I12+E13</f>
        <v>5108</v>
      </c>
      <c r="J13" s="1">
        <f>J12+F13</f>
        <v>4753</v>
      </c>
      <c r="K13" s="1">
        <f>K12+Table7[[#This Row],[Calls Off]]</f>
        <v>5108</v>
      </c>
      <c r="L13" s="1">
        <f>L12+Table7[[#This Row],[Calls Ans]]</f>
        <v>4753</v>
      </c>
      <c r="M13" s="17">
        <v>0.76</v>
      </c>
      <c r="N13" s="17">
        <v>0.06</v>
      </c>
      <c r="O13" s="17">
        <v>0.94</v>
      </c>
      <c r="P13" s="17">
        <v>0.39</v>
      </c>
      <c r="Q13" s="17">
        <v>0.98</v>
      </c>
      <c r="R13" s="39">
        <v>124</v>
      </c>
      <c r="S13" s="139">
        <v>1.6666666666666666E-2</v>
      </c>
      <c r="T13" s="285">
        <v>11</v>
      </c>
      <c r="U13" s="1" t="str">
        <f t="shared" si="0"/>
        <v>Normal</v>
      </c>
      <c r="V13" s="1" t="str">
        <f t="shared" si="1"/>
        <v>Normal</v>
      </c>
      <c r="W13" s="18">
        <f t="shared" si="2"/>
        <v>0.11764705882352941</v>
      </c>
      <c r="X13" s="18">
        <f t="shared" si="3"/>
        <v>0.11363636363636363</v>
      </c>
    </row>
    <row r="14" spans="1:42">
      <c r="A14" s="21">
        <v>45395</v>
      </c>
      <c r="B14" s="16">
        <f>IF(YEAR(Table6[[#This Row],[Date]]) = 2024, WEEKNUM(Table6[[#This Row],[Date]])-13, WEEKNUM(Table6[[#This Row],[Date]])+40)</f>
        <v>2</v>
      </c>
      <c r="C14" s="31" t="s">
        <v>53</v>
      </c>
      <c r="D14" s="295" t="s">
        <v>48</v>
      </c>
      <c r="E14" s="1">
        <v>363</v>
      </c>
      <c r="F14" s="1">
        <v>286</v>
      </c>
      <c r="G14" s="76">
        <f t="shared" ref="G14:H14" si="9">(E14-E7)/E7</f>
        <v>-0.17499999999999999</v>
      </c>
      <c r="H14" s="76">
        <f t="shared" si="9"/>
        <v>-0.25714285714285712</v>
      </c>
      <c r="I14" s="1">
        <f>I13+E14</f>
        <v>5471</v>
      </c>
      <c r="J14" s="1">
        <f>J13+F14</f>
        <v>5039</v>
      </c>
      <c r="K14" s="1">
        <f>K13+Table7[[#This Row],[Calls Off]]</f>
        <v>5471</v>
      </c>
      <c r="L14" s="1">
        <f>L13+Table7[[#This Row],[Calls Ans]]</f>
        <v>5039</v>
      </c>
      <c r="M14" s="17">
        <v>0.5</v>
      </c>
      <c r="N14" s="17">
        <v>0.21</v>
      </c>
      <c r="O14" s="17">
        <v>0.78</v>
      </c>
      <c r="P14" s="17">
        <v>0.49</v>
      </c>
      <c r="Q14" s="17">
        <v>0.95</v>
      </c>
      <c r="R14" s="39">
        <v>130</v>
      </c>
      <c r="S14" s="139">
        <v>5.9027777777777783E-2</v>
      </c>
      <c r="T14" s="285">
        <v>5</v>
      </c>
      <c r="U14" s="1" t="str">
        <f t="shared" si="0"/>
        <v>Normal</v>
      </c>
      <c r="V14" s="1" t="str">
        <f t="shared" si="1"/>
        <v>Normal</v>
      </c>
      <c r="W14" s="18">
        <f t="shared" si="2"/>
        <v>-0.17499999999999999</v>
      </c>
      <c r="X14" s="18">
        <f t="shared" si="3"/>
        <v>-0.25714285714285712</v>
      </c>
    </row>
    <row r="15" spans="1:42">
      <c r="A15" s="21">
        <v>45396</v>
      </c>
      <c r="B15" s="16">
        <f>IF(YEAR(Table6[[#This Row],[Date]]) = 2024, WEEKNUM(Table6[[#This Row],[Date]])-13, WEEKNUM(Table6[[#This Row],[Date]])+40)</f>
        <v>3</v>
      </c>
      <c r="C15" s="31" t="s">
        <v>54</v>
      </c>
      <c r="D15" s="295" t="s">
        <v>48</v>
      </c>
      <c r="E15" s="1">
        <v>0</v>
      </c>
      <c r="F15" s="1">
        <v>0</v>
      </c>
      <c r="G15" s="76">
        <v>0</v>
      </c>
      <c r="H15" s="76">
        <v>0</v>
      </c>
      <c r="I15" s="1">
        <v>0</v>
      </c>
      <c r="J15" s="1">
        <v>0</v>
      </c>
      <c r="K15" s="1">
        <f>K14+Table7[[#This Row],[Calls Off]]</f>
        <v>5471</v>
      </c>
      <c r="L15" s="1">
        <f>L14+Table7[[#This Row],[Calls Ans]]</f>
        <v>5039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39">
        <v>0</v>
      </c>
      <c r="S15" s="139">
        <v>0</v>
      </c>
      <c r="T15" s="285">
        <v>0</v>
      </c>
      <c r="U15" s="1" t="str">
        <f t="shared" si="0"/>
        <v>Normal</v>
      </c>
      <c r="V15" s="1" t="str">
        <f t="shared" si="1"/>
        <v>Normal</v>
      </c>
      <c r="W15" s="18">
        <f t="shared" si="2"/>
        <v>0</v>
      </c>
      <c r="X15" s="18">
        <f t="shared" si="3"/>
        <v>0</v>
      </c>
    </row>
    <row r="16" spans="1:42">
      <c r="A16" s="21">
        <v>45397</v>
      </c>
      <c r="B16" s="16">
        <f>IF(YEAR(Table6[[#This Row],[Date]]) = 2024, WEEKNUM(Table6[[#This Row],[Date]])-13, WEEKNUM(Table6[[#This Row],[Date]])+40)</f>
        <v>3</v>
      </c>
      <c r="C16" s="31" t="s">
        <v>55</v>
      </c>
      <c r="D16" s="295" t="s">
        <v>48</v>
      </c>
      <c r="E16" s="1">
        <v>794</v>
      </c>
      <c r="F16" s="1">
        <v>725</v>
      </c>
      <c r="G16" s="76">
        <f>(E16-E9)/E9</f>
        <v>-0.10079275198187995</v>
      </c>
      <c r="H16" s="76">
        <f>(F16-F9)/F9</f>
        <v>-0.13690476190476192</v>
      </c>
      <c r="I16" s="1">
        <f>I14+E16</f>
        <v>6265</v>
      </c>
      <c r="J16" s="1">
        <f>J14+F16</f>
        <v>5764</v>
      </c>
      <c r="K16" s="1">
        <f>K15+Table7[[#This Row],[Calls Off]]</f>
        <v>6265</v>
      </c>
      <c r="L16" s="1">
        <f>L15+Table7[[#This Row],[Calls Ans]]</f>
        <v>5764</v>
      </c>
      <c r="M16" s="17">
        <v>0.72</v>
      </c>
      <c r="N16" s="17">
        <v>0.09</v>
      </c>
      <c r="O16" s="17">
        <v>0.91</v>
      </c>
      <c r="P16" s="17">
        <v>0.39</v>
      </c>
      <c r="Q16" s="17">
        <v>1</v>
      </c>
      <c r="R16" s="39">
        <v>125</v>
      </c>
      <c r="S16" s="139">
        <v>1.8055555555555557E-2</v>
      </c>
      <c r="T16" s="285">
        <v>9</v>
      </c>
      <c r="U16" s="1" t="str">
        <f t="shared" si="0"/>
        <v>Normal</v>
      </c>
      <c r="V16" s="1" t="str">
        <f t="shared" si="1"/>
        <v>Normal</v>
      </c>
      <c r="W16" s="18">
        <f t="shared" si="2"/>
        <v>-0.10079275198187995</v>
      </c>
      <c r="X16" s="18">
        <f t="shared" si="3"/>
        <v>-0.13690476190476192</v>
      </c>
      <c r="AL16" s="410" t="s">
        <v>173</v>
      </c>
      <c r="AM16" t="s">
        <v>175</v>
      </c>
      <c r="AN16" t="s">
        <v>176</v>
      </c>
      <c r="AO16" t="s">
        <v>177</v>
      </c>
      <c r="AP16" t="s">
        <v>178</v>
      </c>
    </row>
    <row r="17" spans="1:42">
      <c r="A17" s="21">
        <v>45398</v>
      </c>
      <c r="B17" s="16">
        <f>IF(YEAR(Table6[[#This Row],[Date]]) = 2024, WEEKNUM(Table6[[#This Row],[Date]])-13, WEEKNUM(Table6[[#This Row],[Date]])+40)</f>
        <v>3</v>
      </c>
      <c r="C17" s="31" t="s">
        <v>49</v>
      </c>
      <c r="D17" s="295" t="s">
        <v>48</v>
      </c>
      <c r="E17" s="1">
        <v>720</v>
      </c>
      <c r="F17" s="1">
        <v>693</v>
      </c>
      <c r="G17" s="76">
        <f t="shared" ref="G17:G21" si="10">(E17-E10)/E10</f>
        <v>0.11282843894899536</v>
      </c>
      <c r="H17" s="76">
        <f t="shared" ref="H17:H21" si="11">(F17-F10)/F10</f>
        <v>0.2857142857142857</v>
      </c>
      <c r="I17" s="1">
        <f t="shared" ref="I17:J21" si="12">I16+E17</f>
        <v>6985</v>
      </c>
      <c r="J17" s="1">
        <f t="shared" si="12"/>
        <v>6457</v>
      </c>
      <c r="K17" s="1">
        <f>K16+Table7[[#This Row],[Calls Off]]</f>
        <v>6985</v>
      </c>
      <c r="L17" s="1">
        <f>L16+Table7[[#This Row],[Calls Ans]]</f>
        <v>6457</v>
      </c>
      <c r="M17" s="17">
        <v>0.71</v>
      </c>
      <c r="N17" s="17">
        <v>7.0000000000000007E-2</v>
      </c>
      <c r="O17" s="17">
        <v>0.93</v>
      </c>
      <c r="P17" s="17">
        <v>0.34</v>
      </c>
      <c r="Q17" s="17">
        <v>0.99</v>
      </c>
      <c r="R17" s="39">
        <v>112</v>
      </c>
      <c r="S17" s="139">
        <v>2.013888888888889E-2</v>
      </c>
      <c r="T17" s="285">
        <v>10</v>
      </c>
      <c r="U17" s="1" t="str">
        <f t="shared" si="0"/>
        <v>Normal</v>
      </c>
      <c r="V17" s="1" t="str">
        <f t="shared" si="1"/>
        <v>Normal</v>
      </c>
      <c r="W17" s="18">
        <f t="shared" si="2"/>
        <v>0.11282843894899536</v>
      </c>
      <c r="X17" s="18">
        <f t="shared" si="3"/>
        <v>0.2857142857142857</v>
      </c>
      <c r="AL17" s="414">
        <v>1</v>
      </c>
      <c r="AM17" s="412">
        <v>2737</v>
      </c>
      <c r="AN17" s="412">
        <v>2585</v>
      </c>
      <c r="AO17" s="413">
        <v>0.65833333333333333</v>
      </c>
      <c r="AP17" s="413">
        <v>0.23166666666666666</v>
      </c>
    </row>
    <row r="18" spans="1:42">
      <c r="A18" s="21">
        <v>45399</v>
      </c>
      <c r="B18" s="16">
        <f>IF(YEAR(Table6[[#This Row],[Date]]) = 2024, WEEKNUM(Table6[[#This Row],[Date]])-13, WEEKNUM(Table6[[#This Row],[Date]])+40)</f>
        <v>3</v>
      </c>
      <c r="C18" s="31" t="s">
        <v>50</v>
      </c>
      <c r="D18" s="295" t="s">
        <v>48</v>
      </c>
      <c r="E18" s="1">
        <v>699</v>
      </c>
      <c r="F18" s="1">
        <v>669</v>
      </c>
      <c r="G18" s="76">
        <f>IFERROR((E18-E11)/E11,0)</f>
        <v>0</v>
      </c>
      <c r="H18" s="76">
        <f>IFERROR((F18-F11)/F11,0)</f>
        <v>0</v>
      </c>
      <c r="I18" s="1">
        <f t="shared" si="12"/>
        <v>7684</v>
      </c>
      <c r="J18" s="1">
        <f t="shared" si="12"/>
        <v>7126</v>
      </c>
      <c r="K18" s="1">
        <f>K17+Table7[[#This Row],[Calls Off]]</f>
        <v>7684</v>
      </c>
      <c r="L18" s="1">
        <f>L17+Table7[[#This Row],[Calls Ans]]</f>
        <v>7126</v>
      </c>
      <c r="M18" s="17">
        <v>0.84</v>
      </c>
      <c r="N18" s="17">
        <v>0.04</v>
      </c>
      <c r="O18" s="17">
        <v>0.96</v>
      </c>
      <c r="P18" s="17">
        <v>0.36</v>
      </c>
      <c r="Q18" s="17">
        <v>0.98</v>
      </c>
      <c r="R18" s="39">
        <v>145</v>
      </c>
      <c r="S18" s="139">
        <v>9.0277777777777787E-3</v>
      </c>
      <c r="T18" s="285">
        <v>11</v>
      </c>
      <c r="U18" s="1" t="str">
        <f t="shared" si="0"/>
        <v>Normal</v>
      </c>
      <c r="V18" s="1" t="str">
        <f t="shared" si="1"/>
        <v>Normal</v>
      </c>
      <c r="W18" s="18">
        <f t="shared" si="2"/>
        <v>0</v>
      </c>
      <c r="X18" s="18">
        <f t="shared" si="3"/>
        <v>0</v>
      </c>
      <c r="AL18" s="414">
        <v>2</v>
      </c>
      <c r="AM18" s="412">
        <v>2734</v>
      </c>
      <c r="AN18" s="412">
        <v>2454</v>
      </c>
      <c r="AO18" s="413">
        <v>0.47142857142857142</v>
      </c>
      <c r="AP18" s="413">
        <v>0.23571428571428574</v>
      </c>
    </row>
    <row r="19" spans="1:42">
      <c r="A19" s="21">
        <v>45400</v>
      </c>
      <c r="B19" s="16">
        <f>IF(YEAR(Table6[[#This Row],[Date]]) = 2024, WEEKNUM(Table6[[#This Row],[Date]])-13, WEEKNUM(Table6[[#This Row],[Date]])+40)</f>
        <v>3</v>
      </c>
      <c r="C19" s="31" t="s">
        <v>51</v>
      </c>
      <c r="D19" s="295" t="s">
        <v>48</v>
      </c>
      <c r="E19" s="1">
        <v>676</v>
      </c>
      <c r="F19" s="1">
        <v>662</v>
      </c>
      <c r="G19" s="76">
        <f t="shared" si="10"/>
        <v>134.19999999999999</v>
      </c>
      <c r="H19" s="76">
        <f t="shared" si="11"/>
        <v>131.4</v>
      </c>
      <c r="I19" s="1">
        <f t="shared" si="12"/>
        <v>8360</v>
      </c>
      <c r="J19" s="1">
        <f t="shared" si="12"/>
        <v>7788</v>
      </c>
      <c r="K19" s="1">
        <f>K18+Table7[[#This Row],[Calls Off]]</f>
        <v>8360</v>
      </c>
      <c r="L19" s="1">
        <f>L18+Table7[[#This Row],[Calls Ans]]</f>
        <v>7788</v>
      </c>
      <c r="M19" s="17">
        <v>0.96</v>
      </c>
      <c r="N19" s="17">
        <v>0.02</v>
      </c>
      <c r="O19" s="17">
        <v>0.98</v>
      </c>
      <c r="P19" s="17">
        <v>0.23</v>
      </c>
      <c r="Q19" s="17">
        <v>0.96</v>
      </c>
      <c r="R19" s="39">
        <v>111</v>
      </c>
      <c r="S19" s="139">
        <v>3.472222222222222E-3</v>
      </c>
      <c r="T19" s="285">
        <v>12</v>
      </c>
      <c r="U19" s="1" t="str">
        <f t="shared" si="0"/>
        <v>Outlier</v>
      </c>
      <c r="V19" s="1" t="str">
        <f t="shared" si="1"/>
        <v>Outlier</v>
      </c>
      <c r="W19" s="18">
        <f t="shared" si="2"/>
        <v>5.5425044678205735</v>
      </c>
      <c r="X19" s="18">
        <f t="shared" si="3"/>
        <v>5.4540794919577955</v>
      </c>
      <c r="AL19" s="414">
        <v>3</v>
      </c>
      <c r="AM19" s="412">
        <v>4051</v>
      </c>
      <c r="AN19" s="412">
        <v>3810</v>
      </c>
      <c r="AO19" s="413">
        <v>0.64714285714285702</v>
      </c>
      <c r="AP19" s="413">
        <v>0.31857142857142856</v>
      </c>
    </row>
    <row r="20" spans="1:42">
      <c r="A20" s="21">
        <v>45401</v>
      </c>
      <c r="B20" s="16">
        <f>IF(YEAR(Table6[[#This Row],[Date]]) = 2024, WEEKNUM(Table6[[#This Row],[Date]])-13, WEEKNUM(Table6[[#This Row],[Date]])+40)</f>
        <v>3</v>
      </c>
      <c r="C20" s="31" t="s">
        <v>52</v>
      </c>
      <c r="D20" s="295" t="s">
        <v>48</v>
      </c>
      <c r="E20" s="1">
        <v>726</v>
      </c>
      <c r="F20" s="1">
        <v>711</v>
      </c>
      <c r="G20" s="76">
        <f t="shared" si="10"/>
        <v>-0.13157894736842105</v>
      </c>
      <c r="H20" s="76">
        <f t="shared" si="11"/>
        <v>-9.311224489795919E-2</v>
      </c>
      <c r="I20" s="1">
        <f t="shared" si="12"/>
        <v>9086</v>
      </c>
      <c r="J20" s="1">
        <f t="shared" si="12"/>
        <v>8499</v>
      </c>
      <c r="K20" s="1">
        <f>K19+Table7[[#This Row],[Calls Off]]</f>
        <v>9086</v>
      </c>
      <c r="L20" s="1">
        <f>L19+Table7[[#This Row],[Calls Ans]]</f>
        <v>8499</v>
      </c>
      <c r="M20" s="17">
        <v>0.91</v>
      </c>
      <c r="N20" s="17">
        <v>0.02</v>
      </c>
      <c r="O20" s="17">
        <v>0.98</v>
      </c>
      <c r="P20" s="17">
        <v>0.31</v>
      </c>
      <c r="Q20" s="17">
        <v>0.98</v>
      </c>
      <c r="R20" s="39">
        <v>133</v>
      </c>
      <c r="S20" s="139">
        <v>6.9444444444444441E-3</v>
      </c>
      <c r="T20" s="285">
        <v>12</v>
      </c>
      <c r="U20" s="1" t="str">
        <f t="shared" si="0"/>
        <v>Normal</v>
      </c>
      <c r="V20" s="1" t="str">
        <f t="shared" si="1"/>
        <v>Normal</v>
      </c>
      <c r="W20" s="18">
        <f t="shared" si="2"/>
        <v>-0.13157894736842105</v>
      </c>
      <c r="X20" s="18">
        <f t="shared" si="3"/>
        <v>-9.311224489795919E-2</v>
      </c>
      <c r="AL20" s="414">
        <v>4</v>
      </c>
      <c r="AM20" s="412">
        <v>3767</v>
      </c>
      <c r="AN20" s="412">
        <v>3503</v>
      </c>
      <c r="AO20" s="413">
        <v>0.67285714285714293</v>
      </c>
      <c r="AP20" s="413">
        <v>0.31857142857142856</v>
      </c>
    </row>
    <row r="21" spans="1:42">
      <c r="A21" s="21">
        <v>45402</v>
      </c>
      <c r="B21" s="16">
        <f>IF(YEAR(Table6[[#This Row],[Date]]) = 2024, WEEKNUM(Table6[[#This Row],[Date]])-13, WEEKNUM(Table6[[#This Row],[Date]])+40)</f>
        <v>3</v>
      </c>
      <c r="C21" s="31" t="s">
        <v>53</v>
      </c>
      <c r="D21" s="295" t="s">
        <v>48</v>
      </c>
      <c r="E21" s="1">
        <v>436</v>
      </c>
      <c r="F21" s="1">
        <v>350</v>
      </c>
      <c r="G21" s="76">
        <f t="shared" si="10"/>
        <v>0.20110192837465565</v>
      </c>
      <c r="H21" s="76">
        <f t="shared" si="11"/>
        <v>0.22377622377622378</v>
      </c>
      <c r="I21" s="1">
        <f t="shared" si="12"/>
        <v>9522</v>
      </c>
      <c r="J21" s="1">
        <f t="shared" si="12"/>
        <v>8849</v>
      </c>
      <c r="K21" s="1">
        <f>K20+Table7[[#This Row],[Calls Off]]</f>
        <v>9522</v>
      </c>
      <c r="L21" s="1">
        <f>L20+Table7[[#This Row],[Calls Ans]]</f>
        <v>8849</v>
      </c>
      <c r="M21" s="17">
        <v>0.39</v>
      </c>
      <c r="N21" s="17">
        <v>0.2</v>
      </c>
      <c r="O21" s="17">
        <v>0.8</v>
      </c>
      <c r="P21" s="17">
        <v>0.6</v>
      </c>
      <c r="Q21" s="17">
        <v>0.98</v>
      </c>
      <c r="R21" s="39">
        <v>140</v>
      </c>
      <c r="S21" s="139">
        <v>6.805555555555555E-2</v>
      </c>
      <c r="T21" s="285">
        <v>5</v>
      </c>
      <c r="U21" s="1" t="str">
        <f t="shared" si="0"/>
        <v>Normal</v>
      </c>
      <c r="V21" s="1" t="str">
        <f t="shared" si="1"/>
        <v>Normal</v>
      </c>
      <c r="W21" s="18">
        <f t="shared" si="2"/>
        <v>0.20110192837465565</v>
      </c>
      <c r="X21" s="18">
        <f t="shared" si="3"/>
        <v>0.22377622377622378</v>
      </c>
      <c r="AL21" s="414">
        <v>5</v>
      </c>
      <c r="AM21" s="412">
        <v>3446</v>
      </c>
      <c r="AN21" s="412">
        <v>3062</v>
      </c>
      <c r="AO21" s="413">
        <v>0.49857142857142855</v>
      </c>
      <c r="AP21" s="413">
        <v>0.30285714285714288</v>
      </c>
    </row>
    <row r="22" spans="1:42">
      <c r="A22" s="21">
        <v>45403</v>
      </c>
      <c r="B22" s="16">
        <f>IF(YEAR(Table6[[#This Row],[Date]]) = 2024, WEEKNUM(Table6[[#This Row],[Date]])-13, WEEKNUM(Table6[[#This Row],[Date]])+40)</f>
        <v>4</v>
      </c>
      <c r="C22" s="31" t="s">
        <v>54</v>
      </c>
      <c r="D22" s="295" t="s">
        <v>48</v>
      </c>
      <c r="E22" s="1">
        <v>0</v>
      </c>
      <c r="F22" s="1">
        <v>0</v>
      </c>
      <c r="G22" s="76">
        <v>0</v>
      </c>
      <c r="H22" s="76">
        <v>0</v>
      </c>
      <c r="I22" s="1">
        <v>0</v>
      </c>
      <c r="J22" s="1">
        <v>0</v>
      </c>
      <c r="K22" s="1">
        <f>K21+Table7[[#This Row],[Calls Off]]</f>
        <v>9522</v>
      </c>
      <c r="L22" s="1">
        <f>L21+Table7[[#This Row],[Calls Ans]]</f>
        <v>8849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39">
        <v>0</v>
      </c>
      <c r="S22" s="139">
        <v>0</v>
      </c>
      <c r="T22" s="285">
        <v>0</v>
      </c>
      <c r="U22" s="1" t="str">
        <f t="shared" si="0"/>
        <v>Normal</v>
      </c>
      <c r="V22" s="1" t="str">
        <f t="shared" si="1"/>
        <v>Normal</v>
      </c>
      <c r="W22" s="18">
        <f t="shared" si="2"/>
        <v>0</v>
      </c>
      <c r="X22" s="18">
        <f t="shared" si="3"/>
        <v>0</v>
      </c>
      <c r="AL22" s="414">
        <v>6</v>
      </c>
      <c r="AM22" s="412">
        <v>4096</v>
      </c>
      <c r="AN22" s="412">
        <v>3834</v>
      </c>
      <c r="AO22" s="413">
        <v>0.67142857142857149</v>
      </c>
      <c r="AP22" s="413">
        <v>0.34857142857142859</v>
      </c>
    </row>
    <row r="23" spans="1:42">
      <c r="A23" s="21">
        <v>45404</v>
      </c>
      <c r="B23" s="16">
        <f>IF(YEAR(Table6[[#This Row],[Date]]) = 2024, WEEKNUM(Table6[[#This Row],[Date]])-13, WEEKNUM(Table6[[#This Row],[Date]])+40)</f>
        <v>4</v>
      </c>
      <c r="C23" s="31" t="s">
        <v>55</v>
      </c>
      <c r="D23" s="295" t="s">
        <v>48</v>
      </c>
      <c r="E23" s="1">
        <v>710</v>
      </c>
      <c r="F23" s="1">
        <v>652</v>
      </c>
      <c r="G23" s="76">
        <f>(E23-E16)/E16</f>
        <v>-0.10579345088161209</v>
      </c>
      <c r="H23" s="76">
        <f>(F23-F16)/F16</f>
        <v>-0.10068965517241379</v>
      </c>
      <c r="I23" s="1">
        <f>I21+E23</f>
        <v>10232</v>
      </c>
      <c r="J23" s="1">
        <f>J21+F23</f>
        <v>9501</v>
      </c>
      <c r="K23" s="1">
        <f>K22+Table7[[#This Row],[Calls Off]]</f>
        <v>10232</v>
      </c>
      <c r="L23" s="1">
        <f>L22+Table7[[#This Row],[Calls Ans]]</f>
        <v>9501</v>
      </c>
      <c r="M23" s="17">
        <v>0.78</v>
      </c>
      <c r="N23" s="17">
        <v>0.08</v>
      </c>
      <c r="O23" s="17">
        <v>0.92</v>
      </c>
      <c r="P23" s="17">
        <v>0.35</v>
      </c>
      <c r="Q23" s="17">
        <v>0.99</v>
      </c>
      <c r="R23" s="39">
        <v>131</v>
      </c>
      <c r="S23" s="139">
        <v>2.7083333333333334E-2</v>
      </c>
      <c r="T23" s="285">
        <v>9</v>
      </c>
      <c r="U23" s="1" t="str">
        <f t="shared" si="0"/>
        <v>Normal</v>
      </c>
      <c r="V23" s="1" t="str">
        <f t="shared" si="1"/>
        <v>Normal</v>
      </c>
      <c r="W23" s="18">
        <f t="shared" si="2"/>
        <v>-0.10579345088161209</v>
      </c>
      <c r="X23" s="18">
        <f t="shared" si="3"/>
        <v>-0.10068965517241379</v>
      </c>
      <c r="AL23" s="414">
        <v>7</v>
      </c>
      <c r="AM23" s="412">
        <v>4011</v>
      </c>
      <c r="AN23" s="412">
        <v>3753</v>
      </c>
      <c r="AO23" s="413">
        <v>0.6785714285714286</v>
      </c>
      <c r="AP23" s="413">
        <v>0.32571428571428573</v>
      </c>
    </row>
    <row r="24" spans="1:42">
      <c r="A24" s="21">
        <v>45405</v>
      </c>
      <c r="B24" s="16">
        <f>IF(YEAR(Table6[[#This Row],[Date]]) = 2024, WEEKNUM(Table6[[#This Row],[Date]])-13, WEEKNUM(Table6[[#This Row],[Date]])+40)</f>
        <v>4</v>
      </c>
      <c r="C24" s="31" t="s">
        <v>49</v>
      </c>
      <c r="D24" s="295" t="s">
        <v>48</v>
      </c>
      <c r="E24" s="1">
        <v>683</v>
      </c>
      <c r="F24" s="1">
        <v>635</v>
      </c>
      <c r="G24" s="76">
        <f t="shared" ref="G24" si="13">(E24-E17)/E17</f>
        <v>-5.1388888888888887E-2</v>
      </c>
      <c r="H24" s="76">
        <f t="shared" ref="H24" si="14">(F24-F17)/F17</f>
        <v>-8.3694083694083696E-2</v>
      </c>
      <c r="I24" s="1">
        <f t="shared" ref="I24:J28" si="15">I23+E24</f>
        <v>10915</v>
      </c>
      <c r="J24" s="1">
        <f t="shared" si="15"/>
        <v>10136</v>
      </c>
      <c r="K24" s="1">
        <f>K23+Table7[[#This Row],[Calls Off]]</f>
        <v>10915</v>
      </c>
      <c r="L24" s="1">
        <f>L23+Table7[[#This Row],[Calls Ans]]</f>
        <v>10136</v>
      </c>
      <c r="M24" s="17">
        <v>0.85</v>
      </c>
      <c r="N24" s="17">
        <v>7.0000000000000007E-2</v>
      </c>
      <c r="O24" s="17">
        <v>0.93</v>
      </c>
      <c r="P24" s="17">
        <v>0.31</v>
      </c>
      <c r="Q24" s="17">
        <v>1</v>
      </c>
      <c r="R24" s="39">
        <v>130</v>
      </c>
      <c r="S24" s="139">
        <v>2.0833333333333332E-2</v>
      </c>
      <c r="T24" s="285">
        <v>11</v>
      </c>
      <c r="U24" s="1" t="str">
        <f t="shared" si="0"/>
        <v>Normal</v>
      </c>
      <c r="V24" s="1" t="str">
        <f t="shared" si="1"/>
        <v>Normal</v>
      </c>
      <c r="W24" s="18">
        <f t="shared" si="2"/>
        <v>-5.1388888888888887E-2</v>
      </c>
      <c r="X24" s="18">
        <f t="shared" si="3"/>
        <v>-8.3694083694083696E-2</v>
      </c>
      <c r="AL24" s="414">
        <v>8</v>
      </c>
      <c r="AM24" s="412">
        <v>3099</v>
      </c>
      <c r="AN24" s="412">
        <v>2895</v>
      </c>
      <c r="AO24" s="413">
        <v>0.74714285714285711</v>
      </c>
      <c r="AP24" s="413">
        <v>0.22428571428571425</v>
      </c>
    </row>
    <row r="25" spans="1:42">
      <c r="A25" s="21">
        <v>45406</v>
      </c>
      <c r="B25" s="16">
        <f>IF(YEAR(Table6[[#This Row],[Date]]) = 2024, WEEKNUM(Table6[[#This Row],[Date]])-13, WEEKNUM(Table6[[#This Row],[Date]])+40)</f>
        <v>4</v>
      </c>
      <c r="C25" s="31" t="s">
        <v>50</v>
      </c>
      <c r="D25" s="295" t="s">
        <v>48</v>
      </c>
      <c r="E25" s="1">
        <v>625</v>
      </c>
      <c r="F25" s="1">
        <v>602</v>
      </c>
      <c r="G25" s="76">
        <f>IFERROR((E25-E18)/E18,0)</f>
        <v>-0.10586552217453506</v>
      </c>
      <c r="H25" s="76">
        <f>IFERROR((F25-F18)/F18,0)</f>
        <v>-0.10014947683109118</v>
      </c>
      <c r="I25" s="1">
        <f t="shared" si="15"/>
        <v>11540</v>
      </c>
      <c r="J25" s="1">
        <f t="shared" si="15"/>
        <v>10738</v>
      </c>
      <c r="K25" s="1">
        <f>K24+Table7[[#This Row],[Calls Off]]</f>
        <v>11540</v>
      </c>
      <c r="L25" s="1">
        <f>L24+Table7[[#This Row],[Calls Ans]]</f>
        <v>10738</v>
      </c>
      <c r="M25" s="17">
        <v>0.91</v>
      </c>
      <c r="N25" s="17">
        <v>0.04</v>
      </c>
      <c r="O25" s="17">
        <v>0.96</v>
      </c>
      <c r="P25" s="17">
        <v>0.28999999999999998</v>
      </c>
      <c r="Q25" s="17">
        <v>1</v>
      </c>
      <c r="R25" s="39">
        <v>120</v>
      </c>
      <c r="S25" s="139">
        <v>6.2499999999999995E-3</v>
      </c>
      <c r="T25" s="285">
        <v>11</v>
      </c>
      <c r="U25" s="1" t="str">
        <f t="shared" si="0"/>
        <v>Normal</v>
      </c>
      <c r="V25" s="1" t="str">
        <f t="shared" si="1"/>
        <v>Normal</v>
      </c>
      <c r="W25" s="18">
        <f t="shared" si="2"/>
        <v>-0.10586552217453506</v>
      </c>
      <c r="X25" s="18">
        <f t="shared" si="3"/>
        <v>-0.10014947683109118</v>
      </c>
      <c r="AL25" s="414">
        <v>9</v>
      </c>
      <c r="AM25" s="412">
        <v>2171</v>
      </c>
      <c r="AN25" s="412">
        <v>1918</v>
      </c>
      <c r="AO25" s="413">
        <v>0.40142857142857141</v>
      </c>
      <c r="AP25" s="413">
        <v>0.25571428571428573</v>
      </c>
    </row>
    <row r="26" spans="1:42">
      <c r="A26" s="21">
        <v>45407</v>
      </c>
      <c r="B26" s="16">
        <f>IF(YEAR(Table6[[#This Row],[Date]]) = 2024, WEEKNUM(Table6[[#This Row],[Date]])-13, WEEKNUM(Table6[[#This Row],[Date]])+40)</f>
        <v>4</v>
      </c>
      <c r="C26" s="31" t="s">
        <v>51</v>
      </c>
      <c r="D26" s="295" t="s">
        <v>48</v>
      </c>
      <c r="E26" s="1">
        <v>703</v>
      </c>
      <c r="F26" s="1">
        <v>679</v>
      </c>
      <c r="G26" s="76">
        <f t="shared" ref="G26:G28" si="16">(E26-E19)/E19</f>
        <v>3.9940828402366867E-2</v>
      </c>
      <c r="H26" s="76">
        <f t="shared" ref="H26:H28" si="17">(F26-F19)/F19</f>
        <v>2.5679758308157101E-2</v>
      </c>
      <c r="I26" s="1">
        <f t="shared" si="15"/>
        <v>12243</v>
      </c>
      <c r="J26" s="1">
        <f t="shared" si="15"/>
        <v>11417</v>
      </c>
      <c r="K26" s="1">
        <f>K25+Table7[[#This Row],[Calls Off]]</f>
        <v>12243</v>
      </c>
      <c r="L26" s="1">
        <f>L25+Table7[[#This Row],[Calls Ans]]</f>
        <v>11417</v>
      </c>
      <c r="M26" s="17">
        <v>0.89</v>
      </c>
      <c r="N26" s="17">
        <v>0.03</v>
      </c>
      <c r="O26" s="17">
        <v>0.97</v>
      </c>
      <c r="P26" s="17">
        <v>0.36</v>
      </c>
      <c r="Q26" s="17">
        <v>1</v>
      </c>
      <c r="R26" s="39">
        <v>120</v>
      </c>
      <c r="S26" s="139">
        <v>8.3333333333333332E-3</v>
      </c>
      <c r="T26" s="285">
        <v>11</v>
      </c>
      <c r="U26" s="1" t="str">
        <f t="shared" si="0"/>
        <v>Normal</v>
      </c>
      <c r="V26" s="1" t="str">
        <f t="shared" si="1"/>
        <v>Normal</v>
      </c>
      <c r="W26" s="18">
        <f t="shared" si="2"/>
        <v>3.9940828402366867E-2</v>
      </c>
      <c r="X26" s="18">
        <f t="shared" si="3"/>
        <v>2.5679758308157101E-2</v>
      </c>
      <c r="AL26" s="414">
        <v>10</v>
      </c>
      <c r="AM26" s="412">
        <v>3799</v>
      </c>
      <c r="AN26" s="412">
        <v>3214</v>
      </c>
      <c r="AO26" s="413">
        <v>0.58571428571428563</v>
      </c>
      <c r="AP26" s="413">
        <v>0.33</v>
      </c>
    </row>
    <row r="27" spans="1:42">
      <c r="A27" s="21">
        <v>45408</v>
      </c>
      <c r="B27" s="16">
        <f>IF(YEAR(Table6[[#This Row],[Date]]) = 2024, WEEKNUM(Table6[[#This Row],[Date]])-13, WEEKNUM(Table6[[#This Row],[Date]])+40)</f>
        <v>4</v>
      </c>
      <c r="C27" s="31" t="s">
        <v>52</v>
      </c>
      <c r="D27" s="295" t="s">
        <v>48</v>
      </c>
      <c r="E27" s="1">
        <v>666</v>
      </c>
      <c r="F27" s="1">
        <v>607</v>
      </c>
      <c r="G27" s="76">
        <f t="shared" si="16"/>
        <v>-8.2644628099173556E-2</v>
      </c>
      <c r="H27" s="76">
        <f t="shared" si="17"/>
        <v>-0.14627285513361463</v>
      </c>
      <c r="I27" s="1">
        <f t="shared" si="15"/>
        <v>12909</v>
      </c>
      <c r="J27" s="1">
        <f t="shared" si="15"/>
        <v>12024</v>
      </c>
      <c r="K27" s="1">
        <f>K26+Table7[[#This Row],[Calls Off]]</f>
        <v>12909</v>
      </c>
      <c r="L27" s="1">
        <f>L26+Table7[[#This Row],[Calls Ans]]</f>
        <v>12024</v>
      </c>
      <c r="M27" s="17">
        <v>0.71</v>
      </c>
      <c r="N27" s="17">
        <v>0.09</v>
      </c>
      <c r="O27" s="17">
        <v>0.91</v>
      </c>
      <c r="P27" s="17">
        <v>0.41</v>
      </c>
      <c r="Q27" s="17">
        <v>0.99</v>
      </c>
      <c r="R27" s="39">
        <v>143</v>
      </c>
      <c r="S27" s="139">
        <v>1.8749999999999999E-2</v>
      </c>
      <c r="T27" s="285">
        <v>8</v>
      </c>
      <c r="U27" s="1" t="str">
        <f t="shared" si="0"/>
        <v>Normal</v>
      </c>
      <c r="V27" s="1" t="str">
        <f t="shared" si="1"/>
        <v>Normal</v>
      </c>
      <c r="W27" s="18">
        <f t="shared" si="2"/>
        <v>-8.2644628099173556E-2</v>
      </c>
      <c r="X27" s="18">
        <f t="shared" si="3"/>
        <v>-0.14627285513361463</v>
      </c>
      <c r="AL27" s="414">
        <v>11</v>
      </c>
      <c r="AM27" s="412">
        <v>3172</v>
      </c>
      <c r="AN27" s="412">
        <v>2987</v>
      </c>
      <c r="AO27" s="413">
        <v>0.7142857142857143</v>
      </c>
      <c r="AP27" s="413">
        <v>0.31428571428571433</v>
      </c>
    </row>
    <row r="28" spans="1:42">
      <c r="A28" s="21">
        <v>45409</v>
      </c>
      <c r="B28" s="16">
        <f>IF(YEAR(Table6[[#This Row],[Date]]) = 2024, WEEKNUM(Table6[[#This Row],[Date]])-13, WEEKNUM(Table6[[#This Row],[Date]])+40)</f>
        <v>4</v>
      </c>
      <c r="C28" s="31" t="s">
        <v>53</v>
      </c>
      <c r="D28" s="295" t="s">
        <v>48</v>
      </c>
      <c r="E28" s="1">
        <v>380</v>
      </c>
      <c r="F28" s="1">
        <v>328</v>
      </c>
      <c r="G28" s="76">
        <f t="shared" si="16"/>
        <v>-0.12844036697247707</v>
      </c>
      <c r="H28" s="76">
        <f t="shared" si="17"/>
        <v>-6.2857142857142861E-2</v>
      </c>
      <c r="I28" s="1">
        <f t="shared" si="15"/>
        <v>13289</v>
      </c>
      <c r="J28" s="1">
        <f t="shared" si="15"/>
        <v>12352</v>
      </c>
      <c r="K28" s="1">
        <f>K27+Table7[[#This Row],[Calls Off]]</f>
        <v>13289</v>
      </c>
      <c r="L28" s="1">
        <f>L27+Table7[[#This Row],[Calls Ans]]</f>
        <v>12352</v>
      </c>
      <c r="M28" s="17">
        <v>0.56999999999999995</v>
      </c>
      <c r="N28" s="17">
        <v>0.14000000000000001</v>
      </c>
      <c r="O28" s="17">
        <v>0.86</v>
      </c>
      <c r="P28" s="17">
        <v>0.51</v>
      </c>
      <c r="Q28" s="17">
        <v>0.98</v>
      </c>
      <c r="R28" s="39">
        <v>106</v>
      </c>
      <c r="S28" s="139">
        <v>2.6388888888888889E-2</v>
      </c>
      <c r="T28" s="285">
        <v>5</v>
      </c>
      <c r="U28" s="1" t="str">
        <f t="shared" si="0"/>
        <v>Normal</v>
      </c>
      <c r="V28" s="1" t="str">
        <f t="shared" si="1"/>
        <v>Normal</v>
      </c>
      <c r="W28" s="18">
        <f t="shared" si="2"/>
        <v>-0.12844036697247707</v>
      </c>
      <c r="X28" s="18">
        <f t="shared" si="3"/>
        <v>-6.2857142857142861E-2</v>
      </c>
      <c r="AL28" s="414">
        <v>12</v>
      </c>
      <c r="AM28" s="412">
        <v>2976</v>
      </c>
      <c r="AN28" s="412">
        <v>2373</v>
      </c>
      <c r="AO28" s="413">
        <v>0.44</v>
      </c>
      <c r="AP28" s="413">
        <v>0.3</v>
      </c>
    </row>
    <row r="29" spans="1:42">
      <c r="A29" s="21">
        <v>45410</v>
      </c>
      <c r="B29" s="16">
        <f>IF(YEAR(Table6[[#This Row],[Date]]) = 2024, WEEKNUM(Table6[[#This Row],[Date]])-13, WEEKNUM(Table6[[#This Row],[Date]])+40)</f>
        <v>5</v>
      </c>
      <c r="C29" s="31" t="s">
        <v>54</v>
      </c>
      <c r="D29" s="295" t="s">
        <v>48</v>
      </c>
      <c r="E29" s="1">
        <v>0</v>
      </c>
      <c r="F29" s="1">
        <v>0</v>
      </c>
      <c r="G29" s="76">
        <v>0</v>
      </c>
      <c r="H29" s="76">
        <v>0</v>
      </c>
      <c r="I29" s="1">
        <v>0</v>
      </c>
      <c r="J29" s="1">
        <v>0</v>
      </c>
      <c r="K29" s="1">
        <f>K28+Table7[[#This Row],[Calls Off]]</f>
        <v>13289</v>
      </c>
      <c r="L29" s="1">
        <f>L28+Table7[[#This Row],[Calls Ans]]</f>
        <v>12352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39">
        <v>0</v>
      </c>
      <c r="S29" s="139">
        <v>0</v>
      </c>
      <c r="T29" s="285">
        <v>0</v>
      </c>
      <c r="U29" s="1" t="str">
        <f t="shared" si="0"/>
        <v>Normal</v>
      </c>
      <c r="V29" s="1" t="str">
        <f t="shared" si="1"/>
        <v>Normal</v>
      </c>
      <c r="W29" s="18">
        <f t="shared" si="2"/>
        <v>0</v>
      </c>
      <c r="X29" s="18">
        <f t="shared" si="3"/>
        <v>0</v>
      </c>
      <c r="AL29" s="414">
        <v>13</v>
      </c>
      <c r="AM29" s="412">
        <v>3050</v>
      </c>
      <c r="AN29" s="412">
        <v>2811</v>
      </c>
      <c r="AO29" s="413">
        <v>0.68285714285714294</v>
      </c>
      <c r="AP29" s="413">
        <v>0.30142857142857143</v>
      </c>
    </row>
    <row r="30" spans="1:42">
      <c r="A30" s="21">
        <v>45411</v>
      </c>
      <c r="B30" s="16">
        <f>IF(YEAR(Table6[[#This Row],[Date]]) = 2024, WEEKNUM(Table6[[#This Row],[Date]])-13, WEEKNUM(Table6[[#This Row],[Date]])+40)</f>
        <v>5</v>
      </c>
      <c r="C30" s="31" t="s">
        <v>55</v>
      </c>
      <c r="D30" s="295" t="s">
        <v>48</v>
      </c>
      <c r="E30" s="1">
        <v>838</v>
      </c>
      <c r="F30" s="1">
        <v>677</v>
      </c>
      <c r="G30" s="76">
        <f t="shared" ref="G30:G31" si="18">(E30-E23)/E23</f>
        <v>0.18028169014084508</v>
      </c>
      <c r="H30" s="76">
        <f t="shared" ref="H30:H31" si="19">(F30-F23)/F23</f>
        <v>3.834355828220859E-2</v>
      </c>
      <c r="I30" s="200">
        <f>I28+E30</f>
        <v>14127</v>
      </c>
      <c r="J30" s="200">
        <f>J28+F30</f>
        <v>13029</v>
      </c>
      <c r="K30" s="200">
        <f>K29+Table7[[#This Row],[Calls Off]]</f>
        <v>14127</v>
      </c>
      <c r="L30" s="200">
        <f>L29+Table7[[#This Row],[Calls Ans]]</f>
        <v>13029</v>
      </c>
      <c r="M30" s="17">
        <v>0.63</v>
      </c>
      <c r="N30" s="17">
        <v>0.19</v>
      </c>
      <c r="O30" s="17">
        <v>0.81</v>
      </c>
      <c r="P30" s="17">
        <v>0.42</v>
      </c>
      <c r="Q30" s="17">
        <v>1</v>
      </c>
      <c r="R30" s="39">
        <v>132</v>
      </c>
      <c r="S30" s="139">
        <v>4.5833333333333337E-2</v>
      </c>
      <c r="T30" s="285">
        <v>9</v>
      </c>
      <c r="U30" s="1" t="str">
        <f t="shared" si="0"/>
        <v>Normal</v>
      </c>
      <c r="V30" s="1" t="str">
        <f t="shared" si="1"/>
        <v>Normal</v>
      </c>
      <c r="W30" s="18">
        <f t="shared" si="2"/>
        <v>0.18028169014084508</v>
      </c>
      <c r="X30" s="18">
        <f t="shared" si="3"/>
        <v>3.834355828220859E-2</v>
      </c>
      <c r="AL30" s="414">
        <v>14</v>
      </c>
      <c r="AM30" s="412">
        <v>2931</v>
      </c>
      <c r="AN30" s="412">
        <v>2758</v>
      </c>
      <c r="AO30" s="413">
        <v>0.73714285714285721</v>
      </c>
      <c r="AP30" s="413">
        <v>0.28285714285714286</v>
      </c>
    </row>
    <row r="31" spans="1:42">
      <c r="A31" s="21">
        <v>45412</v>
      </c>
      <c r="B31" s="16">
        <f>IF(YEAR(Table6[[#This Row],[Date]]) = 2024, WEEKNUM(Table6[[#This Row],[Date]])-13, WEEKNUM(Table6[[#This Row],[Date]])+40)</f>
        <v>5</v>
      </c>
      <c r="C31" s="31" t="s">
        <v>49</v>
      </c>
      <c r="D31" s="295" t="s">
        <v>48</v>
      </c>
      <c r="E31" s="1">
        <v>755</v>
      </c>
      <c r="F31" s="1">
        <v>711</v>
      </c>
      <c r="G31" s="76">
        <f t="shared" si="18"/>
        <v>0.10541727672035139</v>
      </c>
      <c r="H31" s="76">
        <f t="shared" si="19"/>
        <v>0.11968503937007874</v>
      </c>
      <c r="I31" s="1">
        <f>I30+E31</f>
        <v>14882</v>
      </c>
      <c r="J31" s="1">
        <f>J30+F31</f>
        <v>13740</v>
      </c>
      <c r="K31" s="1">
        <f>K30+Table7[[#This Row],[Calls Off]]</f>
        <v>14882</v>
      </c>
      <c r="L31" s="1">
        <f>L30+Table7[[#This Row],[Calls Ans]]</f>
        <v>13740</v>
      </c>
      <c r="M31" s="17">
        <v>0.83</v>
      </c>
      <c r="N31" s="17">
        <v>0.06</v>
      </c>
      <c r="O31" s="17">
        <v>0.94</v>
      </c>
      <c r="P31" s="17">
        <v>0.35</v>
      </c>
      <c r="Q31" s="17">
        <v>1</v>
      </c>
      <c r="R31" s="39">
        <v>116</v>
      </c>
      <c r="S31" s="139">
        <v>8.3333333333333332E-3</v>
      </c>
      <c r="T31" s="285">
        <v>11</v>
      </c>
      <c r="U31" s="1" t="str">
        <f t="shared" si="0"/>
        <v>Normal</v>
      </c>
      <c r="V31" s="1" t="str">
        <f t="shared" si="1"/>
        <v>Normal</v>
      </c>
      <c r="W31" s="18">
        <f t="shared" si="2"/>
        <v>0.10541727672035139</v>
      </c>
      <c r="X31" s="18">
        <f t="shared" si="3"/>
        <v>0.11968503937007874</v>
      </c>
      <c r="AL31" s="414">
        <v>15</v>
      </c>
      <c r="AM31" s="412">
        <v>2941</v>
      </c>
      <c r="AN31" s="412">
        <v>2597</v>
      </c>
      <c r="AO31" s="413">
        <v>0.62571428571428578</v>
      </c>
      <c r="AP31" s="413">
        <v>0.29285714285714287</v>
      </c>
    </row>
    <row r="32" spans="1:42">
      <c r="A32" s="21">
        <v>45413</v>
      </c>
      <c r="B32" s="16">
        <f>IF(YEAR(Table6[[#This Row],[Date]]) = 2024, WEEKNUM(Table6[[#This Row],[Date]])-13, WEEKNUM(Table6[[#This Row],[Date]])+40)</f>
        <v>5</v>
      </c>
      <c r="C32" s="31" t="s">
        <v>50</v>
      </c>
      <c r="D32" s="295" t="s">
        <v>48</v>
      </c>
      <c r="E32" s="1">
        <v>0</v>
      </c>
      <c r="F32" s="1">
        <v>0</v>
      </c>
      <c r="G32" s="76">
        <v>0</v>
      </c>
      <c r="H32" s="76">
        <v>0</v>
      </c>
      <c r="I32" s="1">
        <v>0</v>
      </c>
      <c r="J32" s="1">
        <v>0</v>
      </c>
      <c r="K32" s="1">
        <f>Table7[[#This Row],[Calls Off]]</f>
        <v>0</v>
      </c>
      <c r="L32" s="1">
        <f>Table7[[#This Row],[Calls Ans]]</f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39">
        <v>0</v>
      </c>
      <c r="S32" s="139">
        <v>0</v>
      </c>
      <c r="T32" s="285">
        <v>0</v>
      </c>
      <c r="U32" s="1" t="str">
        <f t="shared" si="0"/>
        <v>Normal</v>
      </c>
      <c r="V32" s="1" t="str">
        <f t="shared" si="1"/>
        <v>Normal</v>
      </c>
      <c r="W32" s="18">
        <f t="shared" si="2"/>
        <v>0</v>
      </c>
      <c r="X32" s="18">
        <f t="shared" si="3"/>
        <v>0</v>
      </c>
      <c r="AL32" s="414">
        <v>16</v>
      </c>
      <c r="AM32" s="412">
        <v>3334</v>
      </c>
      <c r="AN32" s="412">
        <v>2961</v>
      </c>
      <c r="AO32" s="413">
        <v>0.61857142857142855</v>
      </c>
      <c r="AP32" s="413">
        <v>0.30857142857142861</v>
      </c>
    </row>
    <row r="33" spans="1:42">
      <c r="A33" s="21">
        <v>45414</v>
      </c>
      <c r="B33" s="16">
        <f>IF(YEAR(Table6[[#This Row],[Date]]) = 2024, WEEKNUM(Table6[[#This Row],[Date]])-13, WEEKNUM(Table6[[#This Row],[Date]])+40)</f>
        <v>5</v>
      </c>
      <c r="C33" s="31" t="s">
        <v>51</v>
      </c>
      <c r="D33" s="295" t="s">
        <v>48</v>
      </c>
      <c r="E33" s="1">
        <v>718</v>
      </c>
      <c r="F33" s="1">
        <v>698</v>
      </c>
      <c r="G33" s="76">
        <f>(E33-E26)/E26</f>
        <v>2.1337126600284494E-2</v>
      </c>
      <c r="H33" s="76">
        <f>(F33-F26)/F26</f>
        <v>2.7982326951399118E-2</v>
      </c>
      <c r="I33" s="1">
        <f>I31+E33</f>
        <v>15600</v>
      </c>
      <c r="J33" s="1">
        <f>J31+F33</f>
        <v>14438</v>
      </c>
      <c r="K33" s="1">
        <f>K32+Table7[[#This Row],[Calls Off]]</f>
        <v>718</v>
      </c>
      <c r="L33" s="1">
        <f>L32+Table7[[#This Row],[Calls Ans]]</f>
        <v>698</v>
      </c>
      <c r="M33" s="17">
        <v>0.9</v>
      </c>
      <c r="N33" s="17">
        <v>0.03</v>
      </c>
      <c r="O33" s="17">
        <v>0.97</v>
      </c>
      <c r="P33" s="17">
        <v>0.32</v>
      </c>
      <c r="Q33" s="17">
        <v>0.99</v>
      </c>
      <c r="R33" s="39">
        <v>146</v>
      </c>
      <c r="S33" s="139">
        <v>6.2499999999999995E-3</v>
      </c>
      <c r="T33" s="285">
        <v>11</v>
      </c>
      <c r="U33" s="1" t="str">
        <f t="shared" si="0"/>
        <v>Normal</v>
      </c>
      <c r="V33" s="1" t="str">
        <f t="shared" si="1"/>
        <v>Normal</v>
      </c>
      <c r="W33" s="18">
        <f t="shared" si="2"/>
        <v>2.1337126600284494E-2</v>
      </c>
      <c r="X33" s="18">
        <f t="shared" si="3"/>
        <v>2.7982326951399118E-2</v>
      </c>
      <c r="AL33" s="414">
        <v>17</v>
      </c>
      <c r="AM33" s="412">
        <v>2705</v>
      </c>
      <c r="AN33" s="412">
        <v>2208</v>
      </c>
      <c r="AO33" s="413">
        <v>0.6071428571428571</v>
      </c>
      <c r="AP33" s="413">
        <v>0.25142857142857145</v>
      </c>
    </row>
    <row r="34" spans="1:42">
      <c r="A34" s="21">
        <v>45415</v>
      </c>
      <c r="B34" s="16">
        <f>IF(YEAR(Table6[[#This Row],[Date]]) = 2024, WEEKNUM(Table6[[#This Row],[Date]])-13, WEEKNUM(Table6[[#This Row],[Date]])+40)</f>
        <v>5</v>
      </c>
      <c r="C34" s="31" t="s">
        <v>52</v>
      </c>
      <c r="D34" s="295" t="s">
        <v>48</v>
      </c>
      <c r="E34" s="1">
        <v>684</v>
      </c>
      <c r="F34" s="1">
        <v>664</v>
      </c>
      <c r="G34" s="76">
        <f t="shared" ref="G34:G35" si="20">(E34-E27)/E27</f>
        <v>2.7027027027027029E-2</v>
      </c>
      <c r="H34" s="76">
        <f t="shared" ref="H34:H35" si="21">(F34-F27)/F27</f>
        <v>9.3904448105436578E-2</v>
      </c>
      <c r="I34" s="1">
        <f t="shared" ref="I34:I35" si="22">I33+E34</f>
        <v>16284</v>
      </c>
      <c r="J34" s="1">
        <f t="shared" ref="J34:J35" si="23">J33+F34</f>
        <v>15102</v>
      </c>
      <c r="K34" s="1">
        <f>K33+Table7[[#This Row],[Calls Off]]</f>
        <v>1402</v>
      </c>
      <c r="L34" s="1">
        <f>L33+Table7[[#This Row],[Calls Ans]]</f>
        <v>1362</v>
      </c>
      <c r="M34" s="17">
        <v>0.92</v>
      </c>
      <c r="N34" s="17">
        <v>0.03</v>
      </c>
      <c r="O34" s="17">
        <v>0.97</v>
      </c>
      <c r="P34" s="17">
        <v>0.31</v>
      </c>
      <c r="Q34" s="17">
        <v>0.99</v>
      </c>
      <c r="R34" s="39">
        <v>129</v>
      </c>
      <c r="S34" s="139">
        <v>6.2499999999999995E-3</v>
      </c>
      <c r="T34" s="285">
        <v>11</v>
      </c>
      <c r="U34" s="1" t="str">
        <f t="shared" si="0"/>
        <v>Normal</v>
      </c>
      <c r="V34" s="1" t="str">
        <f t="shared" si="1"/>
        <v>Normal</v>
      </c>
      <c r="W34" s="18">
        <f t="shared" si="2"/>
        <v>2.7027027027027029E-2</v>
      </c>
      <c r="X34" s="18">
        <f t="shared" si="3"/>
        <v>9.3904448105436578E-2</v>
      </c>
      <c r="AL34" s="414">
        <v>18</v>
      </c>
      <c r="AM34" s="412">
        <v>3003</v>
      </c>
      <c r="AN34" s="412">
        <v>2388</v>
      </c>
      <c r="AO34" s="413">
        <v>0.3585714285714286</v>
      </c>
      <c r="AP34" s="413">
        <v>0.31714285714285712</v>
      </c>
    </row>
    <row r="35" spans="1:42">
      <c r="A35" s="21">
        <v>45416</v>
      </c>
      <c r="B35" s="16">
        <f>IF(YEAR(Table6[[#This Row],[Date]]) = 2024, WEEKNUM(Table6[[#This Row],[Date]])-13, WEEKNUM(Table6[[#This Row],[Date]])+40)</f>
        <v>5</v>
      </c>
      <c r="C35" s="31" t="s">
        <v>53</v>
      </c>
      <c r="D35" s="295" t="s">
        <v>48</v>
      </c>
      <c r="E35" s="1">
        <v>451</v>
      </c>
      <c r="F35" s="1">
        <v>312</v>
      </c>
      <c r="G35" s="76">
        <f t="shared" si="20"/>
        <v>0.18684210526315789</v>
      </c>
      <c r="H35" s="76">
        <f t="shared" si="21"/>
        <v>-4.878048780487805E-2</v>
      </c>
      <c r="I35" s="1">
        <f t="shared" si="22"/>
        <v>16735</v>
      </c>
      <c r="J35" s="1">
        <f t="shared" si="23"/>
        <v>15414</v>
      </c>
      <c r="K35" s="1">
        <f>K34+Table7[[#This Row],[Calls Off]]</f>
        <v>1853</v>
      </c>
      <c r="L35" s="1">
        <f>L34+Table7[[#This Row],[Calls Ans]]</f>
        <v>1674</v>
      </c>
      <c r="M35" s="17">
        <v>0.21</v>
      </c>
      <c r="N35" s="17">
        <v>0.31</v>
      </c>
      <c r="O35" s="17">
        <v>0.69</v>
      </c>
      <c r="P35" s="17">
        <v>0.72</v>
      </c>
      <c r="Q35" s="17">
        <v>0.99</v>
      </c>
      <c r="R35" s="39">
        <v>139</v>
      </c>
      <c r="S35" s="139">
        <v>9.930555555555555E-2</v>
      </c>
      <c r="T35" s="285">
        <v>4</v>
      </c>
      <c r="U35" s="1" t="str">
        <f t="shared" si="0"/>
        <v>Normal</v>
      </c>
      <c r="V35" s="1" t="str">
        <f t="shared" si="1"/>
        <v>Normal</v>
      </c>
      <c r="W35" s="18">
        <f t="shared" si="2"/>
        <v>0.18684210526315789</v>
      </c>
      <c r="X35" s="18">
        <f t="shared" si="3"/>
        <v>-4.878048780487805E-2</v>
      </c>
      <c r="AL35" s="414">
        <v>19</v>
      </c>
      <c r="AM35" s="412">
        <v>3117</v>
      </c>
      <c r="AN35" s="412">
        <v>2598</v>
      </c>
      <c r="AO35" s="413">
        <v>0.5485714285714286</v>
      </c>
      <c r="AP35" s="413">
        <v>0.30571428571428572</v>
      </c>
    </row>
    <row r="36" spans="1:42">
      <c r="A36" s="21">
        <v>45417</v>
      </c>
      <c r="B36" s="16">
        <f>IF(YEAR(Table6[[#This Row],[Date]]) = 2024, WEEKNUM(Table6[[#This Row],[Date]])-13, WEEKNUM(Table6[[#This Row],[Date]])+40)</f>
        <v>6</v>
      </c>
      <c r="C36" s="31" t="s">
        <v>54</v>
      </c>
      <c r="D36" s="295" t="s">
        <v>48</v>
      </c>
      <c r="E36" s="1">
        <v>0</v>
      </c>
      <c r="F36" s="1">
        <v>0</v>
      </c>
      <c r="G36" s="76">
        <v>0</v>
      </c>
      <c r="H36" s="76">
        <v>0</v>
      </c>
      <c r="I36" s="1">
        <v>0</v>
      </c>
      <c r="J36" s="1">
        <v>0</v>
      </c>
      <c r="K36" s="1">
        <f>K35+Table7[[#This Row],[Calls Off]]</f>
        <v>1853</v>
      </c>
      <c r="L36" s="1">
        <f>L35+Table7[[#This Row],[Calls Ans]]</f>
        <v>1674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39">
        <v>0</v>
      </c>
      <c r="S36" s="139">
        <v>0</v>
      </c>
      <c r="T36" s="285">
        <v>0</v>
      </c>
      <c r="U36" s="1" t="str">
        <f t="shared" si="0"/>
        <v>Normal</v>
      </c>
      <c r="V36" s="1" t="str">
        <f t="shared" si="1"/>
        <v>Normal</v>
      </c>
      <c r="W36" s="18">
        <f t="shared" si="2"/>
        <v>0</v>
      </c>
      <c r="X36" s="18">
        <f t="shared" si="3"/>
        <v>0</v>
      </c>
      <c r="AL36" s="414" t="s">
        <v>174</v>
      </c>
      <c r="AM36" s="412">
        <v>61140</v>
      </c>
      <c r="AN36" s="412">
        <v>54709</v>
      </c>
      <c r="AO36" s="413">
        <v>0.59772727272727311</v>
      </c>
      <c r="AP36" s="413">
        <v>0.29340909090909101</v>
      </c>
    </row>
    <row r="37" spans="1:42">
      <c r="A37" s="21">
        <v>45418</v>
      </c>
      <c r="B37" s="16">
        <f>IF(YEAR(Table6[[#This Row],[Date]]) = 2024, WEEKNUM(Table6[[#This Row],[Date]])-13, WEEKNUM(Table6[[#This Row],[Date]])+40)</f>
        <v>6</v>
      </c>
      <c r="C37" s="31" t="s">
        <v>55</v>
      </c>
      <c r="D37" s="295" t="s">
        <v>48</v>
      </c>
      <c r="E37" s="1">
        <v>763</v>
      </c>
      <c r="F37" s="1">
        <v>741</v>
      </c>
      <c r="G37" s="76">
        <f>(E37-E30)/E30</f>
        <v>-8.9498806682577564E-2</v>
      </c>
      <c r="H37" s="76">
        <f>(F37-F30)/F30</f>
        <v>9.4534711964549489E-2</v>
      </c>
      <c r="I37" s="1">
        <f>I35+E37</f>
        <v>17498</v>
      </c>
      <c r="J37" s="1">
        <f>J35+F37</f>
        <v>16155</v>
      </c>
      <c r="K37" s="1">
        <f>K36+Table7[[#This Row],[Calls Off]]</f>
        <v>2616</v>
      </c>
      <c r="L37" s="1">
        <f>L36+Table7[[#This Row],[Calls Ans]]</f>
        <v>2415</v>
      </c>
      <c r="M37" s="17">
        <v>0.89</v>
      </c>
      <c r="N37" s="17">
        <v>0.03</v>
      </c>
      <c r="O37" s="17">
        <v>0.97</v>
      </c>
      <c r="P37" s="17">
        <v>0.33</v>
      </c>
      <c r="Q37" s="17">
        <v>0.99</v>
      </c>
      <c r="R37" s="39">
        <v>125</v>
      </c>
      <c r="S37" s="139">
        <v>6.2499999999999995E-3</v>
      </c>
      <c r="T37" s="285">
        <v>10</v>
      </c>
      <c r="U37" s="1" t="str">
        <f t="shared" si="0"/>
        <v>Normal</v>
      </c>
      <c r="V37" s="1" t="str">
        <f t="shared" si="1"/>
        <v>Normal</v>
      </c>
      <c r="W37" s="18">
        <f t="shared" si="2"/>
        <v>-8.9498806682577564E-2</v>
      </c>
      <c r="X37" s="18">
        <f t="shared" si="3"/>
        <v>9.4534711964549489E-2</v>
      </c>
    </row>
    <row r="38" spans="1:42">
      <c r="A38" s="21">
        <v>45419</v>
      </c>
      <c r="B38" s="16">
        <f>IF(YEAR(Table6[[#This Row],[Date]]) = 2024, WEEKNUM(Table6[[#This Row],[Date]])-13, WEEKNUM(Table6[[#This Row],[Date]])+40)</f>
        <v>6</v>
      </c>
      <c r="C38" s="31" t="s">
        <v>49</v>
      </c>
      <c r="D38" s="295" t="s">
        <v>48</v>
      </c>
      <c r="E38" s="1">
        <v>693</v>
      </c>
      <c r="F38" s="1">
        <v>655</v>
      </c>
      <c r="G38" s="76">
        <f t="shared" ref="G38" si="24">(E38-E31)/E31</f>
        <v>-8.211920529801324E-2</v>
      </c>
      <c r="H38" s="76">
        <f t="shared" ref="H38" si="25">(F38-F31)/F31</f>
        <v>-7.8762306610407881E-2</v>
      </c>
      <c r="I38" s="1">
        <f t="shared" ref="I38:I42" si="26">I37+E38</f>
        <v>18191</v>
      </c>
      <c r="J38" s="1">
        <f t="shared" ref="J38:J42" si="27">J37+F38</f>
        <v>16810</v>
      </c>
      <c r="K38" s="1">
        <f>K37+Table7[[#This Row],[Calls Off]]</f>
        <v>3309</v>
      </c>
      <c r="L38" s="1">
        <f>L37+Table7[[#This Row],[Calls Ans]]</f>
        <v>3070</v>
      </c>
      <c r="M38" s="17">
        <v>0.87</v>
      </c>
      <c r="N38" s="17">
        <v>0.05</v>
      </c>
      <c r="O38" s="17">
        <v>0.95</v>
      </c>
      <c r="P38" s="17">
        <v>0.35</v>
      </c>
      <c r="Q38" s="17">
        <v>0.99</v>
      </c>
      <c r="R38" s="39">
        <v>129</v>
      </c>
      <c r="S38" s="139">
        <v>7.6388888888888886E-3</v>
      </c>
      <c r="T38" s="285">
        <v>10</v>
      </c>
      <c r="U38" s="1" t="str">
        <f t="shared" si="0"/>
        <v>Normal</v>
      </c>
      <c r="V38" s="1" t="str">
        <f t="shared" si="1"/>
        <v>Normal</v>
      </c>
      <c r="W38" s="18">
        <f t="shared" si="2"/>
        <v>-8.211920529801324E-2</v>
      </c>
      <c r="X38" s="18">
        <f t="shared" si="3"/>
        <v>-7.8762306610407881E-2</v>
      </c>
    </row>
    <row r="39" spans="1:42">
      <c r="A39" s="21">
        <v>45420</v>
      </c>
      <c r="B39" s="16">
        <f>IF(YEAR(Table6[[#This Row],[Date]]) = 2024, WEEKNUM(Table6[[#This Row],[Date]])-13, WEEKNUM(Table6[[#This Row],[Date]])+40)</f>
        <v>6</v>
      </c>
      <c r="C39" s="31" t="s">
        <v>50</v>
      </c>
      <c r="D39" s="295" t="s">
        <v>48</v>
      </c>
      <c r="E39" s="1">
        <v>749</v>
      </c>
      <c r="F39" s="1">
        <v>671</v>
      </c>
      <c r="G39" s="76">
        <f>IFERROR((E39-E32)/E32,0)</f>
        <v>0</v>
      </c>
      <c r="H39" s="76">
        <f>IFERROR((F39-F32)/F32,0)</f>
        <v>0</v>
      </c>
      <c r="I39" s="1">
        <f t="shared" si="26"/>
        <v>18940</v>
      </c>
      <c r="J39" s="1">
        <f t="shared" si="27"/>
        <v>17481</v>
      </c>
      <c r="K39" s="1">
        <f>K38+Table7[[#This Row],[Calls Off]]</f>
        <v>4058</v>
      </c>
      <c r="L39" s="1">
        <f>L38+Table7[[#This Row],[Calls Ans]]</f>
        <v>3741</v>
      </c>
      <c r="M39" s="17">
        <v>0.67</v>
      </c>
      <c r="N39" s="17">
        <v>0.1</v>
      </c>
      <c r="O39" s="17">
        <v>0.9</v>
      </c>
      <c r="P39" s="17">
        <v>0.41</v>
      </c>
      <c r="Q39" s="17">
        <v>1</v>
      </c>
      <c r="R39" s="39">
        <v>138</v>
      </c>
      <c r="S39" s="139">
        <v>3.1944444444444449E-2</v>
      </c>
      <c r="T39" s="285">
        <v>8</v>
      </c>
      <c r="U39" s="1" t="str">
        <f t="shared" si="0"/>
        <v>Normal</v>
      </c>
      <c r="V39" s="1" t="str">
        <f t="shared" si="1"/>
        <v>Normal</v>
      </c>
      <c r="W39" s="18">
        <f t="shared" si="2"/>
        <v>0</v>
      </c>
      <c r="X39" s="18">
        <f t="shared" si="3"/>
        <v>0</v>
      </c>
    </row>
    <row r="40" spans="1:42">
      <c r="A40" s="21">
        <v>45421</v>
      </c>
      <c r="B40" s="16">
        <f>IF(YEAR(Table6[[#This Row],[Date]]) = 2024, WEEKNUM(Table6[[#This Row],[Date]])-13, WEEKNUM(Table6[[#This Row],[Date]])+40)</f>
        <v>6</v>
      </c>
      <c r="C40" s="303" t="s">
        <v>51</v>
      </c>
      <c r="D40" s="295" t="s">
        <v>48</v>
      </c>
      <c r="E40" s="1">
        <v>811</v>
      </c>
      <c r="F40" s="1">
        <v>752</v>
      </c>
      <c r="G40" s="76">
        <f t="shared" ref="G40:G42" si="28">(E40-E33)/E33</f>
        <v>0.12952646239554316</v>
      </c>
      <c r="H40" s="76">
        <f t="shared" ref="H40:H42" si="29">(F40-F33)/F33</f>
        <v>7.7363896848137534E-2</v>
      </c>
      <c r="I40" s="1">
        <f t="shared" si="26"/>
        <v>19751</v>
      </c>
      <c r="J40" s="1">
        <f t="shared" si="27"/>
        <v>18233</v>
      </c>
      <c r="K40" s="1">
        <f>K39+Table7[[#This Row],[Calls Off]]</f>
        <v>4869</v>
      </c>
      <c r="L40" s="1">
        <f>L39+Table7[[#This Row],[Calls Ans]]</f>
        <v>4493</v>
      </c>
      <c r="M40" s="17">
        <v>0.8</v>
      </c>
      <c r="N40" s="17">
        <v>7.0000000000000007E-2</v>
      </c>
      <c r="O40" s="17">
        <v>0.93</v>
      </c>
      <c r="P40" s="17">
        <v>0.42</v>
      </c>
      <c r="Q40" s="17">
        <v>0.99</v>
      </c>
      <c r="R40" s="39">
        <v>141</v>
      </c>
      <c r="S40" s="139">
        <v>1.5972222222222224E-2</v>
      </c>
      <c r="T40" s="285">
        <v>9</v>
      </c>
      <c r="U40" s="1" t="str">
        <f t="shared" si="0"/>
        <v>Normal</v>
      </c>
      <c r="V40" s="1" t="str">
        <f t="shared" si="1"/>
        <v>Normal</v>
      </c>
      <c r="W40" s="18">
        <f t="shared" si="2"/>
        <v>0.12952646239554316</v>
      </c>
      <c r="X40" s="18">
        <f t="shared" si="3"/>
        <v>7.7363896848137534E-2</v>
      </c>
    </row>
    <row r="41" spans="1:42">
      <c r="A41" s="21">
        <v>45422</v>
      </c>
      <c r="B41" s="16">
        <f>IF(YEAR(Table6[[#This Row],[Date]]) = 2024, WEEKNUM(Table6[[#This Row],[Date]])-13, WEEKNUM(Table6[[#This Row],[Date]])+40)</f>
        <v>6</v>
      </c>
      <c r="C41" s="31" t="s">
        <v>52</v>
      </c>
      <c r="D41" s="295" t="s">
        <v>48</v>
      </c>
      <c r="E41" s="1">
        <v>720</v>
      </c>
      <c r="F41" s="1">
        <v>694</v>
      </c>
      <c r="G41" s="76">
        <f t="shared" si="28"/>
        <v>5.2631578947368418E-2</v>
      </c>
      <c r="H41" s="76">
        <f t="shared" si="29"/>
        <v>4.5180722891566265E-2</v>
      </c>
      <c r="I41" s="1">
        <f t="shared" si="26"/>
        <v>20471</v>
      </c>
      <c r="J41" s="1">
        <f t="shared" si="27"/>
        <v>18927</v>
      </c>
      <c r="K41" s="1">
        <f>K40+Table7[[#This Row],[Calls Off]]</f>
        <v>5589</v>
      </c>
      <c r="L41" s="1">
        <f>L40+Table7[[#This Row],[Calls Ans]]</f>
        <v>5187</v>
      </c>
      <c r="M41" s="17">
        <v>0.87</v>
      </c>
      <c r="N41" s="17">
        <v>0.04</v>
      </c>
      <c r="O41" s="17">
        <v>0.96</v>
      </c>
      <c r="P41" s="17">
        <v>0.39</v>
      </c>
      <c r="Q41" s="17">
        <v>1</v>
      </c>
      <c r="R41" s="39">
        <v>128</v>
      </c>
      <c r="S41" s="139">
        <v>2.5694444444444447E-2</v>
      </c>
      <c r="T41" s="285">
        <v>10</v>
      </c>
      <c r="U41" s="1" t="str">
        <f t="shared" si="0"/>
        <v>Normal</v>
      </c>
      <c r="V41" s="1" t="str">
        <f t="shared" si="1"/>
        <v>Normal</v>
      </c>
      <c r="W41" s="18">
        <f t="shared" si="2"/>
        <v>5.2631578947368418E-2</v>
      </c>
      <c r="X41" s="18">
        <f t="shared" si="3"/>
        <v>4.5180722891566265E-2</v>
      </c>
    </row>
    <row r="42" spans="1:42">
      <c r="A42" s="21">
        <v>45423</v>
      </c>
      <c r="B42" s="16">
        <f>IF(YEAR(Table6[[#This Row],[Date]]) = 2024, WEEKNUM(Table6[[#This Row],[Date]])-13, WEEKNUM(Table6[[#This Row],[Date]])+40)</f>
        <v>6</v>
      </c>
      <c r="C42" s="31" t="s">
        <v>53</v>
      </c>
      <c r="D42" s="295" t="s">
        <v>48</v>
      </c>
      <c r="E42" s="1">
        <v>360</v>
      </c>
      <c r="F42" s="1">
        <v>321</v>
      </c>
      <c r="G42" s="76">
        <f t="shared" si="28"/>
        <v>-0.20177383592017739</v>
      </c>
      <c r="H42" s="76">
        <f t="shared" si="29"/>
        <v>2.8846153846153848E-2</v>
      </c>
      <c r="I42" s="1">
        <f t="shared" si="26"/>
        <v>20831</v>
      </c>
      <c r="J42" s="1">
        <f t="shared" si="27"/>
        <v>19248</v>
      </c>
      <c r="K42" s="1">
        <f>K41+Table7[[#This Row],[Calls Off]]</f>
        <v>5949</v>
      </c>
      <c r="L42" s="1">
        <f>L41+Table7[[#This Row],[Calls Ans]]</f>
        <v>5508</v>
      </c>
      <c r="M42" s="17">
        <v>0.6</v>
      </c>
      <c r="N42" s="17">
        <v>0.11</v>
      </c>
      <c r="O42" s="17">
        <v>0.89</v>
      </c>
      <c r="P42" s="17">
        <v>0.54</v>
      </c>
      <c r="Q42" s="17">
        <v>0.96</v>
      </c>
      <c r="R42" s="39">
        <v>120</v>
      </c>
      <c r="S42" s="139">
        <v>2.7083333333333334E-2</v>
      </c>
      <c r="T42" s="285">
        <v>5</v>
      </c>
      <c r="U42" s="1" t="str">
        <f t="shared" si="0"/>
        <v>Normal</v>
      </c>
      <c r="V42" s="1" t="str">
        <f t="shared" si="1"/>
        <v>Normal</v>
      </c>
      <c r="W42" s="18">
        <f t="shared" si="2"/>
        <v>-0.20177383592017739</v>
      </c>
      <c r="X42" s="18">
        <f t="shared" si="3"/>
        <v>2.8846153846153848E-2</v>
      </c>
    </row>
    <row r="43" spans="1:42">
      <c r="A43" s="21">
        <v>45424</v>
      </c>
      <c r="B43" s="16">
        <f>IF(YEAR(Table6[[#This Row],[Date]]) = 2024, WEEKNUM(Table6[[#This Row],[Date]])-13, WEEKNUM(Table6[[#This Row],[Date]])+40)</f>
        <v>7</v>
      </c>
      <c r="C43" s="31" t="s">
        <v>54</v>
      </c>
      <c r="D43" s="295" t="s">
        <v>48</v>
      </c>
      <c r="E43" s="1">
        <v>0</v>
      </c>
      <c r="F43" s="1">
        <v>0</v>
      </c>
      <c r="G43" s="76">
        <v>0</v>
      </c>
      <c r="H43" s="76">
        <v>0</v>
      </c>
      <c r="I43" s="1">
        <v>0</v>
      </c>
      <c r="J43" s="1">
        <v>0</v>
      </c>
      <c r="K43" s="1">
        <f>K42+Table7[[#This Row],[Calls Off]]</f>
        <v>5949</v>
      </c>
      <c r="L43" s="1">
        <f>L42+Table7[[#This Row],[Calls Ans]]</f>
        <v>5508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39">
        <v>0</v>
      </c>
      <c r="S43" s="139">
        <v>0</v>
      </c>
      <c r="T43" s="285">
        <v>0</v>
      </c>
      <c r="U43" s="1" t="str">
        <f t="shared" si="0"/>
        <v>Normal</v>
      </c>
      <c r="V43" s="1" t="str">
        <f t="shared" si="1"/>
        <v>Normal</v>
      </c>
      <c r="W43" s="18">
        <f t="shared" si="2"/>
        <v>0</v>
      </c>
      <c r="X43" s="18">
        <f t="shared" si="3"/>
        <v>0</v>
      </c>
    </row>
    <row r="44" spans="1:42">
      <c r="A44" s="21">
        <v>45425</v>
      </c>
      <c r="B44" s="16">
        <f>IF(YEAR(Table6[[#This Row],[Date]]) = 2024, WEEKNUM(Table6[[#This Row],[Date]])-13, WEEKNUM(Table6[[#This Row],[Date]])+40)</f>
        <v>7</v>
      </c>
      <c r="C44" s="31" t="s">
        <v>55</v>
      </c>
      <c r="D44" s="295" t="s">
        <v>48</v>
      </c>
      <c r="E44" s="1">
        <v>781</v>
      </c>
      <c r="F44" s="1">
        <v>739</v>
      </c>
      <c r="G44" s="76">
        <f>(E44-E37)/E37</f>
        <v>2.3591087811271297E-2</v>
      </c>
      <c r="H44" s="76">
        <f>(F44-F37)/F37</f>
        <v>-2.6990553306342779E-3</v>
      </c>
      <c r="I44" s="1">
        <f>I42+E44</f>
        <v>21612</v>
      </c>
      <c r="J44" s="1">
        <f>J42+F44</f>
        <v>19987</v>
      </c>
      <c r="K44" s="1">
        <f>K43+Table7[[#This Row],[Calls Off]]</f>
        <v>6730</v>
      </c>
      <c r="L44" s="1">
        <f>L43+Table7[[#This Row],[Calls Ans]]</f>
        <v>6247</v>
      </c>
      <c r="M44" s="17">
        <v>0.77</v>
      </c>
      <c r="N44" s="17">
        <v>0.05</v>
      </c>
      <c r="O44" s="17">
        <v>0.95</v>
      </c>
      <c r="P44" s="17">
        <v>0.42</v>
      </c>
      <c r="Q44" s="17">
        <v>1</v>
      </c>
      <c r="R44" s="39">
        <v>131</v>
      </c>
      <c r="S44" s="139">
        <v>1.3194444444444444E-2</v>
      </c>
      <c r="T44" s="285">
        <v>10</v>
      </c>
      <c r="U44" s="1" t="str">
        <f t="shared" si="0"/>
        <v>Normal</v>
      </c>
      <c r="V44" s="1" t="str">
        <f t="shared" si="1"/>
        <v>Normal</v>
      </c>
      <c r="W44" s="18">
        <f t="shared" si="2"/>
        <v>2.3591087811271297E-2</v>
      </c>
      <c r="X44" s="18">
        <f t="shared" si="3"/>
        <v>-2.6990553306342779E-3</v>
      </c>
    </row>
    <row r="45" spans="1:42">
      <c r="A45" s="21">
        <v>45426</v>
      </c>
      <c r="B45" s="16">
        <f>IF(YEAR(Table6[[#This Row],[Date]]) = 2024, WEEKNUM(Table6[[#This Row],[Date]])-13, WEEKNUM(Table6[[#This Row],[Date]])+40)</f>
        <v>7</v>
      </c>
      <c r="C45" s="31" t="s">
        <v>49</v>
      </c>
      <c r="D45" s="295" t="s">
        <v>48</v>
      </c>
      <c r="E45" s="1">
        <v>794</v>
      </c>
      <c r="F45" s="1">
        <v>688</v>
      </c>
      <c r="G45" s="76">
        <f t="shared" ref="G45" si="30">(E45-E38)/E38</f>
        <v>0.14574314574314573</v>
      </c>
      <c r="H45" s="76">
        <f t="shared" ref="H45" si="31">(F45-F38)/F38</f>
        <v>5.0381679389312976E-2</v>
      </c>
      <c r="I45" s="1">
        <f t="shared" ref="I45:I49" si="32">I44+E45</f>
        <v>22406</v>
      </c>
      <c r="J45" s="1">
        <f t="shared" ref="J45:J49" si="33">J44+F45</f>
        <v>20675</v>
      </c>
      <c r="K45" s="1">
        <f>K44+Table7[[#This Row],[Calls Off]]</f>
        <v>7524</v>
      </c>
      <c r="L45" s="1">
        <f>L44+Table7[[#This Row],[Calls Ans]]</f>
        <v>6935</v>
      </c>
      <c r="M45" s="17">
        <v>0.6</v>
      </c>
      <c r="N45" s="17">
        <v>0.13</v>
      </c>
      <c r="O45" s="17">
        <v>0.87</v>
      </c>
      <c r="P45" s="17">
        <v>0.46</v>
      </c>
      <c r="Q45" s="17">
        <v>0.98</v>
      </c>
      <c r="R45" s="39">
        <v>138</v>
      </c>
      <c r="S45" s="139">
        <v>3.1944444444444449E-2</v>
      </c>
      <c r="T45" s="285">
        <v>8</v>
      </c>
      <c r="U45" s="1" t="str">
        <f t="shared" si="0"/>
        <v>Normal</v>
      </c>
      <c r="V45" s="1" t="str">
        <f t="shared" si="1"/>
        <v>Normal</v>
      </c>
      <c r="W45" s="18">
        <f t="shared" si="2"/>
        <v>0.14574314574314573</v>
      </c>
      <c r="X45" s="18">
        <f t="shared" si="3"/>
        <v>5.0381679389312976E-2</v>
      </c>
    </row>
    <row r="46" spans="1:42">
      <c r="A46" s="21">
        <v>45427</v>
      </c>
      <c r="B46" s="16">
        <f>IF(YEAR(Table6[[#This Row],[Date]]) = 2024, WEEKNUM(Table6[[#This Row],[Date]])-13, WEEKNUM(Table6[[#This Row],[Date]])+40)</f>
        <v>7</v>
      </c>
      <c r="C46" s="31" t="s">
        <v>50</v>
      </c>
      <c r="D46" s="295" t="s">
        <v>48</v>
      </c>
      <c r="E46" s="1">
        <v>718</v>
      </c>
      <c r="F46" s="1">
        <v>685</v>
      </c>
      <c r="G46" s="76">
        <f>IFERROR((E46-E39)/E39,0)</f>
        <v>-4.1388518024032039E-2</v>
      </c>
      <c r="H46" s="76">
        <f>IFERROR((F46-F39)/F39,0)</f>
        <v>2.0864381520119227E-2</v>
      </c>
      <c r="I46" s="1">
        <f t="shared" si="32"/>
        <v>23124</v>
      </c>
      <c r="J46" s="1">
        <f t="shared" si="33"/>
        <v>21360</v>
      </c>
      <c r="K46" s="1">
        <f>K45+Table7[[#This Row],[Calls Off]]</f>
        <v>8242</v>
      </c>
      <c r="L46" s="1">
        <f>L45+Table7[[#This Row],[Calls Ans]]</f>
        <v>7620</v>
      </c>
      <c r="M46" s="17">
        <v>0.87</v>
      </c>
      <c r="N46" s="17">
        <v>0.05</v>
      </c>
      <c r="O46" s="17">
        <v>0.95</v>
      </c>
      <c r="P46" s="17">
        <v>0.3</v>
      </c>
      <c r="Q46" s="17">
        <v>1</v>
      </c>
      <c r="R46" s="39">
        <v>128</v>
      </c>
      <c r="S46" s="139">
        <v>6.9444444444444441E-3</v>
      </c>
      <c r="T46" s="285">
        <v>12</v>
      </c>
      <c r="U46" s="1" t="str">
        <f t="shared" si="0"/>
        <v>Normal</v>
      </c>
      <c r="V46" s="1" t="str">
        <f t="shared" si="1"/>
        <v>Normal</v>
      </c>
      <c r="W46" s="18">
        <f t="shared" si="2"/>
        <v>-4.1388518024032039E-2</v>
      </c>
      <c r="X46" s="18">
        <f t="shared" si="3"/>
        <v>2.0864381520119227E-2</v>
      </c>
    </row>
    <row r="47" spans="1:42">
      <c r="A47" s="21">
        <v>45428</v>
      </c>
      <c r="B47" s="16">
        <f>IF(YEAR(Table6[[#This Row],[Date]]) = 2024, WEEKNUM(Table6[[#This Row],[Date]])-13, WEEKNUM(Table6[[#This Row],[Date]])+40)</f>
        <v>7</v>
      </c>
      <c r="C47" s="31" t="s">
        <v>51</v>
      </c>
      <c r="D47" s="295" t="s">
        <v>48</v>
      </c>
      <c r="E47" s="1">
        <v>729</v>
      </c>
      <c r="F47" s="1">
        <v>704</v>
      </c>
      <c r="G47" s="76">
        <f t="shared" ref="G47:G49" si="34">(E47-E40)/E40</f>
        <v>-0.10110974106041924</v>
      </c>
      <c r="H47" s="76">
        <f t="shared" ref="H47:H49" si="35">(F47-F40)/F40</f>
        <v>-6.3829787234042548E-2</v>
      </c>
      <c r="I47" s="1">
        <f t="shared" si="32"/>
        <v>23853</v>
      </c>
      <c r="J47" s="1">
        <f t="shared" si="33"/>
        <v>22064</v>
      </c>
      <c r="K47" s="1">
        <f>K46+Table7[[#This Row],[Calls Off]]</f>
        <v>8971</v>
      </c>
      <c r="L47" s="1">
        <f>L46+Table7[[#This Row],[Calls Ans]]</f>
        <v>8324</v>
      </c>
      <c r="M47" s="17">
        <v>0.87</v>
      </c>
      <c r="N47" s="17">
        <v>0.03</v>
      </c>
      <c r="O47" s="17">
        <v>0.97</v>
      </c>
      <c r="P47" s="17">
        <v>0.34</v>
      </c>
      <c r="Q47" s="17">
        <v>0.99</v>
      </c>
      <c r="R47" s="39">
        <v>162</v>
      </c>
      <c r="S47" s="139">
        <v>6.9444444444444441E-3</v>
      </c>
      <c r="T47" s="285">
        <v>12</v>
      </c>
      <c r="U47" s="1" t="str">
        <f t="shared" si="0"/>
        <v>Normal</v>
      </c>
      <c r="V47" s="1" t="str">
        <f t="shared" si="1"/>
        <v>Normal</v>
      </c>
      <c r="W47" s="18">
        <f t="shared" si="2"/>
        <v>-0.10110974106041924</v>
      </c>
      <c r="X47" s="18">
        <f t="shared" si="3"/>
        <v>-6.3829787234042548E-2</v>
      </c>
    </row>
    <row r="48" spans="1:42">
      <c r="A48" s="21">
        <v>45429</v>
      </c>
      <c r="B48" s="16">
        <f>IF(YEAR(Table6[[#This Row],[Date]]) = 2024, WEEKNUM(Table6[[#This Row],[Date]])-13, WEEKNUM(Table6[[#This Row],[Date]])+40)</f>
        <v>7</v>
      </c>
      <c r="C48" s="31" t="s">
        <v>52</v>
      </c>
      <c r="D48" s="295" t="s">
        <v>48</v>
      </c>
      <c r="E48" s="1">
        <v>653</v>
      </c>
      <c r="F48" s="1">
        <v>631</v>
      </c>
      <c r="G48" s="76">
        <f t="shared" si="34"/>
        <v>-9.3055555555555558E-2</v>
      </c>
      <c r="H48" s="76">
        <f t="shared" si="35"/>
        <v>-9.077809798270893E-2</v>
      </c>
      <c r="I48" s="1">
        <f t="shared" si="32"/>
        <v>24506</v>
      </c>
      <c r="J48" s="1">
        <f t="shared" si="33"/>
        <v>22695</v>
      </c>
      <c r="K48" s="1">
        <f>K47+Table7[[#This Row],[Calls Off]]</f>
        <v>9624</v>
      </c>
      <c r="L48" s="1">
        <f>L47+Table7[[#This Row],[Calls Ans]]</f>
        <v>8955</v>
      </c>
      <c r="M48" s="17">
        <v>0.92</v>
      </c>
      <c r="N48" s="17">
        <v>0.03</v>
      </c>
      <c r="O48" s="17">
        <v>0.97</v>
      </c>
      <c r="P48" s="17">
        <v>0.31</v>
      </c>
      <c r="Q48" s="17">
        <v>0.97</v>
      </c>
      <c r="R48" s="39">
        <v>128</v>
      </c>
      <c r="S48" s="139">
        <v>5.5555555555555558E-3</v>
      </c>
      <c r="T48" s="285">
        <v>12</v>
      </c>
      <c r="U48" s="1" t="str">
        <f t="shared" si="0"/>
        <v>Normal</v>
      </c>
      <c r="V48" s="1" t="str">
        <f t="shared" si="1"/>
        <v>Normal</v>
      </c>
      <c r="W48" s="18">
        <f t="shared" si="2"/>
        <v>-9.3055555555555558E-2</v>
      </c>
      <c r="X48" s="18">
        <f t="shared" si="3"/>
        <v>-9.077809798270893E-2</v>
      </c>
    </row>
    <row r="49" spans="1:24">
      <c r="A49" s="21">
        <v>45430</v>
      </c>
      <c r="B49" s="16">
        <f>IF(YEAR(Table6[[#This Row],[Date]]) = 2024, WEEKNUM(Table6[[#This Row],[Date]])-13, WEEKNUM(Table6[[#This Row],[Date]])+40)</f>
        <v>7</v>
      </c>
      <c r="C49" s="31" t="s">
        <v>53</v>
      </c>
      <c r="D49" s="295" t="s">
        <v>48</v>
      </c>
      <c r="E49" s="1">
        <v>336</v>
      </c>
      <c r="F49" s="1">
        <v>306</v>
      </c>
      <c r="G49" s="76">
        <f t="shared" si="34"/>
        <v>-6.6666666666666666E-2</v>
      </c>
      <c r="H49" s="76">
        <f t="shared" si="35"/>
        <v>-4.6728971962616821E-2</v>
      </c>
      <c r="I49" s="1">
        <f t="shared" si="32"/>
        <v>24842</v>
      </c>
      <c r="J49" s="1">
        <f t="shared" si="33"/>
        <v>23001</v>
      </c>
      <c r="K49" s="1">
        <f>K48+Table7[[#This Row],[Calls Off]]</f>
        <v>9960</v>
      </c>
      <c r="L49" s="1">
        <f>L48+Table7[[#This Row],[Calls Ans]]</f>
        <v>9261</v>
      </c>
      <c r="M49" s="17">
        <v>0.72</v>
      </c>
      <c r="N49" s="17">
        <v>0.09</v>
      </c>
      <c r="O49" s="17">
        <v>0.91</v>
      </c>
      <c r="P49" s="17">
        <v>0.45</v>
      </c>
      <c r="Q49" s="17">
        <v>0.95</v>
      </c>
      <c r="R49" s="39">
        <v>125</v>
      </c>
      <c r="S49" s="139">
        <v>1.8055555555555557E-2</v>
      </c>
      <c r="T49" s="285">
        <v>5</v>
      </c>
      <c r="U49" s="1" t="str">
        <f t="shared" si="0"/>
        <v>Normal</v>
      </c>
      <c r="V49" s="1" t="str">
        <f t="shared" si="1"/>
        <v>Normal</v>
      </c>
      <c r="W49" s="18">
        <f t="shared" si="2"/>
        <v>-6.6666666666666666E-2</v>
      </c>
      <c r="X49" s="18">
        <f t="shared" si="3"/>
        <v>-4.6728971962616821E-2</v>
      </c>
    </row>
    <row r="50" spans="1:24">
      <c r="A50" s="21">
        <v>45431</v>
      </c>
      <c r="B50" s="16">
        <f>IF(YEAR(Table6[[#This Row],[Date]]) = 2024, WEEKNUM(Table6[[#This Row],[Date]])-13, WEEKNUM(Table6[[#This Row],[Date]])+40)</f>
        <v>8</v>
      </c>
      <c r="C50" s="31" t="s">
        <v>54</v>
      </c>
      <c r="D50" s="295" t="s">
        <v>48</v>
      </c>
      <c r="E50" s="1">
        <v>0</v>
      </c>
      <c r="F50" s="1">
        <v>0</v>
      </c>
      <c r="G50" s="76">
        <v>0</v>
      </c>
      <c r="H50" s="76">
        <v>0</v>
      </c>
      <c r="I50" s="1">
        <v>0</v>
      </c>
      <c r="J50" s="1">
        <v>0</v>
      </c>
      <c r="K50" s="1">
        <f>K49+Table7[[#This Row],[Calls Off]]</f>
        <v>9960</v>
      </c>
      <c r="L50" s="1">
        <f>L49+Table7[[#This Row],[Calls Ans]]</f>
        <v>9261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39">
        <v>0</v>
      </c>
      <c r="S50" s="139">
        <v>0</v>
      </c>
      <c r="T50" s="285">
        <v>0</v>
      </c>
      <c r="U50" s="1" t="str">
        <f t="shared" si="0"/>
        <v>Normal</v>
      </c>
      <c r="V50" s="1" t="str">
        <f t="shared" si="1"/>
        <v>Normal</v>
      </c>
      <c r="W50" s="18">
        <f t="shared" si="2"/>
        <v>0</v>
      </c>
      <c r="X50" s="18">
        <f t="shared" si="3"/>
        <v>0</v>
      </c>
    </row>
    <row r="51" spans="1:24">
      <c r="A51" s="21">
        <v>45432</v>
      </c>
      <c r="B51" s="16">
        <f>IF(YEAR(Table6[[#This Row],[Date]]) = 2024, WEEKNUM(Table6[[#This Row],[Date]])-13, WEEKNUM(Table6[[#This Row],[Date]])+40)</f>
        <v>8</v>
      </c>
      <c r="C51" s="31" t="s">
        <v>55</v>
      </c>
      <c r="D51" s="295" t="s">
        <v>48</v>
      </c>
      <c r="E51" s="1">
        <v>714</v>
      </c>
      <c r="F51" s="1">
        <v>697</v>
      </c>
      <c r="G51" s="76">
        <f>(E51-E44)/E44</f>
        <v>-8.5787451984635082E-2</v>
      </c>
      <c r="H51" s="76">
        <f>(F51-F44)/F44</f>
        <v>-5.6833558863328824E-2</v>
      </c>
      <c r="I51" s="1">
        <f>I49+E51</f>
        <v>25556</v>
      </c>
      <c r="J51" s="1">
        <f>J49+F51</f>
        <v>23698</v>
      </c>
      <c r="K51" s="1">
        <f>K50+Table7[[#This Row],[Calls Off]]</f>
        <v>10674</v>
      </c>
      <c r="L51" s="1">
        <f>L50+Table7[[#This Row],[Calls Ans]]</f>
        <v>9958</v>
      </c>
      <c r="M51" s="17">
        <v>0.88</v>
      </c>
      <c r="N51" s="17">
        <v>0.02</v>
      </c>
      <c r="O51" s="17">
        <v>0.98</v>
      </c>
      <c r="P51" s="17">
        <v>0.27</v>
      </c>
      <c r="Q51" s="17">
        <v>0.99</v>
      </c>
      <c r="R51" s="39">
        <v>117</v>
      </c>
      <c r="S51" s="139">
        <v>7.6388888888888886E-3</v>
      </c>
      <c r="T51" s="285">
        <v>13</v>
      </c>
      <c r="U51" s="1" t="str">
        <f t="shared" si="0"/>
        <v>Normal</v>
      </c>
      <c r="V51" s="1" t="str">
        <f t="shared" si="1"/>
        <v>Normal</v>
      </c>
      <c r="W51" s="18">
        <f t="shared" si="2"/>
        <v>-8.5787451984635082E-2</v>
      </c>
      <c r="X51" s="18">
        <f t="shared" si="3"/>
        <v>-5.6833558863328824E-2</v>
      </c>
    </row>
    <row r="52" spans="1:24">
      <c r="A52" s="21">
        <v>45433</v>
      </c>
      <c r="B52" s="16">
        <f>IF(YEAR(Table6[[#This Row],[Date]]) = 2024, WEEKNUM(Table6[[#This Row],[Date]])-13, WEEKNUM(Table6[[#This Row],[Date]])+40)</f>
        <v>8</v>
      </c>
      <c r="C52" s="31" t="s">
        <v>49</v>
      </c>
      <c r="D52" s="295" t="s">
        <v>48</v>
      </c>
      <c r="E52" s="1">
        <v>620</v>
      </c>
      <c r="F52" s="1">
        <v>595</v>
      </c>
      <c r="G52" s="76">
        <f t="shared" ref="G52" si="36">(E52-E45)/E45</f>
        <v>-0.21914357682619648</v>
      </c>
      <c r="H52" s="76">
        <f t="shared" ref="H52" si="37">(F52-F45)/F45</f>
        <v>-0.13517441860465115</v>
      </c>
      <c r="I52" s="1">
        <f t="shared" ref="I52:I56" si="38">I51+E52</f>
        <v>26176</v>
      </c>
      <c r="J52" s="1">
        <f t="shared" ref="J52:J56" si="39">J51+F52</f>
        <v>24293</v>
      </c>
      <c r="K52" s="1">
        <f>K51+Table7[[#This Row],[Calls Off]]</f>
        <v>11294</v>
      </c>
      <c r="L52" s="1">
        <f>L51+Table7[[#This Row],[Calls Ans]]</f>
        <v>10553</v>
      </c>
      <c r="M52" s="17">
        <v>0.92</v>
      </c>
      <c r="N52" s="17">
        <v>0.04</v>
      </c>
      <c r="O52" s="17">
        <v>0.96</v>
      </c>
      <c r="P52" s="17">
        <v>0.23</v>
      </c>
      <c r="Q52" s="17">
        <v>1</v>
      </c>
      <c r="R52" s="39">
        <v>118</v>
      </c>
      <c r="S52" s="139">
        <v>7.6388888888888886E-3</v>
      </c>
      <c r="T52" s="285">
        <v>12</v>
      </c>
      <c r="U52" s="1" t="str">
        <f t="shared" si="0"/>
        <v>Normal</v>
      </c>
      <c r="V52" s="1" t="str">
        <f t="shared" si="1"/>
        <v>Normal</v>
      </c>
      <c r="W52" s="18">
        <f t="shared" si="2"/>
        <v>-0.21914357682619648</v>
      </c>
      <c r="X52" s="18">
        <f t="shared" si="3"/>
        <v>-0.13517441860465115</v>
      </c>
    </row>
    <row r="53" spans="1:24">
      <c r="A53" s="21">
        <v>45434</v>
      </c>
      <c r="B53" s="16">
        <f>IF(YEAR(Table6[[#This Row],[Date]]) = 2024, WEEKNUM(Table6[[#This Row],[Date]])-13, WEEKNUM(Table6[[#This Row],[Date]])+40)</f>
        <v>8</v>
      </c>
      <c r="C53" s="31" t="s">
        <v>50</v>
      </c>
      <c r="D53" s="295" t="s">
        <v>48</v>
      </c>
      <c r="E53" s="1">
        <v>447</v>
      </c>
      <c r="F53" s="1">
        <v>364</v>
      </c>
      <c r="G53" s="76">
        <f>IFERROR((E53-E46)/E46,0)</f>
        <v>-0.3774373259052925</v>
      </c>
      <c r="H53" s="76">
        <f>IFERROR((F53-F46)/F46,0)</f>
        <v>-0.46861313868613141</v>
      </c>
      <c r="I53" s="1">
        <f t="shared" si="38"/>
        <v>26623</v>
      </c>
      <c r="J53" s="1">
        <f t="shared" si="39"/>
        <v>24657</v>
      </c>
      <c r="K53" s="1">
        <f>K52+Table7[[#This Row],[Calls Off]]</f>
        <v>11741</v>
      </c>
      <c r="L53" s="1">
        <f>L52+Table7[[#This Row],[Calls Ans]]</f>
        <v>10917</v>
      </c>
      <c r="M53" s="17">
        <v>0.83</v>
      </c>
      <c r="N53" s="17">
        <v>0.19</v>
      </c>
      <c r="O53" s="17">
        <v>0.81</v>
      </c>
      <c r="P53" s="17">
        <v>0.16</v>
      </c>
      <c r="Q53" s="17">
        <v>1</v>
      </c>
      <c r="R53" s="39">
        <v>111</v>
      </c>
      <c r="S53" s="139">
        <v>2.2916666666666669E-2</v>
      </c>
      <c r="T53" s="285">
        <v>13</v>
      </c>
      <c r="U53" s="1" t="str">
        <f t="shared" si="0"/>
        <v>Normal</v>
      </c>
      <c r="V53" s="1" t="str">
        <f t="shared" si="1"/>
        <v>Outlier</v>
      </c>
      <c r="W53" s="18">
        <f t="shared" si="2"/>
        <v>-0.3774373259052925</v>
      </c>
      <c r="X53" s="18">
        <f t="shared" si="3"/>
        <v>-0.46861313868613141</v>
      </c>
    </row>
    <row r="54" spans="1:24">
      <c r="A54" s="21">
        <v>45435</v>
      </c>
      <c r="B54" s="16">
        <f>IF(YEAR(Table6[[#This Row],[Date]]) = 2024, WEEKNUM(Table6[[#This Row],[Date]])-13, WEEKNUM(Table6[[#This Row],[Date]])+40)</f>
        <v>8</v>
      </c>
      <c r="C54" s="31" t="s">
        <v>51</v>
      </c>
      <c r="D54" s="295" t="s">
        <v>48</v>
      </c>
      <c r="E54" s="1">
        <v>492</v>
      </c>
      <c r="F54" s="1">
        <v>484</v>
      </c>
      <c r="G54" s="76">
        <f t="shared" ref="G54:G56" si="40">(E54-E47)/E47</f>
        <v>-0.32510288065843623</v>
      </c>
      <c r="H54" s="76">
        <f t="shared" ref="H54:H56" si="41">(F54-F47)/F47</f>
        <v>-0.3125</v>
      </c>
      <c r="I54" s="1">
        <f t="shared" si="38"/>
        <v>27115</v>
      </c>
      <c r="J54" s="1">
        <f t="shared" si="39"/>
        <v>25141</v>
      </c>
      <c r="K54" s="1">
        <f>K53+Table7[[#This Row],[Calls Off]]</f>
        <v>12233</v>
      </c>
      <c r="L54" s="1">
        <f>L53+Table7[[#This Row],[Calls Ans]]</f>
        <v>11401</v>
      </c>
      <c r="M54" s="17">
        <v>0.98</v>
      </c>
      <c r="N54" s="17">
        <v>0.02</v>
      </c>
      <c r="O54" s="17">
        <v>0.98</v>
      </c>
      <c r="P54" s="17">
        <v>0.23</v>
      </c>
      <c r="Q54" s="17">
        <v>1</v>
      </c>
      <c r="R54" s="39">
        <v>123</v>
      </c>
      <c r="S54" s="139">
        <v>2.7777777777777779E-3</v>
      </c>
      <c r="T54" s="285">
        <v>11</v>
      </c>
      <c r="U54" s="1" t="str">
        <f t="shared" si="0"/>
        <v>Normal</v>
      </c>
      <c r="V54" s="1" t="str">
        <f t="shared" si="1"/>
        <v>Normal</v>
      </c>
      <c r="W54" s="18">
        <f t="shared" si="2"/>
        <v>-0.32510288065843623</v>
      </c>
      <c r="X54" s="18">
        <f t="shared" si="3"/>
        <v>-0.3125</v>
      </c>
    </row>
    <row r="55" spans="1:24">
      <c r="A55" s="21">
        <v>45436</v>
      </c>
      <c r="B55" s="16">
        <f>IF(YEAR(Table6[[#This Row],[Date]]) = 2024, WEEKNUM(Table6[[#This Row],[Date]])-13, WEEKNUM(Table6[[#This Row],[Date]])+40)</f>
        <v>8</v>
      </c>
      <c r="C55" s="31" t="s">
        <v>52</v>
      </c>
      <c r="D55" s="295" t="s">
        <v>48</v>
      </c>
      <c r="E55" s="1">
        <v>550</v>
      </c>
      <c r="F55" s="1">
        <v>522</v>
      </c>
      <c r="G55" s="76">
        <f t="shared" si="40"/>
        <v>-0.15773353751914243</v>
      </c>
      <c r="H55" s="76">
        <f t="shared" si="41"/>
        <v>-0.17274167987321712</v>
      </c>
      <c r="I55" s="1">
        <f t="shared" si="38"/>
        <v>27665</v>
      </c>
      <c r="J55" s="1">
        <f t="shared" si="39"/>
        <v>25663</v>
      </c>
      <c r="K55" s="1">
        <f>K54+Table7[[#This Row],[Calls Off]]</f>
        <v>12783</v>
      </c>
      <c r="L55" s="1">
        <f>L54+Table7[[#This Row],[Calls Ans]]</f>
        <v>11923</v>
      </c>
      <c r="M55" s="17">
        <v>0.9</v>
      </c>
      <c r="N55" s="17">
        <v>0.05</v>
      </c>
      <c r="O55" s="17">
        <v>0.95</v>
      </c>
      <c r="P55" s="17">
        <v>0.28999999999999998</v>
      </c>
      <c r="Q55" s="17">
        <v>1</v>
      </c>
      <c r="R55" s="39">
        <v>137</v>
      </c>
      <c r="S55" s="139">
        <v>6.2499999999999995E-3</v>
      </c>
      <c r="T55" s="285">
        <v>11</v>
      </c>
      <c r="U55" s="1" t="str">
        <f t="shared" si="0"/>
        <v>Normal</v>
      </c>
      <c r="V55" s="1" t="str">
        <f t="shared" si="1"/>
        <v>Normal</v>
      </c>
      <c r="W55" s="18">
        <f t="shared" si="2"/>
        <v>-0.15773353751914243</v>
      </c>
      <c r="X55" s="18">
        <f t="shared" si="3"/>
        <v>-0.17274167987321712</v>
      </c>
    </row>
    <row r="56" spans="1:24">
      <c r="A56" s="21">
        <v>45437</v>
      </c>
      <c r="B56" s="16">
        <f>IF(YEAR(Table6[[#This Row],[Date]]) = 2024, WEEKNUM(Table6[[#This Row],[Date]])-13, WEEKNUM(Table6[[#This Row],[Date]])+40)</f>
        <v>8</v>
      </c>
      <c r="C56" s="31" t="s">
        <v>53</v>
      </c>
      <c r="D56" s="295" t="s">
        <v>48</v>
      </c>
      <c r="E56" s="1">
        <v>276</v>
      </c>
      <c r="F56" s="1">
        <v>233</v>
      </c>
      <c r="G56" s="76">
        <f t="shared" si="40"/>
        <v>-0.17857142857142858</v>
      </c>
      <c r="H56" s="76">
        <f t="shared" si="41"/>
        <v>-0.23856209150326799</v>
      </c>
      <c r="I56" s="1">
        <f t="shared" si="38"/>
        <v>27941</v>
      </c>
      <c r="J56" s="1">
        <f t="shared" si="39"/>
        <v>25896</v>
      </c>
      <c r="K56" s="1">
        <f>K55+Table7[[#This Row],[Calls Off]]</f>
        <v>13059</v>
      </c>
      <c r="L56" s="1">
        <f>L55+Table7[[#This Row],[Calls Ans]]</f>
        <v>12156</v>
      </c>
      <c r="M56" s="17">
        <v>0.72</v>
      </c>
      <c r="N56" s="17">
        <v>0.16</v>
      </c>
      <c r="O56" s="17">
        <v>0.84</v>
      </c>
      <c r="P56" s="17">
        <v>0.39</v>
      </c>
      <c r="Q56" s="17">
        <v>0.99</v>
      </c>
      <c r="R56" s="39">
        <v>101</v>
      </c>
      <c r="S56" s="139">
        <v>1.3888888888888888E-2</v>
      </c>
      <c r="T56" s="285">
        <v>5</v>
      </c>
      <c r="U56" s="1" t="str">
        <f t="shared" si="0"/>
        <v>Normal</v>
      </c>
      <c r="V56" s="1" t="str">
        <f t="shared" si="1"/>
        <v>Normal</v>
      </c>
      <c r="W56" s="18">
        <f t="shared" si="2"/>
        <v>-0.17857142857142858</v>
      </c>
      <c r="X56" s="18">
        <f t="shared" si="3"/>
        <v>-0.23856209150326799</v>
      </c>
    </row>
    <row r="57" spans="1:24">
      <c r="A57" s="21">
        <v>45438</v>
      </c>
      <c r="B57" s="16">
        <f>IF(YEAR(Table6[[#This Row],[Date]]) = 2024, WEEKNUM(Table6[[#This Row],[Date]])-13, WEEKNUM(Table6[[#This Row],[Date]])+40)</f>
        <v>9</v>
      </c>
      <c r="C57" s="31" t="s">
        <v>54</v>
      </c>
      <c r="D57" s="295" t="s">
        <v>48</v>
      </c>
      <c r="E57" s="1">
        <v>0</v>
      </c>
      <c r="F57" s="1">
        <v>0</v>
      </c>
      <c r="G57" s="76">
        <v>0</v>
      </c>
      <c r="H57" s="76">
        <v>0</v>
      </c>
      <c r="I57" s="1">
        <v>0</v>
      </c>
      <c r="J57" s="1">
        <v>0</v>
      </c>
      <c r="K57" s="1">
        <f>K56+Table7[[#This Row],[Calls Off]]</f>
        <v>13059</v>
      </c>
      <c r="L57" s="1">
        <f>L56+Table7[[#This Row],[Calls Ans]]</f>
        <v>12156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39">
        <v>0</v>
      </c>
      <c r="S57" s="139">
        <v>0</v>
      </c>
      <c r="T57" s="285">
        <v>0</v>
      </c>
      <c r="U57" s="1" t="str">
        <f t="shared" si="0"/>
        <v>Normal</v>
      </c>
      <c r="V57" s="1" t="str">
        <f t="shared" si="1"/>
        <v>Normal</v>
      </c>
      <c r="W57" s="18">
        <f t="shared" si="2"/>
        <v>0</v>
      </c>
      <c r="X57" s="18">
        <f t="shared" si="3"/>
        <v>0</v>
      </c>
    </row>
    <row r="58" spans="1:24">
      <c r="A58" s="21">
        <v>45439</v>
      </c>
      <c r="B58" s="16">
        <f>IF(YEAR(Table6[[#This Row],[Date]]) = 2024, WEEKNUM(Table6[[#This Row],[Date]])-13, WEEKNUM(Table6[[#This Row],[Date]])+40)</f>
        <v>9</v>
      </c>
      <c r="C58" s="31" t="s">
        <v>55</v>
      </c>
      <c r="D58" s="295" t="s">
        <v>48</v>
      </c>
      <c r="E58" s="1">
        <v>567</v>
      </c>
      <c r="F58" s="1">
        <v>519</v>
      </c>
      <c r="G58" s="76">
        <f>(E58-E51)/E51</f>
        <v>-0.20588235294117646</v>
      </c>
      <c r="H58" s="76">
        <f>(F58-F51)/F51</f>
        <v>-0.25538020086083213</v>
      </c>
      <c r="I58" s="1">
        <f>I56+E58</f>
        <v>28508</v>
      </c>
      <c r="J58" s="1">
        <f>J56+F58</f>
        <v>26415</v>
      </c>
      <c r="K58" s="1">
        <f>K57+Table7[[#This Row],[Calls Off]]</f>
        <v>13626</v>
      </c>
      <c r="L58" s="1">
        <f>L57+Table7[[#This Row],[Calls Ans]]</f>
        <v>12675</v>
      </c>
      <c r="M58" s="17">
        <v>0.84</v>
      </c>
      <c r="N58" s="17">
        <v>0.08</v>
      </c>
      <c r="O58" s="17">
        <v>0.92</v>
      </c>
      <c r="P58" s="17">
        <v>0.38</v>
      </c>
      <c r="Q58" s="17">
        <v>1</v>
      </c>
      <c r="R58" s="39">
        <v>126</v>
      </c>
      <c r="S58" s="139">
        <v>1.0416666666666666E-2</v>
      </c>
      <c r="T58" s="285">
        <v>10</v>
      </c>
      <c r="U58" s="1" t="str">
        <f t="shared" si="0"/>
        <v>Normal</v>
      </c>
      <c r="V58" s="1" t="str">
        <f t="shared" si="1"/>
        <v>Normal</v>
      </c>
      <c r="W58" s="18">
        <f t="shared" si="2"/>
        <v>-0.20588235294117646</v>
      </c>
      <c r="X58" s="18">
        <f t="shared" si="3"/>
        <v>-0.25538020086083213</v>
      </c>
    </row>
    <row r="59" spans="1:24">
      <c r="A59" s="21">
        <v>45440</v>
      </c>
      <c r="B59" s="16">
        <f>IF(YEAR(Table6[[#This Row],[Date]]) = 2024, WEEKNUM(Table6[[#This Row],[Date]])-13, WEEKNUM(Table6[[#This Row],[Date]])+40)</f>
        <v>9</v>
      </c>
      <c r="C59" s="31" t="s">
        <v>49</v>
      </c>
      <c r="D59" s="295" t="s">
        <v>48</v>
      </c>
      <c r="E59" s="1">
        <v>590</v>
      </c>
      <c r="F59" s="1">
        <v>561</v>
      </c>
      <c r="G59" s="76">
        <f t="shared" ref="G59" si="42">(E59-E52)/E52</f>
        <v>-4.8387096774193547E-2</v>
      </c>
      <c r="H59" s="76">
        <f t="shared" ref="H59" si="43">(F59-F52)/F52</f>
        <v>-5.7142857142857141E-2</v>
      </c>
      <c r="I59" s="1">
        <f t="shared" ref="I59:I60" si="44">I58+E59</f>
        <v>29098</v>
      </c>
      <c r="J59" s="1">
        <f t="shared" ref="J59:J60" si="45">J58+F59</f>
        <v>26976</v>
      </c>
      <c r="K59" s="1">
        <f>K58+Table7[[#This Row],[Calls Off]]</f>
        <v>14216</v>
      </c>
      <c r="L59" s="1">
        <f>L58+Table7[[#This Row],[Calls Ans]]</f>
        <v>13236</v>
      </c>
      <c r="M59" s="17">
        <v>0.86</v>
      </c>
      <c r="N59" s="17">
        <v>0.05</v>
      </c>
      <c r="O59" s="17">
        <v>0.95</v>
      </c>
      <c r="P59" s="17">
        <v>0.39</v>
      </c>
      <c r="Q59" s="17">
        <v>0.99</v>
      </c>
      <c r="R59" s="39">
        <v>125</v>
      </c>
      <c r="S59" s="139">
        <v>1.1111111111111112E-2</v>
      </c>
      <c r="T59" s="285">
        <v>9</v>
      </c>
      <c r="U59" s="1" t="str">
        <f t="shared" si="0"/>
        <v>Normal</v>
      </c>
      <c r="V59" s="1" t="str">
        <f t="shared" si="1"/>
        <v>Normal</v>
      </c>
      <c r="W59" s="18">
        <f t="shared" si="2"/>
        <v>-4.8387096774193547E-2</v>
      </c>
      <c r="X59" s="18">
        <f t="shared" si="3"/>
        <v>-5.7142857142857141E-2</v>
      </c>
    </row>
    <row r="60" spans="1:24">
      <c r="A60" s="21">
        <v>45441</v>
      </c>
      <c r="B60" s="16">
        <f>IF(YEAR(Table6[[#This Row],[Date]]) = 2024, WEEKNUM(Table6[[#This Row],[Date]])-13, WEEKNUM(Table6[[#This Row],[Date]])+40)</f>
        <v>9</v>
      </c>
      <c r="C60" s="31" t="s">
        <v>50</v>
      </c>
      <c r="D60" s="295" t="s">
        <v>48</v>
      </c>
      <c r="E60" s="1">
        <v>582</v>
      </c>
      <c r="F60" s="1">
        <v>544</v>
      </c>
      <c r="G60" s="76">
        <f>IFERROR((E60-E53)/E53,0)</f>
        <v>0.30201342281879195</v>
      </c>
      <c r="H60" s="76">
        <f>IFERROR((F60-F53)/F53,0)</f>
        <v>0.49450549450549453</v>
      </c>
      <c r="I60" s="1">
        <f t="shared" si="44"/>
        <v>29680</v>
      </c>
      <c r="J60" s="1">
        <f t="shared" si="45"/>
        <v>27520</v>
      </c>
      <c r="K60" s="1">
        <f>K59+Table7[[#This Row],[Calls Off]]</f>
        <v>14798</v>
      </c>
      <c r="L60" s="1">
        <f>L59+Table7[[#This Row],[Calls Ans]]</f>
        <v>13780</v>
      </c>
      <c r="M60" s="17">
        <v>0.84</v>
      </c>
      <c r="N60" s="17">
        <v>7.0000000000000007E-2</v>
      </c>
      <c r="O60" s="17">
        <v>0.93</v>
      </c>
      <c r="P60" s="17">
        <v>0.35</v>
      </c>
      <c r="Q60" s="17">
        <v>0.98</v>
      </c>
      <c r="R60" s="39">
        <v>133</v>
      </c>
      <c r="S60" s="139">
        <v>1.1805555555555555E-2</v>
      </c>
      <c r="T60" s="285">
        <v>9</v>
      </c>
      <c r="U60" s="1" t="str">
        <f t="shared" si="0"/>
        <v>Normal</v>
      </c>
      <c r="V60" s="1" t="str">
        <f t="shared" si="1"/>
        <v>Outlier</v>
      </c>
      <c r="W60" s="18">
        <f t="shared" si="2"/>
        <v>0.30201342281879195</v>
      </c>
      <c r="X60" s="18">
        <f t="shared" si="3"/>
        <v>0.49450549450549453</v>
      </c>
    </row>
    <row r="61" spans="1:24">
      <c r="A61" s="21">
        <v>45442</v>
      </c>
      <c r="B61" s="16">
        <f>IF(YEAR(Table6[[#This Row],[Date]]) = 2024, WEEKNUM(Table6[[#This Row],[Date]])-13, WEEKNUM(Table6[[#This Row],[Date]])+40)</f>
        <v>9</v>
      </c>
      <c r="C61" s="31" t="s">
        <v>51</v>
      </c>
      <c r="D61" s="295" t="s">
        <v>48</v>
      </c>
      <c r="E61" s="1">
        <v>0</v>
      </c>
      <c r="F61" s="1">
        <v>0</v>
      </c>
      <c r="G61" s="76">
        <v>0</v>
      </c>
      <c r="H61" s="76">
        <v>0</v>
      </c>
      <c r="I61" s="1">
        <v>0</v>
      </c>
      <c r="J61" s="1">
        <v>0</v>
      </c>
      <c r="K61" s="1">
        <f>K60+Table7[[#This Row],[Calls Off]]</f>
        <v>14798</v>
      </c>
      <c r="L61" s="1">
        <f>L60+Table7[[#This Row],[Calls Ans]]</f>
        <v>13780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39">
        <v>0</v>
      </c>
      <c r="S61" s="139">
        <v>0</v>
      </c>
      <c r="T61" s="285">
        <v>0</v>
      </c>
      <c r="U61" s="1" t="str">
        <f t="shared" si="0"/>
        <v>Normal</v>
      </c>
      <c r="V61" s="1" t="str">
        <f t="shared" si="1"/>
        <v>Normal</v>
      </c>
      <c r="W61" s="18">
        <f t="shared" si="2"/>
        <v>0</v>
      </c>
      <c r="X61" s="18">
        <f t="shared" si="3"/>
        <v>0</v>
      </c>
    </row>
    <row r="62" spans="1:24">
      <c r="A62" s="21">
        <v>45443</v>
      </c>
      <c r="B62" s="386">
        <f>IF(YEAR(Table6[[#This Row],[Date]]) = 2024, WEEKNUM(Table6[[#This Row],[Date]])-13, WEEKNUM(Table6[[#This Row],[Date]])+40)</f>
        <v>9</v>
      </c>
      <c r="C62" s="85" t="s">
        <v>52</v>
      </c>
      <c r="D62" s="295" t="s">
        <v>48</v>
      </c>
      <c r="E62" s="1">
        <v>0</v>
      </c>
      <c r="F62" s="1">
        <v>0</v>
      </c>
      <c r="G62" s="76">
        <v>0</v>
      </c>
      <c r="H62" s="76">
        <v>0</v>
      </c>
      <c r="I62" s="1">
        <v>0</v>
      </c>
      <c r="J62" s="1">
        <v>0</v>
      </c>
      <c r="K62" s="1">
        <f>K61+Table7[[#This Row],[Calls Off]]</f>
        <v>14798</v>
      </c>
      <c r="L62" s="1">
        <f>L61+Table7[[#This Row],[Calls Ans]]</f>
        <v>13780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39">
        <v>0</v>
      </c>
      <c r="S62" s="139">
        <v>0</v>
      </c>
      <c r="T62" s="285">
        <v>0</v>
      </c>
      <c r="U62" s="1" t="str">
        <f t="shared" si="0"/>
        <v>Normal</v>
      </c>
      <c r="V62" s="1" t="str">
        <f t="shared" si="1"/>
        <v>Normal</v>
      </c>
      <c r="W62" s="18">
        <f t="shared" si="2"/>
        <v>0</v>
      </c>
      <c r="X62" s="18">
        <f t="shared" si="3"/>
        <v>0</v>
      </c>
    </row>
    <row r="63" spans="1:24">
      <c r="A63" s="21">
        <v>45444</v>
      </c>
      <c r="B63" s="16">
        <f>IF(YEAR(Table6[[#This Row],[Date]]) = 2024, WEEKNUM(Table6[[#This Row],[Date]])-13, WEEKNUM(Table6[[#This Row],[Date]])+40)</f>
        <v>9</v>
      </c>
      <c r="C63" s="31" t="s">
        <v>53</v>
      </c>
      <c r="D63" s="295" t="s">
        <v>48</v>
      </c>
      <c r="E63" s="1">
        <v>432</v>
      </c>
      <c r="F63" s="1">
        <v>294</v>
      </c>
      <c r="G63" s="76">
        <f t="shared" ref="G63" si="46">(E63-E56)/E56</f>
        <v>0.56521739130434778</v>
      </c>
      <c r="H63" s="76">
        <f t="shared" ref="H63" si="47">(F63-F56)/F56</f>
        <v>0.26180257510729615</v>
      </c>
      <c r="I63" s="1">
        <f>E63</f>
        <v>432</v>
      </c>
      <c r="J63" s="1">
        <f>F63</f>
        <v>294</v>
      </c>
      <c r="K63" s="1">
        <f>K62+Table7[[#This Row],[Calls Off]]</f>
        <v>15230</v>
      </c>
      <c r="L63" s="1">
        <f>L62+Table7[[#This Row],[Calls Ans]]</f>
        <v>14074</v>
      </c>
      <c r="M63" s="17">
        <v>0.27</v>
      </c>
      <c r="N63" s="17">
        <v>0.32</v>
      </c>
      <c r="O63" s="17">
        <v>0.68</v>
      </c>
      <c r="P63" s="17">
        <v>0.67</v>
      </c>
      <c r="Q63" s="17">
        <v>0.97</v>
      </c>
      <c r="R63" s="39">
        <v>136</v>
      </c>
      <c r="S63" s="139">
        <v>0.1013888888888889</v>
      </c>
      <c r="T63" s="285">
        <v>4</v>
      </c>
      <c r="U63" s="1" t="str">
        <f t="shared" si="0"/>
        <v>Outlier</v>
      </c>
      <c r="V63" s="1" t="str">
        <f t="shared" si="1"/>
        <v>Normal</v>
      </c>
      <c r="W63" s="18">
        <f t="shared" si="2"/>
        <v>0.56521739130434778</v>
      </c>
      <c r="X63" s="18">
        <f t="shared" si="3"/>
        <v>0.26180257510729615</v>
      </c>
    </row>
    <row r="64" spans="1:24">
      <c r="A64" s="21">
        <v>45445</v>
      </c>
      <c r="B64" s="386">
        <f>IF(YEAR(Table6[[#This Row],[Date]]) = 2024, WEEKNUM(Table6[[#This Row],[Date]])-13, WEEKNUM(Table6[[#This Row],[Date]])+40)</f>
        <v>10</v>
      </c>
      <c r="C64" s="85" t="s">
        <v>54</v>
      </c>
      <c r="D64" s="295" t="s">
        <v>48</v>
      </c>
      <c r="E64" s="1">
        <v>0</v>
      </c>
      <c r="F64" s="1">
        <v>0</v>
      </c>
      <c r="G64" s="76">
        <v>0</v>
      </c>
      <c r="H64" s="76">
        <v>0</v>
      </c>
      <c r="I64" s="1">
        <v>0</v>
      </c>
      <c r="J64" s="1">
        <v>0</v>
      </c>
      <c r="K64" s="1">
        <f>K63+Table7[[#This Row],[Calls Off]]</f>
        <v>15230</v>
      </c>
      <c r="L64" s="1">
        <f>L63+Table7[[#This Row],[Calls Ans]]</f>
        <v>14074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39">
        <v>0</v>
      </c>
      <c r="S64" s="139">
        <v>0</v>
      </c>
      <c r="T64" s="285">
        <v>0</v>
      </c>
      <c r="U64" s="1" t="str">
        <f t="shared" si="0"/>
        <v>Normal</v>
      </c>
      <c r="V64" s="1" t="str">
        <f t="shared" si="1"/>
        <v>Normal</v>
      </c>
      <c r="W64" s="18">
        <f t="shared" si="2"/>
        <v>0</v>
      </c>
      <c r="X64" s="18">
        <f t="shared" si="3"/>
        <v>0</v>
      </c>
    </row>
    <row r="65" spans="1:24">
      <c r="A65" s="21">
        <v>45446</v>
      </c>
      <c r="B65" s="16">
        <f>IF(YEAR(Table6[[#This Row],[Date]]) = 2024, WEEKNUM(Table6[[#This Row],[Date]])-13, WEEKNUM(Table6[[#This Row],[Date]])+40)</f>
        <v>10</v>
      </c>
      <c r="C65" s="31" t="s">
        <v>55</v>
      </c>
      <c r="D65" s="295" t="s">
        <v>48</v>
      </c>
      <c r="E65" s="1">
        <v>889</v>
      </c>
      <c r="F65" s="1">
        <v>703</v>
      </c>
      <c r="G65" s="76">
        <f>(E65-E58)/E58</f>
        <v>0.5679012345679012</v>
      </c>
      <c r="H65" s="76">
        <f>(F65-F58)/F58</f>
        <v>0.35452793834296725</v>
      </c>
      <c r="I65" s="1">
        <f>I63+E65</f>
        <v>1321</v>
      </c>
      <c r="J65" s="1">
        <f>J63+F65</f>
        <v>997</v>
      </c>
      <c r="K65" s="1">
        <f>K64+Table7[[#This Row],[Calls Off]]</f>
        <v>16119</v>
      </c>
      <c r="L65" s="1">
        <f>L64+Table7[[#This Row],[Calls Ans]]</f>
        <v>14777</v>
      </c>
      <c r="M65" s="17">
        <v>0.43</v>
      </c>
      <c r="N65" s="17">
        <v>0.21</v>
      </c>
      <c r="O65" s="17">
        <v>0.79</v>
      </c>
      <c r="P65" s="17">
        <v>0.55000000000000004</v>
      </c>
      <c r="Q65" s="17">
        <v>0.96</v>
      </c>
      <c r="R65" s="39">
        <v>125</v>
      </c>
      <c r="S65" s="139">
        <v>6.1111111111111116E-2</v>
      </c>
      <c r="T65" s="285">
        <v>8</v>
      </c>
      <c r="U65" s="1" t="str">
        <f t="shared" si="0"/>
        <v>Outlier</v>
      </c>
      <c r="V65" s="1" t="str">
        <f t="shared" si="1"/>
        <v>Outlier</v>
      </c>
      <c r="W65" s="18">
        <f t="shared" si="2"/>
        <v>0.5679012345679012</v>
      </c>
      <c r="X65" s="18">
        <f t="shared" si="3"/>
        <v>0.35452793834296725</v>
      </c>
    </row>
    <row r="66" spans="1:24">
      <c r="A66" s="21">
        <v>45447</v>
      </c>
      <c r="B66" s="386">
        <f>IF(YEAR(Table6[[#This Row],[Date]]) = 2024, WEEKNUM(Table6[[#This Row],[Date]])-13, WEEKNUM(Table6[[#This Row],[Date]])+40)</f>
        <v>10</v>
      </c>
      <c r="C66" s="85" t="s">
        <v>49</v>
      </c>
      <c r="D66" s="295" t="s">
        <v>48</v>
      </c>
      <c r="E66" s="1">
        <v>725</v>
      </c>
      <c r="F66" s="1">
        <v>628</v>
      </c>
      <c r="G66" s="76">
        <f t="shared" ref="G66" si="48">(E66-E59)/E59</f>
        <v>0.2288135593220339</v>
      </c>
      <c r="H66" s="76">
        <f t="shared" ref="H66" si="49">(F66-F59)/F59</f>
        <v>0.11942959001782531</v>
      </c>
      <c r="I66" s="1">
        <f t="shared" ref="I66:I70" si="50">I65+E66</f>
        <v>2046</v>
      </c>
      <c r="J66" s="1">
        <f t="shared" ref="J66:J70" si="51">J65+F66</f>
        <v>1625</v>
      </c>
      <c r="K66" s="1">
        <f>K65+Table7[[#This Row],[Calls Off]]</f>
        <v>16844</v>
      </c>
      <c r="L66" s="1">
        <f>L65+Table7[[#This Row],[Calls Ans]]</f>
        <v>15405</v>
      </c>
      <c r="M66" s="17">
        <v>0.59</v>
      </c>
      <c r="N66" s="17">
        <v>0.13</v>
      </c>
      <c r="O66" s="17">
        <v>0.87</v>
      </c>
      <c r="P66" s="17">
        <v>0.44</v>
      </c>
      <c r="Q66" s="17">
        <v>0.96</v>
      </c>
      <c r="R66" s="39">
        <v>114</v>
      </c>
      <c r="S66" s="139">
        <v>2.7083333333333334E-2</v>
      </c>
      <c r="T66" s="285">
        <v>8</v>
      </c>
      <c r="U66" s="1" t="str">
        <f t="shared" si="0"/>
        <v>Normal</v>
      </c>
      <c r="V66" s="1" t="str">
        <f t="shared" si="1"/>
        <v>Normal</v>
      </c>
      <c r="W66" s="18">
        <f t="shared" si="2"/>
        <v>0.2288135593220339</v>
      </c>
      <c r="X66" s="18">
        <f t="shared" si="3"/>
        <v>0.11942959001782531</v>
      </c>
    </row>
    <row r="67" spans="1:24">
      <c r="A67" s="21">
        <v>45448</v>
      </c>
      <c r="B67" s="16">
        <f>IF(YEAR(Table6[[#This Row],[Date]]) = 2024, WEEKNUM(Table6[[#This Row],[Date]])-13, WEEKNUM(Table6[[#This Row],[Date]])+40)</f>
        <v>10</v>
      </c>
      <c r="C67" s="31" t="s">
        <v>50</v>
      </c>
      <c r="D67" s="295" t="s">
        <v>48</v>
      </c>
      <c r="E67" s="1">
        <v>590</v>
      </c>
      <c r="F67" s="1">
        <v>402</v>
      </c>
      <c r="G67" s="76">
        <f>IFERROR((E67-E60)/E60,0)</f>
        <v>1.3745704467353952E-2</v>
      </c>
      <c r="H67" s="76">
        <f>IFERROR((F67-F60)/F60,0)</f>
        <v>-0.2610294117647059</v>
      </c>
      <c r="I67" s="1">
        <f t="shared" si="50"/>
        <v>2636</v>
      </c>
      <c r="J67" s="1">
        <f t="shared" si="51"/>
        <v>2027</v>
      </c>
      <c r="K67" s="1">
        <f>K66+Table7[[#This Row],[Calls Off]]</f>
        <v>17434</v>
      </c>
      <c r="L67" s="1">
        <f>L66+Table7[[#This Row],[Calls Ans]]</f>
        <v>15807</v>
      </c>
      <c r="M67" s="17">
        <v>0.63</v>
      </c>
      <c r="N67" s="17">
        <v>0.32</v>
      </c>
      <c r="O67" s="17">
        <v>0.68</v>
      </c>
      <c r="P67" s="17">
        <v>0.32</v>
      </c>
      <c r="Q67" s="17">
        <v>0.98</v>
      </c>
      <c r="R67" s="39">
        <v>111</v>
      </c>
      <c r="S67" s="139">
        <v>7.7083333333333337E-2</v>
      </c>
      <c r="T67" s="285">
        <v>9</v>
      </c>
      <c r="U67" s="1" t="str">
        <f t="shared" ref="U67:U130" si="52">IF(OR(G67&lt;$AB$5,G67&gt;$AC$5), "Outlier", "Normal")</f>
        <v>Normal</v>
      </c>
      <c r="V67" s="1" t="str">
        <f t="shared" ref="V67:V130" si="53">IF(OR(H67&lt;$AB$6,H67&gt;$AC$6), "Outlier", "Normal")</f>
        <v>Normal</v>
      </c>
      <c r="W67" s="18">
        <f t="shared" ref="W67:W130" si="54">IF(U67="Normal",$G67,IF($G67&lt;250%, $G67, $AB$9))</f>
        <v>1.3745704467353952E-2</v>
      </c>
      <c r="X67" s="18">
        <f t="shared" ref="X67:X130" si="55">IF(V67="Normal",$H67,IF($H67&lt;250%, $H67, $AF$9))</f>
        <v>-0.2610294117647059</v>
      </c>
    </row>
    <row r="68" spans="1:24">
      <c r="A68" s="21">
        <v>45449</v>
      </c>
      <c r="B68" s="386">
        <f>IF(YEAR(Table6[[#This Row],[Date]]) = 2024, WEEKNUM(Table6[[#This Row],[Date]])-13, WEEKNUM(Table6[[#This Row],[Date]])+40)</f>
        <v>10</v>
      </c>
      <c r="C68" s="85" t="s">
        <v>51</v>
      </c>
      <c r="D68" s="295" t="s">
        <v>48</v>
      </c>
      <c r="E68" s="1">
        <v>679</v>
      </c>
      <c r="F68" s="1">
        <v>626</v>
      </c>
      <c r="G68" s="76">
        <v>0</v>
      </c>
      <c r="H68" s="76">
        <v>0</v>
      </c>
      <c r="I68" s="1">
        <f t="shared" si="50"/>
        <v>3315</v>
      </c>
      <c r="J68" s="1">
        <f t="shared" si="51"/>
        <v>2653</v>
      </c>
      <c r="K68" s="1">
        <f>K67+Table7[[#This Row],[Calls Off]]</f>
        <v>18113</v>
      </c>
      <c r="L68" s="1">
        <f>L67+Table7[[#This Row],[Calls Ans]]</f>
        <v>16433</v>
      </c>
      <c r="M68" s="17">
        <v>0.78</v>
      </c>
      <c r="N68" s="17">
        <v>0.08</v>
      </c>
      <c r="O68" s="17">
        <v>0.92</v>
      </c>
      <c r="P68" s="17">
        <v>0.33</v>
      </c>
      <c r="Q68" s="17">
        <v>0.97</v>
      </c>
      <c r="R68" s="39">
        <v>127</v>
      </c>
      <c r="S68" s="139">
        <v>1.5972222222222224E-2</v>
      </c>
      <c r="T68" s="285">
        <v>10</v>
      </c>
      <c r="U68" s="1" t="str">
        <f t="shared" si="52"/>
        <v>Normal</v>
      </c>
      <c r="V68" s="1" t="str">
        <f t="shared" si="53"/>
        <v>Normal</v>
      </c>
      <c r="W68" s="18">
        <f t="shared" si="54"/>
        <v>0</v>
      </c>
      <c r="X68" s="18">
        <f t="shared" si="55"/>
        <v>0</v>
      </c>
    </row>
    <row r="69" spans="1:24">
      <c r="A69" s="21">
        <v>45450</v>
      </c>
      <c r="B69" s="16">
        <f>IF(YEAR(Table6[[#This Row],[Date]]) = 2024, WEEKNUM(Table6[[#This Row],[Date]])-13, WEEKNUM(Table6[[#This Row],[Date]])+40)</f>
        <v>10</v>
      </c>
      <c r="C69" s="31" t="s">
        <v>52</v>
      </c>
      <c r="D69" s="295" t="s">
        <v>48</v>
      </c>
      <c r="E69" s="1">
        <v>554</v>
      </c>
      <c r="F69" s="1">
        <v>524</v>
      </c>
      <c r="G69" s="76">
        <v>0</v>
      </c>
      <c r="H69" s="76">
        <v>0</v>
      </c>
      <c r="I69" s="1">
        <f t="shared" si="50"/>
        <v>3869</v>
      </c>
      <c r="J69" s="1">
        <f t="shared" si="51"/>
        <v>3177</v>
      </c>
      <c r="K69" s="1">
        <f>K68+Table7[[#This Row],[Calls Off]]</f>
        <v>18667</v>
      </c>
      <c r="L69" s="1">
        <f>L68+Table7[[#This Row],[Calls Ans]]</f>
        <v>16957</v>
      </c>
      <c r="M69" s="17">
        <v>0.87</v>
      </c>
      <c r="N69" s="17">
        <v>0.05</v>
      </c>
      <c r="O69" s="17">
        <v>0.95</v>
      </c>
      <c r="P69" s="17">
        <v>0.28999999999999998</v>
      </c>
      <c r="Q69" s="17">
        <v>0.99</v>
      </c>
      <c r="R69" s="39">
        <v>126</v>
      </c>
      <c r="S69" s="139">
        <v>8.3333333333333332E-3</v>
      </c>
      <c r="T69" s="285">
        <v>10</v>
      </c>
      <c r="U69" s="1" t="str">
        <f t="shared" si="52"/>
        <v>Normal</v>
      </c>
      <c r="V69" s="1" t="str">
        <f t="shared" si="53"/>
        <v>Normal</v>
      </c>
      <c r="W69" s="18">
        <f t="shared" si="54"/>
        <v>0</v>
      </c>
      <c r="X69" s="18">
        <f t="shared" si="55"/>
        <v>0</v>
      </c>
    </row>
    <row r="70" spans="1:24">
      <c r="A70" s="21">
        <v>45451</v>
      </c>
      <c r="B70" s="386">
        <f>IF(YEAR(Table6[[#This Row],[Date]]) = 2024, WEEKNUM(Table6[[#This Row],[Date]])-13, WEEKNUM(Table6[[#This Row],[Date]])+40)</f>
        <v>10</v>
      </c>
      <c r="C70" s="85" t="s">
        <v>53</v>
      </c>
      <c r="D70" s="295" t="s">
        <v>48</v>
      </c>
      <c r="E70" s="1">
        <v>362</v>
      </c>
      <c r="F70" s="1">
        <v>331</v>
      </c>
      <c r="G70" s="76">
        <f t="shared" ref="G70" si="56">(E70-E63)/E63</f>
        <v>-0.16203703703703703</v>
      </c>
      <c r="H70" s="76">
        <f t="shared" ref="H70" si="57">(F70-F63)/F63</f>
        <v>0.12585034013605442</v>
      </c>
      <c r="I70" s="1">
        <f t="shared" si="50"/>
        <v>4231</v>
      </c>
      <c r="J70" s="1">
        <f t="shared" si="51"/>
        <v>3508</v>
      </c>
      <c r="K70" s="1">
        <f>K69+Table7[[#This Row],[Calls Off]]</f>
        <v>19029</v>
      </c>
      <c r="L70" s="1">
        <f>L69+Table7[[#This Row],[Calls Ans]]</f>
        <v>17288</v>
      </c>
      <c r="M70" s="17">
        <v>0.8</v>
      </c>
      <c r="N70" s="17">
        <v>0.09</v>
      </c>
      <c r="O70" s="17">
        <v>0.91</v>
      </c>
      <c r="P70" s="17">
        <v>0.38</v>
      </c>
      <c r="Q70" s="17">
        <v>1</v>
      </c>
      <c r="R70" s="39">
        <v>98</v>
      </c>
      <c r="S70" s="139">
        <v>1.3888888888888888E-2</v>
      </c>
      <c r="T70" s="285">
        <v>6</v>
      </c>
      <c r="U70" s="1" t="str">
        <f t="shared" si="52"/>
        <v>Normal</v>
      </c>
      <c r="V70" s="1" t="str">
        <f t="shared" si="53"/>
        <v>Normal</v>
      </c>
      <c r="W70" s="18">
        <f t="shared" si="54"/>
        <v>-0.16203703703703703</v>
      </c>
      <c r="X70" s="18">
        <f t="shared" si="55"/>
        <v>0.12585034013605442</v>
      </c>
    </row>
    <row r="71" spans="1:24">
      <c r="A71" s="21">
        <v>45452</v>
      </c>
      <c r="B71" s="16">
        <f>IF(YEAR(Table6[[#This Row],[Date]]) = 2024, WEEKNUM(Table6[[#This Row],[Date]])-13, WEEKNUM(Table6[[#This Row],[Date]])+40)</f>
        <v>11</v>
      </c>
      <c r="C71" s="31" t="s">
        <v>54</v>
      </c>
      <c r="D71" s="295" t="s">
        <v>48</v>
      </c>
      <c r="E71" s="1">
        <v>0</v>
      </c>
      <c r="F71" s="1">
        <v>0</v>
      </c>
      <c r="G71" s="76">
        <v>0</v>
      </c>
      <c r="H71" s="76">
        <v>0</v>
      </c>
      <c r="I71" s="1">
        <v>0</v>
      </c>
      <c r="J71" s="1">
        <v>0</v>
      </c>
      <c r="K71" s="1">
        <f>K70+Table7[[#This Row],[Calls Off]]</f>
        <v>19029</v>
      </c>
      <c r="L71" s="1">
        <f>L70+Table7[[#This Row],[Calls Ans]]</f>
        <v>17288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39">
        <v>0</v>
      </c>
      <c r="S71" s="139">
        <v>0</v>
      </c>
      <c r="T71" s="285">
        <v>0</v>
      </c>
      <c r="U71" s="1" t="str">
        <f t="shared" si="52"/>
        <v>Normal</v>
      </c>
      <c r="V71" s="1" t="str">
        <f t="shared" si="53"/>
        <v>Normal</v>
      </c>
      <c r="W71" s="18">
        <f t="shared" si="54"/>
        <v>0</v>
      </c>
      <c r="X71" s="18">
        <f t="shared" si="55"/>
        <v>0</v>
      </c>
    </row>
    <row r="72" spans="1:24">
      <c r="A72" s="21">
        <v>45453</v>
      </c>
      <c r="B72" s="386">
        <f>IF(YEAR(Table6[[#This Row],[Date]]) = 2024, WEEKNUM(Table6[[#This Row],[Date]])-13, WEEKNUM(Table6[[#This Row],[Date]])+40)</f>
        <v>11</v>
      </c>
      <c r="C72" s="85" t="s">
        <v>55</v>
      </c>
      <c r="D72" s="295" t="s">
        <v>48</v>
      </c>
      <c r="E72" s="1">
        <v>663</v>
      </c>
      <c r="F72" s="1">
        <v>628</v>
      </c>
      <c r="G72" s="76">
        <f>(E72-E65)/E65</f>
        <v>-0.25421822272215971</v>
      </c>
      <c r="H72" s="76">
        <f>(F72-F65)/F65</f>
        <v>-0.10668563300142248</v>
      </c>
      <c r="I72" s="1">
        <f>I70+E72</f>
        <v>4894</v>
      </c>
      <c r="J72" s="1">
        <f>J70+F72</f>
        <v>4136</v>
      </c>
      <c r="K72" s="1">
        <f>K71+Table7[[#This Row],[Calls Off]]</f>
        <v>19692</v>
      </c>
      <c r="L72" s="1">
        <f>L71+Table7[[#This Row],[Calls Ans]]</f>
        <v>17916</v>
      </c>
      <c r="M72" s="17">
        <v>0.89</v>
      </c>
      <c r="N72" s="17">
        <v>0.05</v>
      </c>
      <c r="O72" s="17">
        <v>0.95</v>
      </c>
      <c r="P72" s="17">
        <v>0.36</v>
      </c>
      <c r="Q72" s="17">
        <v>1</v>
      </c>
      <c r="R72" s="39">
        <v>105</v>
      </c>
      <c r="S72" s="139">
        <v>1.0416666666666666E-2</v>
      </c>
      <c r="T72" s="285">
        <v>9</v>
      </c>
      <c r="U72" s="1" t="str">
        <f t="shared" si="52"/>
        <v>Normal</v>
      </c>
      <c r="V72" s="1" t="str">
        <f t="shared" si="53"/>
        <v>Normal</v>
      </c>
      <c r="W72" s="18">
        <f t="shared" si="54"/>
        <v>-0.25421822272215971</v>
      </c>
      <c r="X72" s="18">
        <f t="shared" si="55"/>
        <v>-0.10668563300142248</v>
      </c>
    </row>
    <row r="73" spans="1:24">
      <c r="A73" s="21">
        <v>45454</v>
      </c>
      <c r="B73" s="16">
        <f>IF(YEAR(Table6[[#This Row],[Date]]) = 2024, WEEKNUM(Table6[[#This Row],[Date]])-13, WEEKNUM(Table6[[#This Row],[Date]])+40)</f>
        <v>11</v>
      </c>
      <c r="C73" s="31" t="s">
        <v>49</v>
      </c>
      <c r="D73" s="295" t="s">
        <v>48</v>
      </c>
      <c r="E73" s="1">
        <v>600</v>
      </c>
      <c r="F73" s="1">
        <v>575</v>
      </c>
      <c r="G73" s="76">
        <f t="shared" ref="G73" si="58">(E73-E66)/E66</f>
        <v>-0.17241379310344829</v>
      </c>
      <c r="H73" s="76">
        <f t="shared" ref="H73" si="59">(F73-F66)/F66</f>
        <v>-8.4394904458598721E-2</v>
      </c>
      <c r="I73" s="1">
        <f t="shared" ref="I73:I77" si="60">I72+E73</f>
        <v>5494</v>
      </c>
      <c r="J73" s="1">
        <f t="shared" ref="J73:J77" si="61">J72+F73</f>
        <v>4711</v>
      </c>
      <c r="K73" s="1">
        <f>K72+Table7[[#This Row],[Calls Off]]</f>
        <v>20292</v>
      </c>
      <c r="L73" s="1">
        <f>L72+Table7[[#This Row],[Calls Ans]]</f>
        <v>18491</v>
      </c>
      <c r="M73" s="17">
        <v>0.91</v>
      </c>
      <c r="N73" s="17">
        <v>0.04</v>
      </c>
      <c r="O73" s="17">
        <v>0.96</v>
      </c>
      <c r="P73" s="17">
        <v>0.46</v>
      </c>
      <c r="Q73" s="17">
        <v>1</v>
      </c>
      <c r="R73" s="39">
        <v>106</v>
      </c>
      <c r="S73" s="139">
        <v>5.5555555555555558E-3</v>
      </c>
      <c r="T73" s="285">
        <v>9</v>
      </c>
      <c r="U73" s="1" t="str">
        <f t="shared" si="52"/>
        <v>Normal</v>
      </c>
      <c r="V73" s="1" t="str">
        <f t="shared" si="53"/>
        <v>Normal</v>
      </c>
      <c r="W73" s="18">
        <f t="shared" si="54"/>
        <v>-0.17241379310344829</v>
      </c>
      <c r="X73" s="18">
        <f t="shared" si="55"/>
        <v>-8.4394904458598721E-2</v>
      </c>
    </row>
    <row r="74" spans="1:24">
      <c r="A74" s="21">
        <v>45455</v>
      </c>
      <c r="B74" s="386">
        <f>IF(YEAR(Table6[[#This Row],[Date]]) = 2024, WEEKNUM(Table6[[#This Row],[Date]])-13, WEEKNUM(Table6[[#This Row],[Date]])+40)</f>
        <v>11</v>
      </c>
      <c r="C74" s="85" t="s">
        <v>50</v>
      </c>
      <c r="D74" s="295" t="s">
        <v>48</v>
      </c>
      <c r="E74" s="1">
        <v>551</v>
      </c>
      <c r="F74" s="1">
        <v>507</v>
      </c>
      <c r="G74" s="76">
        <f>IFERROR((E74-E67)/E67,0)</f>
        <v>-6.6101694915254236E-2</v>
      </c>
      <c r="H74" s="76">
        <f>IFERROR((F74-F67)/F67,0)</f>
        <v>0.26119402985074625</v>
      </c>
      <c r="I74" s="1">
        <f t="shared" si="60"/>
        <v>6045</v>
      </c>
      <c r="J74" s="1">
        <f t="shared" si="61"/>
        <v>5218</v>
      </c>
      <c r="K74" s="1">
        <f>K73+Table7[[#This Row],[Calls Off]]</f>
        <v>20843</v>
      </c>
      <c r="L74" s="1">
        <f>L73+Table7[[#This Row],[Calls Ans]]</f>
        <v>18998</v>
      </c>
      <c r="M74" s="17">
        <v>0.78</v>
      </c>
      <c r="N74" s="17">
        <v>0.08</v>
      </c>
      <c r="O74" s="17">
        <v>0.92</v>
      </c>
      <c r="P74" s="17">
        <v>0.37</v>
      </c>
      <c r="Q74" s="17">
        <v>1</v>
      </c>
      <c r="R74" s="39">
        <v>119</v>
      </c>
      <c r="S74" s="139">
        <v>1.6666666666666666E-2</v>
      </c>
      <c r="T74" s="285">
        <v>8</v>
      </c>
      <c r="U74" s="1" t="str">
        <f t="shared" si="52"/>
        <v>Normal</v>
      </c>
      <c r="V74" s="1" t="str">
        <f t="shared" si="53"/>
        <v>Normal</v>
      </c>
      <c r="W74" s="18">
        <f t="shared" si="54"/>
        <v>-6.6101694915254236E-2</v>
      </c>
      <c r="X74" s="18">
        <f t="shared" si="55"/>
        <v>0.26119402985074625</v>
      </c>
    </row>
    <row r="75" spans="1:24">
      <c r="A75" s="21">
        <v>45456</v>
      </c>
      <c r="B75" s="16">
        <f>IF(YEAR(Table6[[#This Row],[Date]]) = 2024, WEEKNUM(Table6[[#This Row],[Date]])-13, WEEKNUM(Table6[[#This Row],[Date]])+40)</f>
        <v>11</v>
      </c>
      <c r="C75" s="31" t="s">
        <v>51</v>
      </c>
      <c r="D75" s="295" t="s">
        <v>48</v>
      </c>
      <c r="E75" s="1">
        <v>589</v>
      </c>
      <c r="F75" s="1">
        <v>567</v>
      </c>
      <c r="G75" s="76">
        <f t="shared" ref="G75:G77" si="62">(E75-E68)/E68</f>
        <v>-0.13254786450662739</v>
      </c>
      <c r="H75" s="76">
        <f t="shared" ref="H75:H77" si="63">(F75-F68)/F68</f>
        <v>-9.4249201277955275E-2</v>
      </c>
      <c r="I75" s="1">
        <f t="shared" si="60"/>
        <v>6634</v>
      </c>
      <c r="J75" s="1">
        <f t="shared" si="61"/>
        <v>5785</v>
      </c>
      <c r="K75" s="1">
        <f>K74+Table7[[#This Row],[Calls Off]]</f>
        <v>21432</v>
      </c>
      <c r="L75" s="1">
        <f>L74+Table7[[#This Row],[Calls Ans]]</f>
        <v>19565</v>
      </c>
      <c r="M75" s="17">
        <v>0.86</v>
      </c>
      <c r="N75" s="17">
        <v>0.04</v>
      </c>
      <c r="O75" s="17">
        <v>0.96</v>
      </c>
      <c r="P75" s="17">
        <v>0.31</v>
      </c>
      <c r="Q75" s="17">
        <v>1</v>
      </c>
      <c r="R75" s="39">
        <v>112</v>
      </c>
      <c r="S75" s="139">
        <v>9.7222222222222224E-3</v>
      </c>
      <c r="T75" s="285">
        <v>10</v>
      </c>
      <c r="U75" s="1" t="str">
        <f t="shared" si="52"/>
        <v>Normal</v>
      </c>
      <c r="V75" s="1" t="str">
        <f t="shared" si="53"/>
        <v>Normal</v>
      </c>
      <c r="W75" s="18">
        <f t="shared" si="54"/>
        <v>-0.13254786450662739</v>
      </c>
      <c r="X75" s="18">
        <f t="shared" si="55"/>
        <v>-9.4249201277955275E-2</v>
      </c>
    </row>
    <row r="76" spans="1:24">
      <c r="A76" s="21">
        <v>45457</v>
      </c>
      <c r="B76" s="386">
        <f>IF(YEAR(Table6[[#This Row],[Date]]) = 2024, WEEKNUM(Table6[[#This Row],[Date]])-13, WEEKNUM(Table6[[#This Row],[Date]])+40)</f>
        <v>11</v>
      </c>
      <c r="C76" s="85" t="s">
        <v>52</v>
      </c>
      <c r="D76" s="295" t="s">
        <v>48</v>
      </c>
      <c r="E76" s="1">
        <v>466</v>
      </c>
      <c r="F76" s="1">
        <v>448</v>
      </c>
      <c r="G76" s="76">
        <f t="shared" si="62"/>
        <v>-0.1588447653429603</v>
      </c>
      <c r="H76" s="76">
        <f t="shared" si="63"/>
        <v>-0.14503816793893129</v>
      </c>
      <c r="I76" s="1">
        <f t="shared" si="60"/>
        <v>7100</v>
      </c>
      <c r="J76" s="1">
        <f t="shared" si="61"/>
        <v>6233</v>
      </c>
      <c r="K76" s="1">
        <f>K75+Table7[[#This Row],[Calls Off]]</f>
        <v>21898</v>
      </c>
      <c r="L76" s="1">
        <f>L75+Table7[[#This Row],[Calls Ans]]</f>
        <v>20013</v>
      </c>
      <c r="M76" s="17">
        <v>0.92</v>
      </c>
      <c r="N76" s="17">
        <v>0.04</v>
      </c>
      <c r="O76" s="17">
        <v>0.96</v>
      </c>
      <c r="P76" s="17">
        <v>0.26</v>
      </c>
      <c r="Q76" s="17">
        <v>1</v>
      </c>
      <c r="R76" s="39">
        <v>111</v>
      </c>
      <c r="S76" s="139">
        <v>6.9444444444444441E-3</v>
      </c>
      <c r="T76" s="285">
        <v>11</v>
      </c>
      <c r="U76" s="1" t="str">
        <f t="shared" si="52"/>
        <v>Normal</v>
      </c>
      <c r="V76" s="1" t="str">
        <f t="shared" si="53"/>
        <v>Normal</v>
      </c>
      <c r="W76" s="18">
        <f t="shared" si="54"/>
        <v>-0.1588447653429603</v>
      </c>
      <c r="X76" s="18">
        <f t="shared" si="55"/>
        <v>-0.14503816793893129</v>
      </c>
    </row>
    <row r="77" spans="1:24">
      <c r="A77" s="21">
        <v>45458</v>
      </c>
      <c r="B77" s="16">
        <f>IF(YEAR(Table6[[#This Row],[Date]]) = 2024, WEEKNUM(Table6[[#This Row],[Date]])-13, WEEKNUM(Table6[[#This Row],[Date]])+40)</f>
        <v>11</v>
      </c>
      <c r="C77" s="31" t="s">
        <v>53</v>
      </c>
      <c r="D77" s="295" t="s">
        <v>48</v>
      </c>
      <c r="E77" s="1">
        <v>303</v>
      </c>
      <c r="F77" s="1">
        <v>262</v>
      </c>
      <c r="G77" s="76">
        <f t="shared" si="62"/>
        <v>-0.16298342541436464</v>
      </c>
      <c r="H77" s="76">
        <f t="shared" si="63"/>
        <v>-0.20845921450151059</v>
      </c>
      <c r="I77" s="1">
        <f t="shared" si="60"/>
        <v>7403</v>
      </c>
      <c r="J77" s="1">
        <f t="shared" si="61"/>
        <v>6495</v>
      </c>
      <c r="K77" s="1">
        <f>K76+Table7[[#This Row],[Calls Off]]</f>
        <v>22201</v>
      </c>
      <c r="L77" s="1">
        <f>L76+Table7[[#This Row],[Calls Ans]]</f>
        <v>20275</v>
      </c>
      <c r="M77" s="17">
        <v>0.64</v>
      </c>
      <c r="N77" s="17">
        <v>0.14000000000000001</v>
      </c>
      <c r="O77" s="17">
        <v>0.86</v>
      </c>
      <c r="P77" s="17">
        <v>0.44</v>
      </c>
      <c r="Q77" s="17">
        <v>0.98</v>
      </c>
      <c r="R77" s="39">
        <v>129</v>
      </c>
      <c r="S77" s="139">
        <v>2.1527777777777781E-2</v>
      </c>
      <c r="T77" s="285">
        <v>5</v>
      </c>
      <c r="U77" s="1" t="str">
        <f t="shared" si="52"/>
        <v>Normal</v>
      </c>
      <c r="V77" s="1" t="str">
        <f t="shared" si="53"/>
        <v>Normal</v>
      </c>
      <c r="W77" s="18">
        <f t="shared" si="54"/>
        <v>-0.16298342541436464</v>
      </c>
      <c r="X77" s="18">
        <f t="shared" si="55"/>
        <v>-0.20845921450151059</v>
      </c>
    </row>
    <row r="78" spans="1:24">
      <c r="A78" s="21">
        <v>45459</v>
      </c>
      <c r="B78" s="386">
        <f>IF(YEAR(Table6[[#This Row],[Date]]) = 2024, WEEKNUM(Table6[[#This Row],[Date]])-13, WEEKNUM(Table6[[#This Row],[Date]])+40)</f>
        <v>12</v>
      </c>
      <c r="C78" s="85" t="s">
        <v>54</v>
      </c>
      <c r="D78" s="295" t="s">
        <v>48</v>
      </c>
      <c r="E78" s="1">
        <v>0</v>
      </c>
      <c r="F78" s="1">
        <v>0</v>
      </c>
      <c r="G78" s="76">
        <v>0</v>
      </c>
      <c r="H78" s="76">
        <v>0</v>
      </c>
      <c r="I78" s="1">
        <v>0</v>
      </c>
      <c r="J78" s="1">
        <v>0</v>
      </c>
      <c r="K78" s="1">
        <f>K77+Table7[[#This Row],[Calls Off]]</f>
        <v>22201</v>
      </c>
      <c r="L78" s="1">
        <f>L77+Table7[[#This Row],[Calls Ans]]</f>
        <v>20275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39">
        <v>0</v>
      </c>
      <c r="S78" s="139">
        <v>0</v>
      </c>
      <c r="T78" s="285">
        <v>0</v>
      </c>
      <c r="U78" s="1" t="str">
        <f t="shared" si="52"/>
        <v>Normal</v>
      </c>
      <c r="V78" s="1" t="str">
        <f t="shared" si="53"/>
        <v>Normal</v>
      </c>
      <c r="W78" s="18">
        <f t="shared" si="54"/>
        <v>0</v>
      </c>
      <c r="X78" s="18">
        <f t="shared" si="55"/>
        <v>0</v>
      </c>
    </row>
    <row r="79" spans="1:24">
      <c r="A79" s="21">
        <v>45460</v>
      </c>
      <c r="B79" s="16">
        <f>IF(YEAR(Table6[[#This Row],[Date]]) = 2024, WEEKNUM(Table6[[#This Row],[Date]])-13, WEEKNUM(Table6[[#This Row],[Date]])+40)</f>
        <v>12</v>
      </c>
      <c r="C79" s="31" t="s">
        <v>55</v>
      </c>
      <c r="D79" s="295" t="s">
        <v>48</v>
      </c>
      <c r="E79" s="1">
        <v>564</v>
      </c>
      <c r="F79" s="1">
        <v>526</v>
      </c>
      <c r="G79" s="76">
        <f>(E79-E72)/E72</f>
        <v>-0.14932126696832579</v>
      </c>
      <c r="H79" s="76">
        <f>(F79-F72)/F72</f>
        <v>-0.16242038216560509</v>
      </c>
      <c r="I79" s="1">
        <f>I77+E79</f>
        <v>7967</v>
      </c>
      <c r="J79" s="1">
        <f>J77+F79</f>
        <v>7021</v>
      </c>
      <c r="K79" s="1">
        <f>K78+Table7[[#This Row],[Calls Off]]</f>
        <v>22765</v>
      </c>
      <c r="L79" s="1">
        <f>L78+Table7[[#This Row],[Calls Ans]]</f>
        <v>20801</v>
      </c>
      <c r="M79" s="17">
        <v>0.92</v>
      </c>
      <c r="N79" s="17">
        <v>7.0000000000000007E-2</v>
      </c>
      <c r="O79" s="17">
        <v>0.93</v>
      </c>
      <c r="P79" s="17">
        <v>0.3</v>
      </c>
      <c r="Q79" s="17">
        <v>1</v>
      </c>
      <c r="R79" s="39">
        <v>120</v>
      </c>
      <c r="S79" s="139">
        <v>6.9444444444444441E-3</v>
      </c>
      <c r="T79" s="285">
        <v>11</v>
      </c>
      <c r="U79" s="1" t="str">
        <f t="shared" si="52"/>
        <v>Normal</v>
      </c>
      <c r="V79" s="1" t="str">
        <f t="shared" si="53"/>
        <v>Normal</v>
      </c>
      <c r="W79" s="18">
        <f t="shared" si="54"/>
        <v>-0.14932126696832579</v>
      </c>
      <c r="X79" s="18">
        <f t="shared" si="55"/>
        <v>-0.16242038216560509</v>
      </c>
    </row>
    <row r="80" spans="1:24">
      <c r="A80" s="21">
        <v>45461</v>
      </c>
      <c r="B80" s="386">
        <f>IF(YEAR(Table6[[#This Row],[Date]]) = 2024, WEEKNUM(Table6[[#This Row],[Date]])-13, WEEKNUM(Table6[[#This Row],[Date]])+40)</f>
        <v>12</v>
      </c>
      <c r="C80" s="85" t="s">
        <v>49</v>
      </c>
      <c r="D80" s="295" t="s">
        <v>48</v>
      </c>
      <c r="E80" s="1">
        <v>618</v>
      </c>
      <c r="F80" s="1">
        <v>525</v>
      </c>
      <c r="G80" s="76">
        <f t="shared" ref="G80" si="64">(E80-E73)/E73</f>
        <v>0.03</v>
      </c>
      <c r="H80" s="76">
        <f t="shared" ref="H80" si="65">(F80-F73)/F73</f>
        <v>-8.6956521739130432E-2</v>
      </c>
      <c r="I80" s="1">
        <f t="shared" ref="I80" si="66">I79+E80</f>
        <v>8585</v>
      </c>
      <c r="J80" s="1">
        <f t="shared" ref="J80" si="67">J79+F80</f>
        <v>7546</v>
      </c>
      <c r="K80" s="1">
        <f>K79+Table7[[#This Row],[Calls Off]]</f>
        <v>23383</v>
      </c>
      <c r="L80" s="1">
        <f>L79+Table7[[#This Row],[Calls Ans]]</f>
        <v>21326</v>
      </c>
      <c r="M80" s="17">
        <v>0.64</v>
      </c>
      <c r="N80" s="17">
        <v>0.15</v>
      </c>
      <c r="O80" s="17">
        <v>0.85</v>
      </c>
      <c r="P80" s="17">
        <v>0.5</v>
      </c>
      <c r="Q80" s="17">
        <v>0.97</v>
      </c>
      <c r="R80" s="39">
        <v>123</v>
      </c>
      <c r="S80" s="139">
        <v>3.4027777777777775E-2</v>
      </c>
      <c r="T80" s="285">
        <v>7</v>
      </c>
      <c r="U80" s="1" t="str">
        <f t="shared" si="52"/>
        <v>Normal</v>
      </c>
      <c r="V80" s="1" t="str">
        <f t="shared" si="53"/>
        <v>Normal</v>
      </c>
      <c r="W80" s="18">
        <f t="shared" si="54"/>
        <v>0.03</v>
      </c>
      <c r="X80" s="18">
        <f t="shared" si="55"/>
        <v>-8.6956521739130432E-2</v>
      </c>
    </row>
    <row r="81" spans="1:24">
      <c r="A81" s="21">
        <v>45462</v>
      </c>
      <c r="B81" s="16">
        <f>IF(YEAR(Table6[[#This Row],[Date]]) = 2024, WEEKNUM(Table6[[#This Row],[Date]])-13, WEEKNUM(Table6[[#This Row],[Date]])+40)</f>
        <v>12</v>
      </c>
      <c r="C81" s="31" t="s">
        <v>50</v>
      </c>
      <c r="D81" s="295" t="s">
        <v>48</v>
      </c>
      <c r="E81" s="1">
        <v>0</v>
      </c>
      <c r="F81" s="1">
        <v>0</v>
      </c>
      <c r="G81" s="76">
        <v>0</v>
      </c>
      <c r="H81" s="76">
        <v>0</v>
      </c>
      <c r="I81" s="1">
        <v>0</v>
      </c>
      <c r="J81" s="1">
        <v>0</v>
      </c>
      <c r="K81" s="1">
        <f>K80+Table7[[#This Row],[Calls Off]]</f>
        <v>23383</v>
      </c>
      <c r="L81" s="1">
        <f>L80+Table7[[#This Row],[Calls Ans]]</f>
        <v>21326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39">
        <v>0</v>
      </c>
      <c r="S81" s="139">
        <v>0</v>
      </c>
      <c r="T81" s="285">
        <v>0</v>
      </c>
      <c r="U81" s="1" t="str">
        <f t="shared" si="52"/>
        <v>Normal</v>
      </c>
      <c r="V81" s="1" t="str">
        <f t="shared" si="53"/>
        <v>Normal</v>
      </c>
      <c r="W81" s="18">
        <f t="shared" si="54"/>
        <v>0</v>
      </c>
      <c r="X81" s="18">
        <f t="shared" si="55"/>
        <v>0</v>
      </c>
    </row>
    <row r="82" spans="1:24">
      <c r="A82" s="21">
        <v>45463</v>
      </c>
      <c r="B82" s="386">
        <f>IF(YEAR(Table6[[#This Row],[Date]]) = 2024, WEEKNUM(Table6[[#This Row],[Date]])-13, WEEKNUM(Table6[[#This Row],[Date]])+40)</f>
        <v>12</v>
      </c>
      <c r="C82" s="85" t="s">
        <v>51</v>
      </c>
      <c r="D82" s="295" t="s">
        <v>48</v>
      </c>
      <c r="E82" s="1">
        <v>690</v>
      </c>
      <c r="F82" s="1">
        <v>644</v>
      </c>
      <c r="G82" s="76">
        <f>(E82-E75)/E75</f>
        <v>0.17147707979626486</v>
      </c>
      <c r="H82" s="76">
        <f>(F82-F75)/F75</f>
        <v>0.13580246913580246</v>
      </c>
      <c r="I82" s="1">
        <f>I80+E82</f>
        <v>9275</v>
      </c>
      <c r="J82" s="1">
        <f>J80+F82</f>
        <v>8190</v>
      </c>
      <c r="K82" s="1">
        <f>K81+Table7[[#This Row],[Calls Off]]</f>
        <v>24073</v>
      </c>
      <c r="L82" s="1">
        <f>L81+Table7[[#This Row],[Calls Ans]]</f>
        <v>21970</v>
      </c>
      <c r="M82" s="17">
        <v>0.73</v>
      </c>
      <c r="N82" s="17">
        <v>7.0000000000000007E-2</v>
      </c>
      <c r="O82" s="17">
        <v>0.93</v>
      </c>
      <c r="P82" s="17">
        <v>0.39</v>
      </c>
      <c r="Q82" s="17">
        <v>0.99</v>
      </c>
      <c r="R82" s="39">
        <v>133</v>
      </c>
      <c r="S82" s="139">
        <v>2.4305555555555556E-2</v>
      </c>
      <c r="T82" s="285">
        <v>11</v>
      </c>
      <c r="U82" s="1" t="str">
        <f t="shared" si="52"/>
        <v>Normal</v>
      </c>
      <c r="V82" s="1" t="str">
        <f t="shared" si="53"/>
        <v>Normal</v>
      </c>
      <c r="W82" s="18">
        <f t="shared" si="54"/>
        <v>0.17147707979626486</v>
      </c>
      <c r="X82" s="18">
        <f t="shared" si="55"/>
        <v>0.13580246913580246</v>
      </c>
    </row>
    <row r="83" spans="1:24">
      <c r="A83" s="21">
        <v>45464</v>
      </c>
      <c r="B83" s="16">
        <f>IF(YEAR(Table6[[#This Row],[Date]]) = 2024, WEEKNUM(Table6[[#This Row],[Date]])-13, WEEKNUM(Table6[[#This Row],[Date]])+40)</f>
        <v>12</v>
      </c>
      <c r="C83" s="31" t="s">
        <v>52</v>
      </c>
      <c r="D83" s="295" t="s">
        <v>48</v>
      </c>
      <c r="E83" s="1">
        <v>781</v>
      </c>
      <c r="F83" s="1">
        <v>463</v>
      </c>
      <c r="G83" s="76">
        <f t="shared" ref="G83" si="68">(E83-E76)/E76</f>
        <v>0.67596566523605151</v>
      </c>
      <c r="H83" s="76">
        <f t="shared" ref="H83" si="69">(F83-F76)/F76</f>
        <v>3.3482142857142856E-2</v>
      </c>
      <c r="I83" s="1">
        <f t="shared" ref="I83:I84" si="70">I82+E83</f>
        <v>10056</v>
      </c>
      <c r="J83" s="1">
        <f t="shared" ref="J83:J84" si="71">J82+F83</f>
        <v>8653</v>
      </c>
      <c r="K83" s="1">
        <f>K82+Table7[[#This Row],[Calls Off]]</f>
        <v>24854</v>
      </c>
      <c r="L83" s="1">
        <f>L82+Table7[[#This Row],[Calls Ans]]</f>
        <v>22433</v>
      </c>
      <c r="M83" s="17">
        <v>0.5</v>
      </c>
      <c r="N83" s="17">
        <v>0.41</v>
      </c>
      <c r="O83" s="17">
        <v>0.59</v>
      </c>
      <c r="P83" s="17">
        <v>0.32</v>
      </c>
      <c r="Q83" s="17">
        <v>0.98</v>
      </c>
      <c r="R83" s="39">
        <v>131</v>
      </c>
      <c r="S83" s="139">
        <v>7.2916666666666671E-2</v>
      </c>
      <c r="T83" s="285">
        <v>9</v>
      </c>
      <c r="U83" s="1" t="str">
        <f t="shared" si="52"/>
        <v>Outlier</v>
      </c>
      <c r="V83" s="1" t="str">
        <f t="shared" si="53"/>
        <v>Normal</v>
      </c>
      <c r="W83" s="18">
        <f t="shared" si="54"/>
        <v>0.67596566523605151</v>
      </c>
      <c r="X83" s="18">
        <f t="shared" si="55"/>
        <v>3.3482142857142856E-2</v>
      </c>
    </row>
    <row r="84" spans="1:24">
      <c r="A84" s="21">
        <v>45465</v>
      </c>
      <c r="B84" s="386">
        <f>IF(YEAR(Table6[[#This Row],[Date]]) = 2024, WEEKNUM(Table6[[#This Row],[Date]])-13, WEEKNUM(Table6[[#This Row],[Date]])+40)</f>
        <v>12</v>
      </c>
      <c r="C84" s="85" t="s">
        <v>53</v>
      </c>
      <c r="D84" s="295" t="s">
        <v>48</v>
      </c>
      <c r="E84" s="1">
        <v>323</v>
      </c>
      <c r="F84" s="1">
        <v>215</v>
      </c>
      <c r="G84" s="76">
        <f>IFERROR((E84-E77)/E77,0)</f>
        <v>6.6006600660066E-2</v>
      </c>
      <c r="H84" s="76">
        <f>IFERROR((F84-F77)/F77,0)</f>
        <v>-0.17938931297709923</v>
      </c>
      <c r="I84" s="1">
        <f t="shared" si="70"/>
        <v>10379</v>
      </c>
      <c r="J84" s="1">
        <f t="shared" si="71"/>
        <v>8868</v>
      </c>
      <c r="K84" s="1">
        <f>K83+Table7[[#This Row],[Calls Off]]</f>
        <v>25177</v>
      </c>
      <c r="L84" s="1">
        <f>L83+Table7[[#This Row],[Calls Ans]]</f>
        <v>22648</v>
      </c>
      <c r="M84" s="17">
        <v>0.28999999999999998</v>
      </c>
      <c r="N84" s="17">
        <v>0.33</v>
      </c>
      <c r="O84" s="17">
        <v>0.67</v>
      </c>
      <c r="P84" s="17">
        <v>0.59</v>
      </c>
      <c r="Q84" s="17">
        <v>1</v>
      </c>
      <c r="R84" s="39">
        <v>130</v>
      </c>
      <c r="S84" s="139">
        <v>8.6111111111111124E-2</v>
      </c>
      <c r="T84" s="285">
        <v>4</v>
      </c>
      <c r="U84" s="1" t="str">
        <f t="shared" si="52"/>
        <v>Normal</v>
      </c>
      <c r="V84" s="1" t="str">
        <f t="shared" si="53"/>
        <v>Normal</v>
      </c>
      <c r="W84" s="18">
        <f t="shared" si="54"/>
        <v>6.6006600660066E-2</v>
      </c>
      <c r="X84" s="18">
        <f t="shared" si="55"/>
        <v>-0.17938931297709923</v>
      </c>
    </row>
    <row r="85" spans="1:24">
      <c r="A85" s="21">
        <v>45466</v>
      </c>
      <c r="B85" s="16">
        <f>IF(YEAR(Table6[[#This Row],[Date]]) = 2024, WEEKNUM(Table6[[#This Row],[Date]])-13, WEEKNUM(Table6[[#This Row],[Date]])+40)</f>
        <v>13</v>
      </c>
      <c r="C85" s="31" t="s">
        <v>54</v>
      </c>
      <c r="D85" s="295" t="s">
        <v>48</v>
      </c>
      <c r="E85" s="1">
        <v>0</v>
      </c>
      <c r="F85" s="1">
        <v>0</v>
      </c>
      <c r="G85" s="76">
        <v>0</v>
      </c>
      <c r="H85" s="76">
        <v>0</v>
      </c>
      <c r="I85" s="1">
        <v>0</v>
      </c>
      <c r="J85" s="1">
        <v>0</v>
      </c>
      <c r="K85" s="1">
        <f>K84+Table7[[#This Row],[Calls Off]]</f>
        <v>25177</v>
      </c>
      <c r="L85" s="1">
        <f>L84+Table7[[#This Row],[Calls Ans]]</f>
        <v>22648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39">
        <v>0</v>
      </c>
      <c r="S85" s="139">
        <v>0</v>
      </c>
      <c r="T85" s="285">
        <v>0</v>
      </c>
      <c r="U85" s="1" t="str">
        <f t="shared" si="52"/>
        <v>Normal</v>
      </c>
      <c r="V85" s="1" t="str">
        <f t="shared" si="53"/>
        <v>Normal</v>
      </c>
      <c r="W85" s="18">
        <f t="shared" si="54"/>
        <v>0</v>
      </c>
      <c r="X85" s="18">
        <f t="shared" si="55"/>
        <v>0</v>
      </c>
    </row>
    <row r="86" spans="1:24">
      <c r="A86" s="21">
        <v>45467</v>
      </c>
      <c r="B86" s="386">
        <f>IF(YEAR(Table6[[#This Row],[Date]]) = 2024, WEEKNUM(Table6[[#This Row],[Date]])-13, WEEKNUM(Table6[[#This Row],[Date]])+40)</f>
        <v>13</v>
      </c>
      <c r="C86" s="85" t="s">
        <v>55</v>
      </c>
      <c r="D86" s="295" t="s">
        <v>48</v>
      </c>
      <c r="E86" s="1">
        <v>668</v>
      </c>
      <c r="F86" s="1">
        <v>622</v>
      </c>
      <c r="G86" s="76">
        <f>(E86-E79)/E79</f>
        <v>0.18439716312056736</v>
      </c>
      <c r="H86" s="76">
        <f>(F86-F79)/F79</f>
        <v>0.18250950570342206</v>
      </c>
      <c r="I86" s="1">
        <f>I84+E86</f>
        <v>11047</v>
      </c>
      <c r="J86" s="1">
        <f>J84+F86</f>
        <v>9490</v>
      </c>
      <c r="K86" s="1">
        <f>K85+Table7[[#This Row],[Calls Off]]</f>
        <v>25845</v>
      </c>
      <c r="L86" s="1">
        <f>L85+Table7[[#This Row],[Calls Ans]]</f>
        <v>23270</v>
      </c>
      <c r="M86" s="17">
        <v>0.77</v>
      </c>
      <c r="N86" s="17">
        <v>7.0000000000000007E-2</v>
      </c>
      <c r="O86" s="17">
        <v>0.93</v>
      </c>
      <c r="P86" s="17">
        <v>0.43</v>
      </c>
      <c r="Q86" s="17">
        <v>1</v>
      </c>
      <c r="R86" s="39">
        <v>122</v>
      </c>
      <c r="S86" s="139">
        <v>1.4583333333333332E-2</v>
      </c>
      <c r="T86" s="285">
        <v>9</v>
      </c>
      <c r="U86" s="1" t="str">
        <f t="shared" si="52"/>
        <v>Normal</v>
      </c>
      <c r="V86" s="1" t="str">
        <f t="shared" si="53"/>
        <v>Normal</v>
      </c>
      <c r="W86" s="18">
        <f t="shared" si="54"/>
        <v>0.18439716312056736</v>
      </c>
      <c r="X86" s="18">
        <f t="shared" si="55"/>
        <v>0.18250950570342206</v>
      </c>
    </row>
    <row r="87" spans="1:24">
      <c r="A87" s="21">
        <v>45468</v>
      </c>
      <c r="B87" s="16">
        <f>IF(YEAR(Table6[[#This Row],[Date]]) = 2024, WEEKNUM(Table6[[#This Row],[Date]])-13, WEEKNUM(Table6[[#This Row],[Date]])+40)</f>
        <v>13</v>
      </c>
      <c r="C87" s="31" t="s">
        <v>49</v>
      </c>
      <c r="D87" s="295" t="s">
        <v>48</v>
      </c>
      <c r="E87" s="1">
        <v>553</v>
      </c>
      <c r="F87" s="1">
        <v>506</v>
      </c>
      <c r="G87" s="76">
        <f t="shared" ref="G87" si="72">(E87-E80)/E80</f>
        <v>-0.10517799352750809</v>
      </c>
      <c r="H87" s="76">
        <f t="shared" ref="H87" si="73">(F87-F80)/F80</f>
        <v>-3.619047619047619E-2</v>
      </c>
      <c r="I87" s="1">
        <f t="shared" ref="I87:I91" si="74">I86+E87</f>
        <v>11600</v>
      </c>
      <c r="J87" s="1">
        <f t="shared" ref="J87:J91" si="75">J86+F87</f>
        <v>9996</v>
      </c>
      <c r="K87" s="1">
        <f>K86+Table7[[#This Row],[Calls Off]]</f>
        <v>26398</v>
      </c>
      <c r="L87" s="1">
        <f>L86+Table7[[#This Row],[Calls Ans]]</f>
        <v>23776</v>
      </c>
      <c r="M87" s="17">
        <v>0.78</v>
      </c>
      <c r="N87" s="17">
        <v>0.08</v>
      </c>
      <c r="O87" s="17">
        <v>0.92</v>
      </c>
      <c r="P87" s="17">
        <v>0.38</v>
      </c>
      <c r="Q87" s="17">
        <v>1</v>
      </c>
      <c r="R87" s="39">
        <v>124</v>
      </c>
      <c r="S87" s="139">
        <v>1.8055555555555557E-2</v>
      </c>
      <c r="T87" s="285">
        <v>9</v>
      </c>
      <c r="U87" s="1" t="str">
        <f t="shared" si="52"/>
        <v>Normal</v>
      </c>
      <c r="V87" s="1" t="str">
        <f t="shared" si="53"/>
        <v>Normal</v>
      </c>
      <c r="W87" s="18">
        <f t="shared" si="54"/>
        <v>-0.10517799352750809</v>
      </c>
      <c r="X87" s="18">
        <f t="shared" si="55"/>
        <v>-3.619047619047619E-2</v>
      </c>
    </row>
    <row r="88" spans="1:24">
      <c r="A88" s="21">
        <v>45469</v>
      </c>
      <c r="B88" s="386">
        <f>IF(YEAR(Table6[[#This Row],[Date]]) = 2024, WEEKNUM(Table6[[#This Row],[Date]])-13, WEEKNUM(Table6[[#This Row],[Date]])+40)</f>
        <v>13</v>
      </c>
      <c r="C88" s="85" t="s">
        <v>50</v>
      </c>
      <c r="D88" s="295" t="s">
        <v>48</v>
      </c>
      <c r="E88" s="1">
        <v>553</v>
      </c>
      <c r="F88" s="1">
        <v>510</v>
      </c>
      <c r="G88" s="76">
        <f>IFERROR((E88-E81)/E81,0)</f>
        <v>0</v>
      </c>
      <c r="H88" s="76">
        <f>IFERROR((F88-F81)/F81,0)</f>
        <v>0</v>
      </c>
      <c r="I88" s="1">
        <f t="shared" si="74"/>
        <v>12153</v>
      </c>
      <c r="J88" s="1">
        <f t="shared" si="75"/>
        <v>10506</v>
      </c>
      <c r="K88" s="1">
        <f>K87+Table7[[#This Row],[Calls Off]]</f>
        <v>26951</v>
      </c>
      <c r="L88" s="1">
        <f>L87+Table7[[#This Row],[Calls Ans]]</f>
        <v>24286</v>
      </c>
      <c r="M88" s="17">
        <v>0.84</v>
      </c>
      <c r="N88" s="17">
        <v>0.08</v>
      </c>
      <c r="O88" s="17">
        <v>0.92</v>
      </c>
      <c r="P88" s="17">
        <v>0.33</v>
      </c>
      <c r="Q88" s="17">
        <v>1</v>
      </c>
      <c r="R88" s="39">
        <v>104</v>
      </c>
      <c r="S88" s="139">
        <v>1.5972222222222224E-2</v>
      </c>
      <c r="T88" s="285">
        <v>9</v>
      </c>
      <c r="U88" s="1" t="str">
        <f t="shared" si="52"/>
        <v>Normal</v>
      </c>
      <c r="V88" s="1" t="str">
        <f t="shared" si="53"/>
        <v>Normal</v>
      </c>
      <c r="W88" s="18">
        <f t="shared" si="54"/>
        <v>0</v>
      </c>
      <c r="X88" s="18">
        <f t="shared" si="55"/>
        <v>0</v>
      </c>
    </row>
    <row r="89" spans="1:24">
      <c r="A89" s="21">
        <v>45470</v>
      </c>
      <c r="B89" s="16">
        <f>IF(YEAR(Table6[[#This Row],[Date]]) = 2024, WEEKNUM(Table6[[#This Row],[Date]])-13, WEEKNUM(Table6[[#This Row],[Date]])+40)</f>
        <v>13</v>
      </c>
      <c r="C89" s="31" t="s">
        <v>51</v>
      </c>
      <c r="D89" s="295" t="s">
        <v>48</v>
      </c>
      <c r="E89" s="1">
        <v>477</v>
      </c>
      <c r="F89" s="1">
        <v>456</v>
      </c>
      <c r="G89" s="76">
        <f t="shared" ref="G89:G91" si="76">(E89-E82)/E82</f>
        <v>-0.30869565217391304</v>
      </c>
      <c r="H89" s="76">
        <f t="shared" ref="H89:H91" si="77">(F89-F82)/F82</f>
        <v>-0.29192546583850931</v>
      </c>
      <c r="I89" s="1">
        <f t="shared" si="74"/>
        <v>12630</v>
      </c>
      <c r="J89" s="1">
        <f t="shared" si="75"/>
        <v>10962</v>
      </c>
      <c r="K89" s="1">
        <f>K88+Table7[[#This Row],[Calls Off]]</f>
        <v>27428</v>
      </c>
      <c r="L89" s="1">
        <f>L88+Table7[[#This Row],[Calls Ans]]</f>
        <v>24742</v>
      </c>
      <c r="M89" s="17">
        <v>0.95</v>
      </c>
      <c r="N89" s="17">
        <v>0.04</v>
      </c>
      <c r="O89" s="17">
        <v>0.96</v>
      </c>
      <c r="P89" s="17">
        <v>0.22</v>
      </c>
      <c r="Q89" s="17">
        <v>1</v>
      </c>
      <c r="R89" s="39">
        <v>108</v>
      </c>
      <c r="S89" s="139">
        <v>4.1666666666666666E-3</v>
      </c>
      <c r="T89" s="285">
        <v>12</v>
      </c>
      <c r="U89" s="1" t="str">
        <f t="shared" si="52"/>
        <v>Normal</v>
      </c>
      <c r="V89" s="1" t="str">
        <f t="shared" si="53"/>
        <v>Normal</v>
      </c>
      <c r="W89" s="18">
        <f t="shared" si="54"/>
        <v>-0.30869565217391304</v>
      </c>
      <c r="X89" s="18">
        <f t="shared" si="55"/>
        <v>-0.29192546583850931</v>
      </c>
    </row>
    <row r="90" spans="1:24">
      <c r="A90" s="21">
        <v>45471</v>
      </c>
      <c r="B90" s="386">
        <f>IF(YEAR(Table6[[#This Row],[Date]]) = 2024, WEEKNUM(Table6[[#This Row],[Date]])-13, WEEKNUM(Table6[[#This Row],[Date]])+40)</f>
        <v>13</v>
      </c>
      <c r="C90" s="85" t="s">
        <v>52</v>
      </c>
      <c r="D90" s="295" t="s">
        <v>48</v>
      </c>
      <c r="E90" s="1">
        <v>534</v>
      </c>
      <c r="F90" s="1">
        <v>499</v>
      </c>
      <c r="G90" s="76">
        <f t="shared" si="76"/>
        <v>-0.31626120358514725</v>
      </c>
      <c r="H90" s="76">
        <f t="shared" si="77"/>
        <v>7.775377969762419E-2</v>
      </c>
      <c r="I90" s="1">
        <f t="shared" si="74"/>
        <v>13164</v>
      </c>
      <c r="J90" s="1">
        <f t="shared" si="75"/>
        <v>11461</v>
      </c>
      <c r="K90" s="1">
        <f>K89+Table7[[#This Row],[Calls Off]]</f>
        <v>27962</v>
      </c>
      <c r="L90" s="1">
        <f>L89+Table7[[#This Row],[Calls Ans]]</f>
        <v>25241</v>
      </c>
      <c r="M90" s="17">
        <v>0.81</v>
      </c>
      <c r="N90" s="17">
        <v>7.0000000000000007E-2</v>
      </c>
      <c r="O90" s="17">
        <v>0.93</v>
      </c>
      <c r="P90" s="17">
        <v>0.37</v>
      </c>
      <c r="Q90" s="17">
        <v>1</v>
      </c>
      <c r="R90" s="39">
        <v>114</v>
      </c>
      <c r="S90" s="139">
        <v>1.1111111111111112E-2</v>
      </c>
      <c r="T90" s="285">
        <v>8</v>
      </c>
      <c r="U90" s="1" t="str">
        <f t="shared" si="52"/>
        <v>Normal</v>
      </c>
      <c r="V90" s="1" t="str">
        <f t="shared" si="53"/>
        <v>Normal</v>
      </c>
      <c r="W90" s="18">
        <f t="shared" si="54"/>
        <v>-0.31626120358514725</v>
      </c>
      <c r="X90" s="18">
        <f t="shared" si="55"/>
        <v>7.775377969762419E-2</v>
      </c>
    </row>
    <row r="91" spans="1:24">
      <c r="A91" s="21">
        <v>45472</v>
      </c>
      <c r="B91" s="16">
        <f>IF(YEAR(Table6[[#This Row],[Date]]) = 2024, WEEKNUM(Table6[[#This Row],[Date]])-13, WEEKNUM(Table6[[#This Row],[Date]])+40)</f>
        <v>13</v>
      </c>
      <c r="C91" s="31" t="s">
        <v>53</v>
      </c>
      <c r="D91" s="295" t="s">
        <v>48</v>
      </c>
      <c r="E91" s="1">
        <v>265</v>
      </c>
      <c r="F91" s="1">
        <v>218</v>
      </c>
      <c r="G91" s="76">
        <f t="shared" si="76"/>
        <v>-0.17956656346749225</v>
      </c>
      <c r="H91" s="76">
        <f t="shared" si="77"/>
        <v>1.3953488372093023E-2</v>
      </c>
      <c r="I91" s="1">
        <f t="shared" si="74"/>
        <v>13429</v>
      </c>
      <c r="J91" s="1">
        <f t="shared" si="75"/>
        <v>11679</v>
      </c>
      <c r="K91" s="1">
        <f>K90+Table7[[#This Row],[Calls Off]]</f>
        <v>28227</v>
      </c>
      <c r="L91" s="1">
        <f>L90+Table7[[#This Row],[Calls Ans]]</f>
        <v>25459</v>
      </c>
      <c r="M91" s="17">
        <v>0.63</v>
      </c>
      <c r="N91" s="17">
        <v>0.18</v>
      </c>
      <c r="O91" s="17">
        <v>0.82</v>
      </c>
      <c r="P91" s="17">
        <v>0.38</v>
      </c>
      <c r="Q91" s="17">
        <v>1</v>
      </c>
      <c r="R91" s="39">
        <v>117</v>
      </c>
      <c r="S91" s="139">
        <v>2.5694444444444447E-2</v>
      </c>
      <c r="T91" s="285">
        <v>5</v>
      </c>
      <c r="U91" s="1" t="str">
        <f t="shared" si="52"/>
        <v>Normal</v>
      </c>
      <c r="V91" s="1" t="str">
        <f t="shared" si="53"/>
        <v>Normal</v>
      </c>
      <c r="W91" s="18">
        <f t="shared" si="54"/>
        <v>-0.17956656346749225</v>
      </c>
      <c r="X91" s="18">
        <f t="shared" si="55"/>
        <v>1.3953488372093023E-2</v>
      </c>
    </row>
    <row r="92" spans="1:24" s="45" customFormat="1">
      <c r="A92" s="21">
        <v>45473</v>
      </c>
      <c r="B92" s="386">
        <f>IF(YEAR(Table6[[#This Row],[Date]]) = 2024, WEEKNUM(Table6[[#This Row],[Date]])-13, WEEKNUM(Table6[[#This Row],[Date]])+40)</f>
        <v>14</v>
      </c>
      <c r="C92" s="85" t="s">
        <v>54</v>
      </c>
      <c r="D92" s="295" t="s">
        <v>48</v>
      </c>
      <c r="E92" s="1">
        <v>0</v>
      </c>
      <c r="F92" s="1">
        <v>0</v>
      </c>
      <c r="G92" s="76">
        <v>0</v>
      </c>
      <c r="H92" s="76">
        <v>0</v>
      </c>
      <c r="I92" s="1">
        <v>0</v>
      </c>
      <c r="J92" s="1">
        <v>0</v>
      </c>
      <c r="K92" s="1">
        <f>K91+Table7[[#This Row],[Calls Off]]</f>
        <v>28227</v>
      </c>
      <c r="L92" s="1">
        <f>L91+Table7[[#This Row],[Calls Ans]]</f>
        <v>25459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39">
        <v>0</v>
      </c>
      <c r="S92" s="139">
        <v>0</v>
      </c>
      <c r="T92" s="285">
        <v>0</v>
      </c>
      <c r="U92" s="1" t="str">
        <f t="shared" si="52"/>
        <v>Normal</v>
      </c>
      <c r="V92" s="1" t="str">
        <f t="shared" si="53"/>
        <v>Normal</v>
      </c>
      <c r="W92" s="18">
        <f t="shared" si="54"/>
        <v>0</v>
      </c>
      <c r="X92" s="18">
        <f t="shared" si="55"/>
        <v>0</v>
      </c>
    </row>
    <row r="93" spans="1:24">
      <c r="A93" s="21">
        <v>45474</v>
      </c>
      <c r="B93" s="16">
        <f>IF(YEAR(Table6[[#This Row],[Date]]) = 2024, WEEKNUM(Table6[[#This Row],[Date]])-13, WEEKNUM(Table6[[#This Row],[Date]])+40)</f>
        <v>14</v>
      </c>
      <c r="C93" s="31" t="s">
        <v>55</v>
      </c>
      <c r="D93" s="295" t="s">
        <v>48</v>
      </c>
      <c r="E93" s="1">
        <v>390</v>
      </c>
      <c r="F93" s="1">
        <v>375</v>
      </c>
      <c r="G93" s="76">
        <f>(E93-E86)/E86</f>
        <v>-0.41616766467065869</v>
      </c>
      <c r="H93" s="76">
        <f>(F93-F86)/F86</f>
        <v>-0.39710610932475882</v>
      </c>
      <c r="I93" s="1">
        <f>E93</f>
        <v>390</v>
      </c>
      <c r="J93" s="1">
        <f>F93</f>
        <v>375</v>
      </c>
      <c r="K93" s="1">
        <f>K92+Table7[[#This Row],[Calls Off]]</f>
        <v>28617</v>
      </c>
      <c r="L93" s="1">
        <f>L92+Table7[[#This Row],[Calls Ans]]</f>
        <v>25834</v>
      </c>
      <c r="M93" s="17">
        <v>0.94</v>
      </c>
      <c r="N93" s="17">
        <v>0.04</v>
      </c>
      <c r="O93" s="17">
        <v>0.96</v>
      </c>
      <c r="P93" s="17">
        <v>0.25</v>
      </c>
      <c r="Q93" s="17">
        <v>1</v>
      </c>
      <c r="R93" s="39">
        <v>87</v>
      </c>
      <c r="S93" s="139">
        <v>5.5555555555555558E-3</v>
      </c>
      <c r="T93" s="285">
        <v>10</v>
      </c>
      <c r="U93" s="1" t="str">
        <f t="shared" si="52"/>
        <v>Normal</v>
      </c>
      <c r="V93" s="1" t="str">
        <f t="shared" si="53"/>
        <v>Outlier</v>
      </c>
      <c r="W93" s="18">
        <f t="shared" si="54"/>
        <v>-0.41616766467065869</v>
      </c>
      <c r="X93" s="18">
        <f t="shared" si="55"/>
        <v>-0.39710610932475882</v>
      </c>
    </row>
    <row r="94" spans="1:24">
      <c r="A94" s="21">
        <v>45475</v>
      </c>
      <c r="B94" s="386">
        <f>IF(YEAR(Table6[[#This Row],[Date]]) = 2024, WEEKNUM(Table6[[#This Row],[Date]])-13, WEEKNUM(Table6[[#This Row],[Date]])+40)</f>
        <v>14</v>
      </c>
      <c r="C94" s="85" t="s">
        <v>49</v>
      </c>
      <c r="D94" s="295" t="s">
        <v>48</v>
      </c>
      <c r="E94" s="1">
        <v>659</v>
      </c>
      <c r="F94" s="1">
        <v>638</v>
      </c>
      <c r="G94" s="76">
        <f t="shared" ref="G94" si="78">(E94-E87)/E87</f>
        <v>0.19168173598553345</v>
      </c>
      <c r="H94" s="76">
        <f t="shared" ref="H94" si="79">(F94-F87)/F87</f>
        <v>0.2608695652173913</v>
      </c>
      <c r="I94" s="1">
        <f t="shared" ref="I94:I98" si="80">I93+E94</f>
        <v>1049</v>
      </c>
      <c r="J94" s="1">
        <f t="shared" ref="J94:J98" si="81">J93+F94</f>
        <v>1013</v>
      </c>
      <c r="K94" s="1">
        <f>K93+Table7[[#This Row],[Calls Off]]</f>
        <v>29276</v>
      </c>
      <c r="L94" s="1">
        <f>L93+Table7[[#This Row],[Calls Ans]]</f>
        <v>26472</v>
      </c>
      <c r="M94" s="17">
        <v>0.91</v>
      </c>
      <c r="N94" s="17">
        <v>0.03</v>
      </c>
      <c r="O94" s="17">
        <v>0.97</v>
      </c>
      <c r="P94" s="17">
        <v>0.34</v>
      </c>
      <c r="Q94" s="17">
        <v>1</v>
      </c>
      <c r="R94" s="39">
        <v>113</v>
      </c>
      <c r="S94" s="139">
        <v>6.2499999999999995E-3</v>
      </c>
      <c r="T94" s="285">
        <v>11</v>
      </c>
      <c r="U94" s="1" t="str">
        <f t="shared" si="52"/>
        <v>Normal</v>
      </c>
      <c r="V94" s="1" t="str">
        <f t="shared" si="53"/>
        <v>Normal</v>
      </c>
      <c r="W94" s="18">
        <f t="shared" si="54"/>
        <v>0.19168173598553345</v>
      </c>
      <c r="X94" s="18">
        <f t="shared" si="55"/>
        <v>0.2608695652173913</v>
      </c>
    </row>
    <row r="95" spans="1:24">
      <c r="A95" s="21">
        <v>45476</v>
      </c>
      <c r="B95" s="16">
        <f>IF(YEAR(Table6[[#This Row],[Date]]) = 2024, WEEKNUM(Table6[[#This Row],[Date]])-13, WEEKNUM(Table6[[#This Row],[Date]])+40)</f>
        <v>14</v>
      </c>
      <c r="C95" s="31" t="s">
        <v>50</v>
      </c>
      <c r="D95" s="295" t="s">
        <v>48</v>
      </c>
      <c r="E95" s="1">
        <v>454</v>
      </c>
      <c r="F95" s="1">
        <v>429</v>
      </c>
      <c r="G95" s="76">
        <f>IFERROR((E95-E88)/E88,0)</f>
        <v>-0.17902350813743217</v>
      </c>
      <c r="H95" s="76">
        <f>IFERROR((F95-F88)/F88,0)</f>
        <v>-0.1588235294117647</v>
      </c>
      <c r="I95" s="1">
        <f t="shared" si="80"/>
        <v>1503</v>
      </c>
      <c r="J95" s="1">
        <f t="shared" si="81"/>
        <v>1442</v>
      </c>
      <c r="K95" s="1">
        <f>K94+Table7[[#This Row],[Calls Off]]</f>
        <v>29730</v>
      </c>
      <c r="L95" s="1">
        <f>L94+Table7[[#This Row],[Calls Ans]]</f>
        <v>26901</v>
      </c>
      <c r="M95" s="17">
        <v>0.89</v>
      </c>
      <c r="N95" s="17">
        <v>0.06</v>
      </c>
      <c r="O95" s="17">
        <v>0.94</v>
      </c>
      <c r="P95" s="17">
        <v>0.21</v>
      </c>
      <c r="Q95" s="17">
        <v>1</v>
      </c>
      <c r="R95" s="39">
        <v>106</v>
      </c>
      <c r="S95" s="139">
        <v>2.7777777777777779E-3</v>
      </c>
      <c r="T95" s="285">
        <v>11</v>
      </c>
      <c r="U95" s="1" t="str">
        <f t="shared" si="52"/>
        <v>Normal</v>
      </c>
      <c r="V95" s="1" t="str">
        <f t="shared" si="53"/>
        <v>Normal</v>
      </c>
      <c r="W95" s="18">
        <f t="shared" si="54"/>
        <v>-0.17902350813743217</v>
      </c>
      <c r="X95" s="18">
        <f t="shared" si="55"/>
        <v>-0.1588235294117647</v>
      </c>
    </row>
    <row r="96" spans="1:24">
      <c r="A96" s="21">
        <v>45477</v>
      </c>
      <c r="B96" s="386">
        <f>IF(YEAR(Table6[[#This Row],[Date]]) = 2024, WEEKNUM(Table6[[#This Row],[Date]])-13, WEEKNUM(Table6[[#This Row],[Date]])+40)</f>
        <v>14</v>
      </c>
      <c r="C96" s="85" t="s">
        <v>51</v>
      </c>
      <c r="D96" s="295" t="s">
        <v>48</v>
      </c>
      <c r="E96" s="1">
        <v>588</v>
      </c>
      <c r="F96" s="1">
        <v>561</v>
      </c>
      <c r="G96" s="76">
        <f t="shared" ref="G96:G98" si="82">(E96-E89)/E89</f>
        <v>0.23270440251572327</v>
      </c>
      <c r="H96" s="76">
        <f t="shared" ref="H96:H98" si="83">(F96-F89)/F89</f>
        <v>0.23026315789473684</v>
      </c>
      <c r="I96" s="1">
        <f t="shared" si="80"/>
        <v>2091</v>
      </c>
      <c r="J96" s="1">
        <f t="shared" si="81"/>
        <v>2003</v>
      </c>
      <c r="K96" s="1">
        <f>K95+Table7[[#This Row],[Calls Off]]</f>
        <v>30318</v>
      </c>
      <c r="L96" s="1">
        <f>L95+Table7[[#This Row],[Calls Ans]]</f>
        <v>27462</v>
      </c>
      <c r="M96" s="17">
        <v>0.89</v>
      </c>
      <c r="N96" s="17">
        <v>0.05</v>
      </c>
      <c r="O96" s="17">
        <v>0.95</v>
      </c>
      <c r="P96" s="17">
        <v>0.33</v>
      </c>
      <c r="Q96" s="17">
        <v>1</v>
      </c>
      <c r="R96" s="39">
        <v>106</v>
      </c>
      <c r="S96" s="139">
        <v>6.9444444444444441E-3</v>
      </c>
      <c r="T96" s="285">
        <v>10</v>
      </c>
      <c r="U96" s="1" t="str">
        <f t="shared" si="52"/>
        <v>Normal</v>
      </c>
      <c r="V96" s="1" t="str">
        <f t="shared" si="53"/>
        <v>Normal</v>
      </c>
      <c r="W96" s="18">
        <f t="shared" si="54"/>
        <v>0.23270440251572327</v>
      </c>
      <c r="X96" s="18">
        <f t="shared" si="55"/>
        <v>0.23026315789473684</v>
      </c>
    </row>
    <row r="97" spans="1:24">
      <c r="A97" s="21">
        <v>45478</v>
      </c>
      <c r="B97" s="16">
        <f>IF(YEAR(Table6[[#This Row],[Date]]) = 2024, WEEKNUM(Table6[[#This Row],[Date]])-13, WEEKNUM(Table6[[#This Row],[Date]])+40)</f>
        <v>14</v>
      </c>
      <c r="C97" s="31" t="s">
        <v>52</v>
      </c>
      <c r="D97" s="295" t="s">
        <v>48</v>
      </c>
      <c r="E97" s="1">
        <v>581</v>
      </c>
      <c r="F97" s="1">
        <v>516</v>
      </c>
      <c r="G97" s="76">
        <f t="shared" si="82"/>
        <v>8.8014981273408247E-2</v>
      </c>
      <c r="H97" s="76">
        <f t="shared" si="83"/>
        <v>3.406813627254509E-2</v>
      </c>
      <c r="I97" s="1">
        <f t="shared" si="80"/>
        <v>2672</v>
      </c>
      <c r="J97" s="1">
        <f t="shared" si="81"/>
        <v>2519</v>
      </c>
      <c r="K97" s="1">
        <f>K96+Table7[[#This Row],[Calls Off]]</f>
        <v>30899</v>
      </c>
      <c r="L97" s="1">
        <f>L96+Table7[[#This Row],[Calls Ans]]</f>
        <v>27978</v>
      </c>
      <c r="M97" s="17">
        <v>0.79</v>
      </c>
      <c r="N97" s="17">
        <v>0.11</v>
      </c>
      <c r="O97" s="17">
        <v>0.89</v>
      </c>
      <c r="P97" s="17">
        <v>0.37</v>
      </c>
      <c r="Q97" s="17">
        <v>1</v>
      </c>
      <c r="R97" s="39">
        <v>126</v>
      </c>
      <c r="S97" s="139">
        <v>2.4305555555555556E-2</v>
      </c>
      <c r="T97" s="285">
        <v>9</v>
      </c>
      <c r="U97" s="1" t="str">
        <f t="shared" si="52"/>
        <v>Normal</v>
      </c>
      <c r="V97" s="1" t="str">
        <f t="shared" si="53"/>
        <v>Normal</v>
      </c>
      <c r="W97" s="18">
        <f t="shared" si="54"/>
        <v>8.8014981273408247E-2</v>
      </c>
      <c r="X97" s="18">
        <f t="shared" si="55"/>
        <v>3.406813627254509E-2</v>
      </c>
    </row>
    <row r="98" spans="1:24">
      <c r="A98" s="21">
        <v>45479</v>
      </c>
      <c r="B98" s="16">
        <f>IF(YEAR(Table6[[#This Row],[Date]]) = 2024, WEEKNUM(Table6[[#This Row],[Date]])-13, WEEKNUM(Table6[[#This Row],[Date]])+40)</f>
        <v>14</v>
      </c>
      <c r="C98" s="31" t="s">
        <v>53</v>
      </c>
      <c r="D98" s="295" t="s">
        <v>48</v>
      </c>
      <c r="E98" s="1">
        <v>259</v>
      </c>
      <c r="F98" s="1">
        <v>239</v>
      </c>
      <c r="G98" s="76">
        <f t="shared" si="82"/>
        <v>-2.2641509433962263E-2</v>
      </c>
      <c r="H98" s="76">
        <f t="shared" si="83"/>
        <v>9.6330275229357804E-2</v>
      </c>
      <c r="I98" s="1">
        <f t="shared" si="80"/>
        <v>2931</v>
      </c>
      <c r="J98" s="1">
        <f t="shared" si="81"/>
        <v>2758</v>
      </c>
      <c r="K98" s="1">
        <f>K97+Table7[[#This Row],[Calls Off]]</f>
        <v>31158</v>
      </c>
      <c r="L98" s="1">
        <f>L97+Table7[[#This Row],[Calls Ans]]</f>
        <v>28217</v>
      </c>
      <c r="M98" s="17">
        <v>0.74</v>
      </c>
      <c r="N98" s="17">
        <v>0.08</v>
      </c>
      <c r="O98" s="17">
        <v>0.92</v>
      </c>
      <c r="P98" s="17">
        <v>0.48</v>
      </c>
      <c r="Q98" s="17">
        <v>1</v>
      </c>
      <c r="R98" s="39">
        <v>123</v>
      </c>
      <c r="S98" s="139">
        <v>1.5972222222222224E-2</v>
      </c>
      <c r="T98" s="285">
        <v>4</v>
      </c>
      <c r="U98" s="1" t="str">
        <f t="shared" si="52"/>
        <v>Normal</v>
      </c>
      <c r="V98" s="1" t="str">
        <f t="shared" si="53"/>
        <v>Normal</v>
      </c>
      <c r="W98" s="18">
        <f t="shared" si="54"/>
        <v>-2.2641509433962263E-2</v>
      </c>
      <c r="X98" s="18">
        <f t="shared" si="55"/>
        <v>9.6330275229357804E-2</v>
      </c>
    </row>
    <row r="99" spans="1:24">
      <c r="A99" s="21">
        <v>45480</v>
      </c>
      <c r="B99" s="16">
        <f>IF(YEAR(Table6[[#This Row],[Date]]) = 2024, WEEKNUM(Table6[[#This Row],[Date]])-13, WEEKNUM(Table6[[#This Row],[Date]])+40)</f>
        <v>15</v>
      </c>
      <c r="C99" s="31" t="s">
        <v>54</v>
      </c>
      <c r="D99" s="295" t="s">
        <v>48</v>
      </c>
      <c r="E99" s="1">
        <v>0</v>
      </c>
      <c r="F99" s="1">
        <v>0</v>
      </c>
      <c r="G99" s="76">
        <v>0</v>
      </c>
      <c r="H99" s="76">
        <v>0</v>
      </c>
      <c r="I99" s="1">
        <v>0</v>
      </c>
      <c r="J99" s="1">
        <v>0</v>
      </c>
      <c r="K99" s="1">
        <f>K98+Table7[[#This Row],[Calls Off]]</f>
        <v>31158</v>
      </c>
      <c r="L99" s="1">
        <f>L98+Table7[[#This Row],[Calls Ans]]</f>
        <v>28217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39">
        <v>0</v>
      </c>
      <c r="S99" s="139">
        <v>0</v>
      </c>
      <c r="T99" s="285">
        <v>0</v>
      </c>
      <c r="U99" s="1" t="str">
        <f t="shared" si="52"/>
        <v>Normal</v>
      </c>
      <c r="V99" s="1" t="str">
        <f t="shared" si="53"/>
        <v>Normal</v>
      </c>
      <c r="W99" s="18">
        <f t="shared" si="54"/>
        <v>0</v>
      </c>
      <c r="X99" s="18">
        <f t="shared" si="55"/>
        <v>0</v>
      </c>
    </row>
    <row r="100" spans="1:24">
      <c r="A100" s="21">
        <v>45481</v>
      </c>
      <c r="B100" s="16">
        <f>IF(YEAR(Table6[[#This Row],[Date]]) = 2024, WEEKNUM(Table6[[#This Row],[Date]])-13, WEEKNUM(Table6[[#This Row],[Date]])+40)</f>
        <v>15</v>
      </c>
      <c r="C100" s="31" t="s">
        <v>55</v>
      </c>
      <c r="D100" s="295" t="s">
        <v>48</v>
      </c>
      <c r="E100" s="1">
        <v>612</v>
      </c>
      <c r="F100" s="1">
        <v>550</v>
      </c>
      <c r="G100" s="76">
        <f>(E100-E93)/E93</f>
        <v>0.56923076923076921</v>
      </c>
      <c r="H100" s="76">
        <f>(F100-F93)/F93</f>
        <v>0.46666666666666667</v>
      </c>
      <c r="I100" s="1">
        <f>I98+E100</f>
        <v>3543</v>
      </c>
      <c r="J100" s="1">
        <f>J98+F100</f>
        <v>3308</v>
      </c>
      <c r="K100" s="1">
        <f>K99+Table7[[#This Row],[Calls Off]]</f>
        <v>31770</v>
      </c>
      <c r="L100" s="1">
        <f>L99+Table7[[#This Row],[Calls Ans]]</f>
        <v>28767</v>
      </c>
      <c r="M100" s="17">
        <v>0.76</v>
      </c>
      <c r="N100" s="17">
        <v>0.1</v>
      </c>
      <c r="O100" s="17">
        <v>0.9</v>
      </c>
      <c r="P100" s="17">
        <v>0.46</v>
      </c>
      <c r="Q100" s="17">
        <v>1</v>
      </c>
      <c r="R100" s="39">
        <v>127</v>
      </c>
      <c r="S100" s="139">
        <v>1.7361111111111112E-2</v>
      </c>
      <c r="T100" s="285">
        <v>8</v>
      </c>
      <c r="U100" s="1" t="str">
        <f t="shared" si="52"/>
        <v>Outlier</v>
      </c>
      <c r="V100" s="1" t="str">
        <f t="shared" si="53"/>
        <v>Outlier</v>
      </c>
      <c r="W100" s="18">
        <f t="shared" si="54"/>
        <v>0.56923076923076921</v>
      </c>
      <c r="X100" s="18">
        <f t="shared" si="55"/>
        <v>0.46666666666666667</v>
      </c>
    </row>
    <row r="101" spans="1:24">
      <c r="A101" s="21">
        <v>45482</v>
      </c>
      <c r="B101" s="16">
        <f>IF(YEAR(Table6[[#This Row],[Date]]) = 2024, WEEKNUM(Table6[[#This Row],[Date]])-13, WEEKNUM(Table6[[#This Row],[Date]])+40)</f>
        <v>15</v>
      </c>
      <c r="C101" s="31" t="s">
        <v>49</v>
      </c>
      <c r="D101" s="295" t="s">
        <v>48</v>
      </c>
      <c r="E101" s="1">
        <v>521</v>
      </c>
      <c r="F101" s="1">
        <v>482</v>
      </c>
      <c r="G101" s="76">
        <f t="shared" ref="G101" si="84">(E101-E94)/E94</f>
        <v>-0.20940819423368739</v>
      </c>
      <c r="H101" s="76">
        <f t="shared" ref="H101" si="85">(F101-F94)/F94</f>
        <v>-0.2445141065830721</v>
      </c>
      <c r="I101" s="1">
        <f t="shared" ref="I101:I105" si="86">I100+E101</f>
        <v>4064</v>
      </c>
      <c r="J101" s="1">
        <f t="shared" ref="J101:J105" si="87">J100+F101</f>
        <v>3790</v>
      </c>
      <c r="K101" s="1">
        <f>K100+Table7[[#This Row],[Calls Off]]</f>
        <v>32291</v>
      </c>
      <c r="L101" s="1">
        <f>L100+Table7[[#This Row],[Calls Ans]]</f>
        <v>29249</v>
      </c>
      <c r="M101" s="17">
        <v>0.86</v>
      </c>
      <c r="N101" s="17">
        <v>7.0000000000000007E-2</v>
      </c>
      <c r="O101" s="17">
        <v>0.93</v>
      </c>
      <c r="P101" s="17">
        <v>0.31</v>
      </c>
      <c r="Q101" s="17">
        <v>1</v>
      </c>
      <c r="R101" s="39">
        <v>115</v>
      </c>
      <c r="S101" s="139">
        <v>1.0416666666666666E-2</v>
      </c>
      <c r="T101" s="285">
        <v>10</v>
      </c>
      <c r="U101" s="1" t="str">
        <f t="shared" si="52"/>
        <v>Normal</v>
      </c>
      <c r="V101" s="1" t="str">
        <f t="shared" si="53"/>
        <v>Normal</v>
      </c>
      <c r="W101" s="18">
        <f t="shared" si="54"/>
        <v>-0.20940819423368739</v>
      </c>
      <c r="X101" s="18">
        <f t="shared" si="55"/>
        <v>-0.2445141065830721</v>
      </c>
    </row>
    <row r="102" spans="1:24">
      <c r="A102" s="21">
        <v>45483</v>
      </c>
      <c r="B102" s="16">
        <f>IF(YEAR(Table6[[#This Row],[Date]]) = 2024, WEEKNUM(Table6[[#This Row],[Date]])-13, WEEKNUM(Table6[[#This Row],[Date]])+40)</f>
        <v>15</v>
      </c>
      <c r="C102" s="31" t="s">
        <v>50</v>
      </c>
      <c r="D102" s="295" t="s">
        <v>48</v>
      </c>
      <c r="E102" s="1">
        <v>525</v>
      </c>
      <c r="F102" s="1">
        <v>424</v>
      </c>
      <c r="G102" s="76">
        <f>IFERROR((E102-E95)/E95,0)</f>
        <v>0.15638766519823788</v>
      </c>
      <c r="H102" s="76">
        <f>IFERROR((F102-F95)/F95,0)</f>
        <v>-1.1655011655011656E-2</v>
      </c>
      <c r="I102" s="1">
        <f t="shared" si="86"/>
        <v>4589</v>
      </c>
      <c r="J102" s="1">
        <f t="shared" si="87"/>
        <v>4214</v>
      </c>
      <c r="K102" s="1">
        <f>K101+Table7[[#This Row],[Calls Off]]</f>
        <v>32816</v>
      </c>
      <c r="L102" s="1">
        <f>L101+Table7[[#This Row],[Calls Ans]]</f>
        <v>29673</v>
      </c>
      <c r="M102" s="17">
        <v>0.54</v>
      </c>
      <c r="N102" s="17">
        <v>0.19</v>
      </c>
      <c r="O102" s="17">
        <v>0.81</v>
      </c>
      <c r="P102" s="17">
        <v>0.34</v>
      </c>
      <c r="Q102" s="17">
        <v>1</v>
      </c>
      <c r="R102" s="39">
        <v>111</v>
      </c>
      <c r="S102" s="139">
        <v>4.0972222222222222E-2</v>
      </c>
      <c r="T102" s="285">
        <v>8</v>
      </c>
      <c r="U102" s="1" t="str">
        <f t="shared" si="52"/>
        <v>Normal</v>
      </c>
      <c r="V102" s="1" t="str">
        <f t="shared" si="53"/>
        <v>Normal</v>
      </c>
      <c r="W102" s="18">
        <f t="shared" si="54"/>
        <v>0.15638766519823788</v>
      </c>
      <c r="X102" s="18">
        <f t="shared" si="55"/>
        <v>-1.1655011655011656E-2</v>
      </c>
    </row>
    <row r="103" spans="1:24">
      <c r="A103" s="21">
        <v>45484</v>
      </c>
      <c r="B103" s="16">
        <f>IF(YEAR(Table6[[#This Row],[Date]]) = 2024, WEEKNUM(Table6[[#This Row],[Date]])-13, WEEKNUM(Table6[[#This Row],[Date]])+40)</f>
        <v>15</v>
      </c>
      <c r="C103" s="31" t="s">
        <v>51</v>
      </c>
      <c r="D103" s="295" t="s">
        <v>48</v>
      </c>
      <c r="E103" s="1">
        <v>520</v>
      </c>
      <c r="F103" s="1">
        <v>481</v>
      </c>
      <c r="G103" s="76">
        <f t="shared" ref="G103:G105" si="88">(E103-E96)/E96</f>
        <v>-0.11564625850340136</v>
      </c>
      <c r="H103" s="76">
        <f t="shared" ref="H103:H105" si="89">(F103-F96)/F96</f>
        <v>-0.14260249554367202</v>
      </c>
      <c r="I103" s="1">
        <f t="shared" si="86"/>
        <v>5109</v>
      </c>
      <c r="J103" s="1">
        <f t="shared" si="87"/>
        <v>4695</v>
      </c>
      <c r="K103" s="1">
        <f>K102+Table7[[#This Row],[Calls Off]]</f>
        <v>33336</v>
      </c>
      <c r="L103" s="1">
        <f>L102+Table7[[#This Row],[Calls Ans]]</f>
        <v>30154</v>
      </c>
      <c r="M103" s="17">
        <v>0.87</v>
      </c>
      <c r="N103" s="17">
        <v>0.08</v>
      </c>
      <c r="O103" s="17">
        <v>0.92</v>
      </c>
      <c r="P103" s="17">
        <v>0.3</v>
      </c>
      <c r="Q103" s="17">
        <v>1</v>
      </c>
      <c r="R103" s="39">
        <v>111</v>
      </c>
      <c r="S103" s="139">
        <v>1.3888888888888888E-2</v>
      </c>
      <c r="T103" s="285">
        <v>9</v>
      </c>
      <c r="U103" s="1" t="str">
        <f t="shared" si="52"/>
        <v>Normal</v>
      </c>
      <c r="V103" s="1" t="str">
        <f t="shared" si="53"/>
        <v>Normal</v>
      </c>
      <c r="W103" s="18">
        <f t="shared" si="54"/>
        <v>-0.11564625850340136</v>
      </c>
      <c r="X103" s="18">
        <f t="shared" si="55"/>
        <v>-0.14260249554367202</v>
      </c>
    </row>
    <row r="104" spans="1:24">
      <c r="A104" s="21">
        <v>45485</v>
      </c>
      <c r="B104" s="16">
        <f>IF(YEAR(Table6[[#This Row],[Date]]) = 2024, WEEKNUM(Table6[[#This Row],[Date]])-13, WEEKNUM(Table6[[#This Row],[Date]])+40)</f>
        <v>15</v>
      </c>
      <c r="C104" s="31" t="s">
        <v>52</v>
      </c>
      <c r="D104" s="295" t="s">
        <v>48</v>
      </c>
      <c r="E104" s="1">
        <v>439</v>
      </c>
      <c r="F104" s="1">
        <v>416</v>
      </c>
      <c r="G104" s="76">
        <f t="shared" si="88"/>
        <v>-0.24440619621342513</v>
      </c>
      <c r="H104" s="76">
        <f t="shared" si="89"/>
        <v>-0.19379844961240311</v>
      </c>
      <c r="I104" s="1">
        <f t="shared" si="86"/>
        <v>5548</v>
      </c>
      <c r="J104" s="1">
        <f t="shared" si="87"/>
        <v>5111</v>
      </c>
      <c r="K104" s="1">
        <f>K103+Table7[[#This Row],[Calls Off]]</f>
        <v>33775</v>
      </c>
      <c r="L104" s="1">
        <f>L103+Table7[[#This Row],[Calls Ans]]</f>
        <v>30570</v>
      </c>
      <c r="M104" s="17">
        <v>0.83</v>
      </c>
      <c r="N104" s="17">
        <v>0.05</v>
      </c>
      <c r="O104" s="17">
        <v>0.95</v>
      </c>
      <c r="P104" s="17">
        <v>0.28999999999999998</v>
      </c>
      <c r="Q104" s="17">
        <v>1</v>
      </c>
      <c r="R104" s="39">
        <v>111</v>
      </c>
      <c r="S104" s="139">
        <v>9.7222222222222224E-3</v>
      </c>
      <c r="T104" s="285">
        <v>8</v>
      </c>
      <c r="U104" s="1" t="str">
        <f t="shared" si="52"/>
        <v>Normal</v>
      </c>
      <c r="V104" s="1" t="str">
        <f t="shared" si="53"/>
        <v>Normal</v>
      </c>
      <c r="W104" s="18">
        <f t="shared" si="54"/>
        <v>-0.24440619621342513</v>
      </c>
      <c r="X104" s="18">
        <f t="shared" si="55"/>
        <v>-0.19379844961240311</v>
      </c>
    </row>
    <row r="105" spans="1:24">
      <c r="A105" s="21">
        <v>45486</v>
      </c>
      <c r="B105" s="16">
        <f>IF(YEAR(Table6[[#This Row],[Date]]) = 2024, WEEKNUM(Table6[[#This Row],[Date]])-13, WEEKNUM(Table6[[#This Row],[Date]])+40)</f>
        <v>15</v>
      </c>
      <c r="C105" s="31" t="s">
        <v>53</v>
      </c>
      <c r="D105" s="295" t="s">
        <v>48</v>
      </c>
      <c r="E105" s="1">
        <v>324</v>
      </c>
      <c r="F105" s="1">
        <v>244</v>
      </c>
      <c r="G105" s="76">
        <f t="shared" si="88"/>
        <v>0.25096525096525096</v>
      </c>
      <c r="H105" s="76">
        <f t="shared" si="89"/>
        <v>2.0920502092050208E-2</v>
      </c>
      <c r="I105" s="1">
        <f t="shared" si="86"/>
        <v>5872</v>
      </c>
      <c r="J105" s="1">
        <f t="shared" si="87"/>
        <v>5355</v>
      </c>
      <c r="K105" s="1">
        <f>K104+Table7[[#This Row],[Calls Off]]</f>
        <v>34099</v>
      </c>
      <c r="L105" s="1">
        <f>L104+Table7[[#This Row],[Calls Ans]]</f>
        <v>30814</v>
      </c>
      <c r="M105" s="17">
        <v>0.52</v>
      </c>
      <c r="N105" s="17">
        <v>0.25</v>
      </c>
      <c r="O105" s="17">
        <v>0.75</v>
      </c>
      <c r="P105" s="17">
        <v>0.35</v>
      </c>
      <c r="Q105" s="17">
        <v>0.99</v>
      </c>
      <c r="R105" s="39">
        <v>124</v>
      </c>
      <c r="S105" s="139">
        <v>9.3055555555555558E-2</v>
      </c>
      <c r="T105" s="285">
        <v>4</v>
      </c>
      <c r="U105" s="1" t="str">
        <f t="shared" si="52"/>
        <v>Normal</v>
      </c>
      <c r="V105" s="1" t="str">
        <f t="shared" si="53"/>
        <v>Normal</v>
      </c>
      <c r="W105" s="18">
        <f t="shared" si="54"/>
        <v>0.25096525096525096</v>
      </c>
      <c r="X105" s="18">
        <f t="shared" si="55"/>
        <v>2.0920502092050208E-2</v>
      </c>
    </row>
    <row r="106" spans="1:24">
      <c r="A106" s="21">
        <v>45487</v>
      </c>
      <c r="B106" s="16">
        <f>IF(YEAR(Table6[[#This Row],[Date]]) = 2024, WEEKNUM(Table6[[#This Row],[Date]])-13, WEEKNUM(Table6[[#This Row],[Date]])+40)</f>
        <v>16</v>
      </c>
      <c r="C106" s="31" t="s">
        <v>54</v>
      </c>
      <c r="D106" s="295" t="s">
        <v>48</v>
      </c>
      <c r="E106" s="1">
        <v>0</v>
      </c>
      <c r="F106" s="1">
        <v>0</v>
      </c>
      <c r="G106" s="76">
        <v>0</v>
      </c>
      <c r="H106" s="76">
        <v>0</v>
      </c>
      <c r="I106" s="1">
        <v>0</v>
      </c>
      <c r="J106" s="1">
        <v>0</v>
      </c>
      <c r="K106" s="1">
        <f>K105+Table7[[#This Row],[Calls Off]]</f>
        <v>34099</v>
      </c>
      <c r="L106" s="1">
        <f>L105+Table7[[#This Row],[Calls Ans]]</f>
        <v>30814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39">
        <v>0</v>
      </c>
      <c r="S106" s="139">
        <v>0</v>
      </c>
      <c r="T106" s="285">
        <v>0</v>
      </c>
      <c r="U106" s="1" t="str">
        <f t="shared" si="52"/>
        <v>Normal</v>
      </c>
      <c r="V106" s="1" t="str">
        <f t="shared" si="53"/>
        <v>Normal</v>
      </c>
      <c r="W106" s="18">
        <f t="shared" si="54"/>
        <v>0</v>
      </c>
      <c r="X106" s="18">
        <f t="shared" si="55"/>
        <v>0</v>
      </c>
    </row>
    <row r="107" spans="1:24">
      <c r="A107" s="21">
        <v>45488</v>
      </c>
      <c r="B107" s="16">
        <f>IF(YEAR(Table6[[#This Row],[Date]]) = 2024, WEEKNUM(Table6[[#This Row],[Date]])-13, WEEKNUM(Table6[[#This Row],[Date]])+40)</f>
        <v>16</v>
      </c>
      <c r="C107" s="31" t="s">
        <v>55</v>
      </c>
      <c r="D107" s="295" t="s">
        <v>48</v>
      </c>
      <c r="E107" s="1">
        <v>552</v>
      </c>
      <c r="F107" s="1">
        <v>485</v>
      </c>
      <c r="G107" s="76">
        <f>(E107-E100)/E100</f>
        <v>-9.8039215686274508E-2</v>
      </c>
      <c r="H107" s="76">
        <f>(F107-F100)/F100</f>
        <v>-0.11818181818181818</v>
      </c>
      <c r="I107" s="1">
        <f>I105+E107</f>
        <v>6424</v>
      </c>
      <c r="J107" s="1">
        <f>J105+F107</f>
        <v>5840</v>
      </c>
      <c r="K107" s="1">
        <f>K106+Table7[[#This Row],[Calls Off]]</f>
        <v>34651</v>
      </c>
      <c r="L107" s="1">
        <f>L106+Table7[[#This Row],[Calls Ans]]</f>
        <v>31299</v>
      </c>
      <c r="M107" s="17">
        <v>0.83</v>
      </c>
      <c r="N107" s="17">
        <v>0.12</v>
      </c>
      <c r="O107" s="17">
        <v>0.88</v>
      </c>
      <c r="P107" s="17">
        <v>0.22</v>
      </c>
      <c r="Q107" s="17">
        <v>1</v>
      </c>
      <c r="R107" s="39">
        <v>123</v>
      </c>
      <c r="S107" s="139">
        <v>1.7361111111111112E-2</v>
      </c>
      <c r="T107" s="285">
        <v>12</v>
      </c>
      <c r="U107" s="1" t="str">
        <f t="shared" si="52"/>
        <v>Normal</v>
      </c>
      <c r="V107" s="1" t="str">
        <f t="shared" si="53"/>
        <v>Normal</v>
      </c>
      <c r="W107" s="18">
        <f t="shared" si="54"/>
        <v>-9.8039215686274508E-2</v>
      </c>
      <c r="X107" s="18">
        <f t="shared" si="55"/>
        <v>-0.11818181818181818</v>
      </c>
    </row>
    <row r="108" spans="1:24">
      <c r="A108" s="21">
        <v>45489</v>
      </c>
      <c r="B108" s="16">
        <f>IF(YEAR(Table6[[#This Row],[Date]]) = 2024, WEEKNUM(Table6[[#This Row],[Date]])-13, WEEKNUM(Table6[[#This Row],[Date]])+40)</f>
        <v>16</v>
      </c>
      <c r="C108" s="31" t="s">
        <v>49</v>
      </c>
      <c r="D108" s="295" t="s">
        <v>48</v>
      </c>
      <c r="E108" s="1">
        <v>570</v>
      </c>
      <c r="F108" s="1">
        <v>543</v>
      </c>
      <c r="G108" s="76">
        <f t="shared" ref="G108" si="90">(E108-E101)/E101</f>
        <v>9.4049904030710174E-2</v>
      </c>
      <c r="H108" s="76">
        <f t="shared" ref="H108" si="91">(F108-F101)/F101</f>
        <v>0.12655601659751037</v>
      </c>
      <c r="I108" s="1">
        <f t="shared" ref="I108:I112" si="92">I107+E108</f>
        <v>6994</v>
      </c>
      <c r="J108" s="1">
        <f t="shared" ref="J108:J112" si="93">J107+F108</f>
        <v>6383</v>
      </c>
      <c r="K108" s="1">
        <f>K107+Table7[[#This Row],[Calls Off]]</f>
        <v>35221</v>
      </c>
      <c r="L108" s="1">
        <f>L107+Table7[[#This Row],[Calls Ans]]</f>
        <v>31842</v>
      </c>
      <c r="M108" s="17">
        <v>0.9</v>
      </c>
      <c r="N108" s="17">
        <v>0.05</v>
      </c>
      <c r="O108" s="17">
        <v>0.95</v>
      </c>
      <c r="P108" s="17">
        <v>0.27</v>
      </c>
      <c r="Q108" s="17">
        <v>1</v>
      </c>
      <c r="R108" s="39">
        <v>114</v>
      </c>
      <c r="S108" s="139">
        <v>8.3333333333333332E-3</v>
      </c>
      <c r="T108" s="285">
        <v>11</v>
      </c>
      <c r="U108" s="1" t="str">
        <f t="shared" si="52"/>
        <v>Normal</v>
      </c>
      <c r="V108" s="1" t="str">
        <f t="shared" si="53"/>
        <v>Normal</v>
      </c>
      <c r="W108" s="18">
        <f t="shared" si="54"/>
        <v>9.4049904030710174E-2</v>
      </c>
      <c r="X108" s="18">
        <f t="shared" si="55"/>
        <v>0.12655601659751037</v>
      </c>
    </row>
    <row r="109" spans="1:24">
      <c r="A109" s="21">
        <v>45490</v>
      </c>
      <c r="B109" s="16">
        <f>IF(YEAR(Table6[[#This Row],[Date]]) = 2024, WEEKNUM(Table6[[#This Row],[Date]])-13, WEEKNUM(Table6[[#This Row],[Date]])+40)</f>
        <v>16</v>
      </c>
      <c r="C109" s="31" t="s">
        <v>50</v>
      </c>
      <c r="D109" s="295" t="s">
        <v>48</v>
      </c>
      <c r="E109" s="1">
        <v>653</v>
      </c>
      <c r="F109" s="1">
        <v>610</v>
      </c>
      <c r="G109" s="76">
        <f>IFERROR((E109-E102)/E102,0)</f>
        <v>0.24380952380952381</v>
      </c>
      <c r="H109" s="76">
        <f>IFERROR((F109-F102)/F102,0)</f>
        <v>0.43867924528301888</v>
      </c>
      <c r="I109" s="1">
        <f t="shared" si="92"/>
        <v>7647</v>
      </c>
      <c r="J109" s="1">
        <f t="shared" si="93"/>
        <v>6993</v>
      </c>
      <c r="K109" s="1">
        <f>K108+Table7[[#This Row],[Calls Off]]</f>
        <v>35874</v>
      </c>
      <c r="L109" s="1">
        <f>L108+Table7[[#This Row],[Calls Ans]]</f>
        <v>32452</v>
      </c>
      <c r="M109" s="17">
        <v>0.87</v>
      </c>
      <c r="N109" s="17">
        <v>7.0000000000000007E-2</v>
      </c>
      <c r="O109" s="17">
        <v>0.93</v>
      </c>
      <c r="P109" s="17">
        <v>0.3</v>
      </c>
      <c r="Q109" s="17">
        <v>0.99</v>
      </c>
      <c r="R109" s="39">
        <v>112</v>
      </c>
      <c r="S109" s="139">
        <v>1.4583333333333332E-2</v>
      </c>
      <c r="T109" s="285">
        <v>11</v>
      </c>
      <c r="U109" s="1" t="str">
        <f t="shared" si="52"/>
        <v>Normal</v>
      </c>
      <c r="V109" s="1" t="str">
        <f t="shared" si="53"/>
        <v>Outlier</v>
      </c>
      <c r="W109" s="18">
        <f t="shared" si="54"/>
        <v>0.24380952380952381</v>
      </c>
      <c r="X109" s="18">
        <f t="shared" si="55"/>
        <v>0.43867924528301888</v>
      </c>
    </row>
    <row r="110" spans="1:24">
      <c r="A110" s="21">
        <v>45491</v>
      </c>
      <c r="B110" s="16">
        <f>IF(YEAR(Table6[[#This Row],[Date]]) = 2024, WEEKNUM(Table6[[#This Row],[Date]])-13, WEEKNUM(Table6[[#This Row],[Date]])+40)</f>
        <v>16</v>
      </c>
      <c r="C110" s="31" t="s">
        <v>51</v>
      </c>
      <c r="D110" s="295" t="s">
        <v>48</v>
      </c>
      <c r="E110" s="1">
        <v>659</v>
      </c>
      <c r="F110" s="1">
        <v>589</v>
      </c>
      <c r="G110" s="76">
        <f t="shared" ref="G110:G112" si="94">(E110-E103)/E103</f>
        <v>0.2673076923076923</v>
      </c>
      <c r="H110" s="76">
        <f t="shared" ref="H110:H112" si="95">(F110-F103)/F103</f>
        <v>0.22453222453222454</v>
      </c>
      <c r="I110" s="1">
        <f t="shared" si="92"/>
        <v>8306</v>
      </c>
      <c r="J110" s="1">
        <f t="shared" si="93"/>
        <v>7582</v>
      </c>
      <c r="K110" s="1">
        <f>K109+Table7[[#This Row],[Calls Off]]</f>
        <v>36533</v>
      </c>
      <c r="L110" s="1">
        <f>L109+Table7[[#This Row],[Calls Ans]]</f>
        <v>33041</v>
      </c>
      <c r="M110" s="17">
        <v>0.68</v>
      </c>
      <c r="N110" s="17">
        <v>0.11</v>
      </c>
      <c r="O110" s="17">
        <v>0.89</v>
      </c>
      <c r="P110" s="17">
        <v>0.42</v>
      </c>
      <c r="Q110" s="17">
        <v>1</v>
      </c>
      <c r="R110" s="39">
        <v>120</v>
      </c>
      <c r="S110" s="139">
        <v>2.2222222222222223E-2</v>
      </c>
      <c r="T110" s="285">
        <v>8</v>
      </c>
      <c r="U110" s="1" t="str">
        <f t="shared" si="52"/>
        <v>Normal</v>
      </c>
      <c r="V110" s="1" t="str">
        <f t="shared" si="53"/>
        <v>Normal</v>
      </c>
      <c r="W110" s="18">
        <f t="shared" si="54"/>
        <v>0.2673076923076923</v>
      </c>
      <c r="X110" s="18">
        <f t="shared" si="55"/>
        <v>0.22453222453222454</v>
      </c>
    </row>
    <row r="111" spans="1:24">
      <c r="A111" s="21">
        <v>45492</v>
      </c>
      <c r="B111" s="16">
        <f>IF(YEAR(Table6[[#This Row],[Date]]) = 2024, WEEKNUM(Table6[[#This Row],[Date]])-13, WEEKNUM(Table6[[#This Row],[Date]])+40)</f>
        <v>16</v>
      </c>
      <c r="C111" s="31" t="s">
        <v>52</v>
      </c>
      <c r="D111" s="295" t="s">
        <v>48</v>
      </c>
      <c r="E111" s="1">
        <v>580</v>
      </c>
      <c r="F111" s="1">
        <v>532</v>
      </c>
      <c r="G111" s="76">
        <f t="shared" si="94"/>
        <v>0.32118451025056949</v>
      </c>
      <c r="H111" s="76">
        <f t="shared" si="95"/>
        <v>0.27884615384615385</v>
      </c>
      <c r="I111" s="1">
        <f t="shared" si="92"/>
        <v>8886</v>
      </c>
      <c r="J111" s="1">
        <f t="shared" si="93"/>
        <v>8114</v>
      </c>
      <c r="K111" s="1">
        <f>K110+Table7[[#This Row],[Calls Off]]</f>
        <v>37113</v>
      </c>
      <c r="L111" s="1">
        <f>L110+Table7[[#This Row],[Calls Ans]]</f>
        <v>33573</v>
      </c>
      <c r="M111" s="17">
        <v>0.8</v>
      </c>
      <c r="N111" s="17">
        <v>0.08</v>
      </c>
      <c r="O111" s="17">
        <v>0.92</v>
      </c>
      <c r="P111" s="17">
        <v>0.34</v>
      </c>
      <c r="Q111" s="17">
        <v>1</v>
      </c>
      <c r="R111" s="39">
        <v>120</v>
      </c>
      <c r="S111" s="139">
        <v>1.5277777777777777E-2</v>
      </c>
      <c r="T111" s="285">
        <v>9</v>
      </c>
      <c r="U111" s="1" t="str">
        <f t="shared" si="52"/>
        <v>Normal</v>
      </c>
      <c r="V111" s="1" t="str">
        <f t="shared" si="53"/>
        <v>Normal</v>
      </c>
      <c r="W111" s="18">
        <f t="shared" si="54"/>
        <v>0.32118451025056949</v>
      </c>
      <c r="X111" s="18">
        <f t="shared" si="55"/>
        <v>0.27884615384615385</v>
      </c>
    </row>
    <row r="112" spans="1:24">
      <c r="A112" s="21">
        <v>45493</v>
      </c>
      <c r="B112" s="16">
        <f>IF(YEAR(Table6[[#This Row],[Date]]) = 2024, WEEKNUM(Table6[[#This Row],[Date]])-13, WEEKNUM(Table6[[#This Row],[Date]])+40)</f>
        <v>16</v>
      </c>
      <c r="C112" s="31" t="s">
        <v>53</v>
      </c>
      <c r="D112" s="295" t="s">
        <v>48</v>
      </c>
      <c r="E112" s="1">
        <v>320</v>
      </c>
      <c r="F112" s="1">
        <v>202</v>
      </c>
      <c r="G112" s="76">
        <f t="shared" si="94"/>
        <v>-1.2345679012345678E-2</v>
      </c>
      <c r="H112" s="76">
        <f t="shared" si="95"/>
        <v>-0.1721311475409836</v>
      </c>
      <c r="I112" s="1">
        <f t="shared" si="92"/>
        <v>9206</v>
      </c>
      <c r="J112" s="1">
        <f t="shared" si="93"/>
        <v>8316</v>
      </c>
      <c r="K112" s="1">
        <f>K111+Table7[[#This Row],[Calls Off]]</f>
        <v>37433</v>
      </c>
      <c r="L112" s="1">
        <f>L111+Table7[[#This Row],[Calls Ans]]</f>
        <v>33775</v>
      </c>
      <c r="M112" s="17">
        <v>0.25</v>
      </c>
      <c r="N112" s="17">
        <v>0.37</v>
      </c>
      <c r="O112" s="17">
        <v>0.73</v>
      </c>
      <c r="P112" s="17">
        <v>0.61</v>
      </c>
      <c r="Q112" s="17">
        <v>1</v>
      </c>
      <c r="R112" s="39">
        <v>129</v>
      </c>
      <c r="S112" s="139">
        <v>0.10833333333333334</v>
      </c>
      <c r="T112" s="285">
        <v>3</v>
      </c>
      <c r="U112" s="1" t="str">
        <f t="shared" si="52"/>
        <v>Normal</v>
      </c>
      <c r="V112" s="1" t="str">
        <f t="shared" si="53"/>
        <v>Normal</v>
      </c>
      <c r="W112" s="18">
        <f t="shared" si="54"/>
        <v>-1.2345679012345678E-2</v>
      </c>
      <c r="X112" s="18">
        <f t="shared" si="55"/>
        <v>-0.1721311475409836</v>
      </c>
    </row>
    <row r="113" spans="1:24">
      <c r="A113" s="21">
        <v>45494</v>
      </c>
      <c r="B113" s="16">
        <f>IF(YEAR(Table6[[#This Row],[Date]]) = 2024, WEEKNUM(Table6[[#This Row],[Date]])-13, WEEKNUM(Table6[[#This Row],[Date]])+40)</f>
        <v>17</v>
      </c>
      <c r="C113" s="31" t="s">
        <v>54</v>
      </c>
      <c r="D113" s="295" t="s">
        <v>48</v>
      </c>
      <c r="E113" s="1">
        <v>0</v>
      </c>
      <c r="F113" s="1">
        <v>0</v>
      </c>
      <c r="G113" s="76">
        <v>0</v>
      </c>
      <c r="H113" s="76">
        <v>0</v>
      </c>
      <c r="I113" s="1">
        <v>0</v>
      </c>
      <c r="J113" s="1">
        <v>0</v>
      </c>
      <c r="K113" s="1">
        <f>K112+Table7[[#This Row],[Calls Off]]</f>
        <v>37433</v>
      </c>
      <c r="L113" s="1">
        <f>L112+Table7[[#This Row],[Calls Ans]]</f>
        <v>33775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39">
        <v>0</v>
      </c>
      <c r="S113" s="139">
        <v>0</v>
      </c>
      <c r="T113" s="285">
        <v>0</v>
      </c>
      <c r="U113" s="1" t="str">
        <f t="shared" si="52"/>
        <v>Normal</v>
      </c>
      <c r="V113" s="1" t="str">
        <f t="shared" si="53"/>
        <v>Normal</v>
      </c>
      <c r="W113" s="18">
        <f t="shared" si="54"/>
        <v>0</v>
      </c>
      <c r="X113" s="18">
        <f t="shared" si="55"/>
        <v>0</v>
      </c>
    </row>
    <row r="114" spans="1:24">
      <c r="A114" s="21">
        <v>45495</v>
      </c>
      <c r="B114" s="16">
        <f>IF(YEAR(Table6[[#This Row],[Date]]) = 2024, WEEKNUM(Table6[[#This Row],[Date]])-13, WEEKNUM(Table6[[#This Row],[Date]])+40)</f>
        <v>17</v>
      </c>
      <c r="C114" s="31" t="s">
        <v>55</v>
      </c>
      <c r="D114" s="295" t="s">
        <v>48</v>
      </c>
      <c r="E114" s="1">
        <v>2</v>
      </c>
      <c r="F114" s="1">
        <v>2</v>
      </c>
      <c r="G114" s="76">
        <f>(E114-E107)/E107</f>
        <v>-0.99637681159420288</v>
      </c>
      <c r="H114" s="76">
        <f>(F114-F107)/F107</f>
        <v>-0.99587628865979383</v>
      </c>
      <c r="I114" s="1">
        <f>I112+E114</f>
        <v>9208</v>
      </c>
      <c r="J114" s="1">
        <f>J112+F114</f>
        <v>8318</v>
      </c>
      <c r="K114" s="1">
        <f>K113+Table7[[#This Row],[Calls Off]]</f>
        <v>37435</v>
      </c>
      <c r="L114" s="1">
        <f>L113+Table7[[#This Row],[Calls Ans]]</f>
        <v>33777</v>
      </c>
      <c r="M114" s="17">
        <v>1</v>
      </c>
      <c r="N114" s="17">
        <v>0</v>
      </c>
      <c r="O114" s="17">
        <v>1</v>
      </c>
      <c r="P114" s="17">
        <v>0</v>
      </c>
      <c r="Q114" s="17">
        <v>1</v>
      </c>
      <c r="R114" s="39">
        <v>58</v>
      </c>
      <c r="S114" s="139">
        <v>7.6388888888888886E-3</v>
      </c>
      <c r="T114" s="285">
        <v>7</v>
      </c>
      <c r="U114" s="1" t="str">
        <f t="shared" si="52"/>
        <v>Outlier</v>
      </c>
      <c r="V114" s="1" t="str">
        <f t="shared" si="53"/>
        <v>Outlier</v>
      </c>
      <c r="W114" s="18">
        <f t="shared" si="54"/>
        <v>-0.99637681159420288</v>
      </c>
      <c r="X114" s="18">
        <f t="shared" si="55"/>
        <v>-0.99587628865979383</v>
      </c>
    </row>
    <row r="115" spans="1:24">
      <c r="A115" s="21">
        <v>45496</v>
      </c>
      <c r="B115" s="16">
        <f>IF(YEAR(Table6[[#This Row],[Date]]) = 2024, WEEKNUM(Table6[[#This Row],[Date]])-13, WEEKNUM(Table6[[#This Row],[Date]])+40)</f>
        <v>17</v>
      </c>
      <c r="C115" s="31" t="s">
        <v>49</v>
      </c>
      <c r="D115" s="295" t="s">
        <v>48</v>
      </c>
      <c r="E115" s="1">
        <v>786</v>
      </c>
      <c r="F115" s="1">
        <v>526</v>
      </c>
      <c r="G115" s="76">
        <f t="shared" ref="G115" si="96">(E115-E108)/E108</f>
        <v>0.37894736842105264</v>
      </c>
      <c r="H115" s="76">
        <f t="shared" ref="H115" si="97">(F115-F108)/F108</f>
        <v>-3.1307550644567222E-2</v>
      </c>
      <c r="I115" s="1">
        <f t="shared" ref="I115:I119" si="98">I114+E115</f>
        <v>9994</v>
      </c>
      <c r="J115" s="1">
        <f t="shared" ref="J115:J119" si="99">J114+F115</f>
        <v>8844</v>
      </c>
      <c r="K115" s="1">
        <f>K114+Table7[[#This Row],[Calls Off]]</f>
        <v>38221</v>
      </c>
      <c r="L115" s="1">
        <f>L114+Table7[[#This Row],[Calls Ans]]</f>
        <v>34303</v>
      </c>
      <c r="M115" s="17">
        <v>0.39</v>
      </c>
      <c r="N115" s="17">
        <v>0.33</v>
      </c>
      <c r="O115" s="17">
        <v>0.67</v>
      </c>
      <c r="P115" s="17">
        <v>0.45</v>
      </c>
      <c r="Q115" s="17">
        <v>1</v>
      </c>
      <c r="R115" s="39">
        <v>124</v>
      </c>
      <c r="S115" s="139">
        <v>0.10277777777777779</v>
      </c>
      <c r="T115" s="285">
        <v>8</v>
      </c>
      <c r="U115" s="1" t="str">
        <f t="shared" si="52"/>
        <v>Normal</v>
      </c>
      <c r="V115" s="1" t="str">
        <f t="shared" si="53"/>
        <v>Normal</v>
      </c>
      <c r="W115" s="18">
        <f t="shared" si="54"/>
        <v>0.37894736842105264</v>
      </c>
      <c r="X115" s="18">
        <f t="shared" si="55"/>
        <v>-3.1307550644567222E-2</v>
      </c>
    </row>
    <row r="116" spans="1:24">
      <c r="A116" s="21">
        <v>45497</v>
      </c>
      <c r="B116" s="16">
        <f>IF(YEAR(Table6[[#This Row],[Date]]) = 2024, WEEKNUM(Table6[[#This Row],[Date]])-13, WEEKNUM(Table6[[#This Row],[Date]])+40)</f>
        <v>17</v>
      </c>
      <c r="C116" s="31" t="s">
        <v>50</v>
      </c>
      <c r="D116" s="295" t="s">
        <v>48</v>
      </c>
      <c r="E116" s="1">
        <v>601</v>
      </c>
      <c r="F116" s="1">
        <v>472</v>
      </c>
      <c r="G116" s="76">
        <f>IFERROR((E116-E109)/E109,0)</f>
        <v>-7.9632465543644712E-2</v>
      </c>
      <c r="H116" s="76">
        <f>IFERROR((F116-F109)/F109,0)</f>
        <v>-0.2262295081967213</v>
      </c>
      <c r="I116" s="1">
        <f t="shared" si="98"/>
        <v>10595</v>
      </c>
      <c r="J116" s="1">
        <f t="shared" si="99"/>
        <v>9316</v>
      </c>
      <c r="K116" s="1">
        <f>K115+Table7[[#This Row],[Calls Off]]</f>
        <v>38822</v>
      </c>
      <c r="L116" s="1">
        <f>L115+Table7[[#This Row],[Calls Ans]]</f>
        <v>34775</v>
      </c>
      <c r="M116" s="17">
        <v>0.53</v>
      </c>
      <c r="N116" s="17">
        <v>0.21</v>
      </c>
      <c r="O116" s="17">
        <v>0.79</v>
      </c>
      <c r="P116" s="17">
        <v>0.3</v>
      </c>
      <c r="Q116" s="17">
        <v>1</v>
      </c>
      <c r="R116" s="39">
        <v>111</v>
      </c>
      <c r="S116" s="139">
        <v>4.7222222222222221E-2</v>
      </c>
      <c r="T116" s="285">
        <v>8</v>
      </c>
      <c r="U116" s="1" t="str">
        <f t="shared" si="52"/>
        <v>Normal</v>
      </c>
      <c r="V116" s="1" t="str">
        <f t="shared" si="53"/>
        <v>Normal</v>
      </c>
      <c r="W116" s="18">
        <f t="shared" si="54"/>
        <v>-7.9632465543644712E-2</v>
      </c>
      <c r="X116" s="18">
        <f t="shared" si="55"/>
        <v>-0.2262295081967213</v>
      </c>
    </row>
    <row r="117" spans="1:24">
      <c r="A117" s="21">
        <v>45498</v>
      </c>
      <c r="B117" s="16">
        <f>IF(YEAR(Table6[[#This Row],[Date]]) = 2024, WEEKNUM(Table6[[#This Row],[Date]])-13, WEEKNUM(Table6[[#This Row],[Date]])+40)</f>
        <v>17</v>
      </c>
      <c r="C117" s="31" t="s">
        <v>51</v>
      </c>
      <c r="D117" s="295" t="s">
        <v>48</v>
      </c>
      <c r="E117" s="1">
        <v>548</v>
      </c>
      <c r="F117" s="1">
        <v>525</v>
      </c>
      <c r="G117" s="76">
        <f t="shared" ref="G117:G119" si="100">(E117-E110)/E110</f>
        <v>-0.16843702579666162</v>
      </c>
      <c r="H117" s="76">
        <f t="shared" ref="H117:H119" si="101">(F117-F110)/F110</f>
        <v>-0.10865874363327674</v>
      </c>
      <c r="I117" s="1">
        <f t="shared" si="98"/>
        <v>11143</v>
      </c>
      <c r="J117" s="1">
        <f t="shared" si="99"/>
        <v>9841</v>
      </c>
      <c r="K117" s="1">
        <f>K116+Table7[[#This Row],[Calls Off]]</f>
        <v>39370</v>
      </c>
      <c r="L117" s="1">
        <f>L116+Table7[[#This Row],[Calls Ans]]</f>
        <v>35300</v>
      </c>
      <c r="M117" s="17">
        <v>0.93</v>
      </c>
      <c r="N117" s="17">
        <v>0.04</v>
      </c>
      <c r="O117" s="17">
        <v>0.96</v>
      </c>
      <c r="P117" s="17">
        <v>0.34</v>
      </c>
      <c r="Q117" s="17">
        <v>1</v>
      </c>
      <c r="R117" s="39">
        <v>119</v>
      </c>
      <c r="S117" s="139">
        <v>4.8611111111111112E-3</v>
      </c>
      <c r="T117" s="285">
        <v>10</v>
      </c>
      <c r="U117" s="1" t="str">
        <f t="shared" si="52"/>
        <v>Normal</v>
      </c>
      <c r="V117" s="1" t="str">
        <f t="shared" si="53"/>
        <v>Normal</v>
      </c>
      <c r="W117" s="18">
        <f t="shared" si="54"/>
        <v>-0.16843702579666162</v>
      </c>
      <c r="X117" s="18">
        <f t="shared" si="55"/>
        <v>-0.10865874363327674</v>
      </c>
    </row>
    <row r="118" spans="1:24">
      <c r="A118" s="21">
        <v>45499</v>
      </c>
      <c r="B118" s="16">
        <f>IF(YEAR(Table6[[#This Row],[Date]]) = 2024, WEEKNUM(Table6[[#This Row],[Date]])-13, WEEKNUM(Table6[[#This Row],[Date]])+40)</f>
        <v>17</v>
      </c>
      <c r="C118" s="31" t="s">
        <v>52</v>
      </c>
      <c r="D118" s="295" t="s">
        <v>48</v>
      </c>
      <c r="E118" s="1">
        <v>501</v>
      </c>
      <c r="F118" s="1">
        <v>455</v>
      </c>
      <c r="G118" s="76">
        <f t="shared" si="100"/>
        <v>-0.13620689655172413</v>
      </c>
      <c r="H118" s="76">
        <f t="shared" si="101"/>
        <v>-0.14473684210526316</v>
      </c>
      <c r="I118" s="1">
        <f t="shared" si="98"/>
        <v>11644</v>
      </c>
      <c r="J118" s="1">
        <f t="shared" si="99"/>
        <v>10296</v>
      </c>
      <c r="K118" s="1">
        <f>K117+Table7[[#This Row],[Calls Off]]</f>
        <v>39871</v>
      </c>
      <c r="L118" s="1">
        <f>L117+Table7[[#This Row],[Calls Ans]]</f>
        <v>35755</v>
      </c>
      <c r="M118" s="17">
        <v>0.84</v>
      </c>
      <c r="N118" s="17">
        <v>0.09</v>
      </c>
      <c r="O118" s="17">
        <v>0.91</v>
      </c>
      <c r="P118" s="17">
        <v>0.24</v>
      </c>
      <c r="Q118" s="17">
        <v>1</v>
      </c>
      <c r="R118" s="39">
        <v>111</v>
      </c>
      <c r="S118" s="139">
        <v>8.3333333333333332E-3</v>
      </c>
      <c r="T118" s="285">
        <v>9</v>
      </c>
      <c r="U118" s="1" t="str">
        <f t="shared" si="52"/>
        <v>Normal</v>
      </c>
      <c r="V118" s="1" t="str">
        <f t="shared" si="53"/>
        <v>Normal</v>
      </c>
      <c r="W118" s="18">
        <f t="shared" si="54"/>
        <v>-0.13620689655172413</v>
      </c>
      <c r="X118" s="18">
        <f t="shared" si="55"/>
        <v>-0.14473684210526316</v>
      </c>
    </row>
    <row r="119" spans="1:24">
      <c r="A119" s="21">
        <v>45500</v>
      </c>
      <c r="B119" s="16">
        <f>IF(YEAR(Table6[[#This Row],[Date]]) = 2024, WEEKNUM(Table6[[#This Row],[Date]])-13, WEEKNUM(Table6[[#This Row],[Date]])+40)</f>
        <v>17</v>
      </c>
      <c r="C119" s="31" t="s">
        <v>53</v>
      </c>
      <c r="D119" s="295" t="s">
        <v>48</v>
      </c>
      <c r="E119" s="1">
        <v>267</v>
      </c>
      <c r="F119" s="1">
        <v>228</v>
      </c>
      <c r="G119" s="76">
        <f t="shared" si="100"/>
        <v>-0.16562499999999999</v>
      </c>
      <c r="H119" s="76">
        <f t="shared" si="101"/>
        <v>0.12871287128712872</v>
      </c>
      <c r="I119" s="1">
        <f t="shared" si="98"/>
        <v>11911</v>
      </c>
      <c r="J119" s="1">
        <f t="shared" si="99"/>
        <v>10524</v>
      </c>
      <c r="K119" s="1">
        <f>K118+Table7[[#This Row],[Calls Off]]</f>
        <v>40138</v>
      </c>
      <c r="L119" s="1">
        <f>L118+Table7[[#This Row],[Calls Ans]]</f>
        <v>35983</v>
      </c>
      <c r="M119" s="17">
        <v>0.56000000000000005</v>
      </c>
      <c r="N119" s="17">
        <v>0.15</v>
      </c>
      <c r="O119" s="17">
        <v>0.85</v>
      </c>
      <c r="P119" s="17">
        <v>0.43</v>
      </c>
      <c r="Q119" s="17">
        <v>1</v>
      </c>
      <c r="R119" s="39">
        <v>112</v>
      </c>
      <c r="S119" s="139">
        <v>3.2638888888888891E-2</v>
      </c>
      <c r="T119" s="285">
        <v>5</v>
      </c>
      <c r="U119" s="1" t="str">
        <f t="shared" si="52"/>
        <v>Normal</v>
      </c>
      <c r="V119" s="1" t="str">
        <f t="shared" si="53"/>
        <v>Normal</v>
      </c>
      <c r="W119" s="18">
        <f t="shared" si="54"/>
        <v>-0.16562499999999999</v>
      </c>
      <c r="X119" s="18">
        <f t="shared" si="55"/>
        <v>0.12871287128712872</v>
      </c>
    </row>
    <row r="120" spans="1:24">
      <c r="A120" s="21">
        <v>45501</v>
      </c>
      <c r="B120" s="16">
        <f>IF(YEAR(Table6[[#This Row],[Date]]) = 2024, WEEKNUM(Table6[[#This Row],[Date]])-13, WEEKNUM(Table6[[#This Row],[Date]])+40)</f>
        <v>18</v>
      </c>
      <c r="C120" s="31" t="s">
        <v>54</v>
      </c>
      <c r="D120" s="295" t="s">
        <v>48</v>
      </c>
      <c r="E120" s="1">
        <v>0</v>
      </c>
      <c r="F120" s="1">
        <v>0</v>
      </c>
      <c r="G120" s="76">
        <v>0</v>
      </c>
      <c r="H120" s="76">
        <v>0</v>
      </c>
      <c r="I120" s="1">
        <v>0</v>
      </c>
      <c r="J120" s="1">
        <v>0</v>
      </c>
      <c r="K120" s="1">
        <f>K119+Table7[[#This Row],[Calls Off]]</f>
        <v>40138</v>
      </c>
      <c r="L120" s="1">
        <f>L119+Table7[[#This Row],[Calls Ans]]</f>
        <v>35983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39">
        <v>0</v>
      </c>
      <c r="S120" s="139">
        <v>0</v>
      </c>
      <c r="T120" s="285">
        <v>0</v>
      </c>
      <c r="U120" s="1" t="str">
        <f t="shared" si="52"/>
        <v>Normal</v>
      </c>
      <c r="V120" s="1" t="str">
        <f t="shared" si="53"/>
        <v>Normal</v>
      </c>
      <c r="W120" s="18">
        <f t="shared" si="54"/>
        <v>0</v>
      </c>
      <c r="X120" s="18">
        <f t="shared" si="55"/>
        <v>0</v>
      </c>
    </row>
    <row r="121" spans="1:24">
      <c r="A121" s="21">
        <v>45502</v>
      </c>
      <c r="B121" s="16">
        <f>IF(YEAR(Table6[[#This Row],[Date]]) = 2024, WEEKNUM(Table6[[#This Row],[Date]])-13, WEEKNUM(Table6[[#This Row],[Date]])+40)</f>
        <v>18</v>
      </c>
      <c r="C121" s="31" t="s">
        <v>55</v>
      </c>
      <c r="D121" s="295" t="s">
        <v>48</v>
      </c>
      <c r="E121" s="1">
        <v>591</v>
      </c>
      <c r="F121" s="1">
        <v>543</v>
      </c>
      <c r="G121" s="76">
        <f>(E121-E114)/E114</f>
        <v>294.5</v>
      </c>
      <c r="H121" s="76">
        <f>(F121-F114)/F114</f>
        <v>270.5</v>
      </c>
      <c r="I121" s="1">
        <f>I119+E121</f>
        <v>12502</v>
      </c>
      <c r="J121" s="1">
        <f>J119+F121</f>
        <v>11067</v>
      </c>
      <c r="K121" s="1">
        <f>K120+Table7[[#This Row],[Calls Off]]</f>
        <v>40729</v>
      </c>
      <c r="L121" s="1">
        <f>L120+Table7[[#This Row],[Calls Ans]]</f>
        <v>36526</v>
      </c>
      <c r="M121" s="17">
        <v>0.74</v>
      </c>
      <c r="N121" s="17">
        <v>0.08</v>
      </c>
      <c r="O121" s="17">
        <v>0.92</v>
      </c>
      <c r="P121" s="17">
        <v>0.37</v>
      </c>
      <c r="Q121" s="17">
        <v>1</v>
      </c>
      <c r="R121" s="39">
        <v>142</v>
      </c>
      <c r="S121" s="139">
        <v>1.6666666666666666E-2</v>
      </c>
      <c r="T121" s="285">
        <v>9</v>
      </c>
      <c r="U121" s="1" t="str">
        <f t="shared" si="52"/>
        <v>Outlier</v>
      </c>
      <c r="V121" s="1" t="str">
        <f t="shared" si="53"/>
        <v>Outlier</v>
      </c>
      <c r="W121" s="18">
        <f t="shared" si="54"/>
        <v>5.5425044678205735</v>
      </c>
      <c r="X121" s="18">
        <f t="shared" si="55"/>
        <v>5.4540794919577955</v>
      </c>
    </row>
    <row r="122" spans="1:24">
      <c r="A122" s="21">
        <v>45503</v>
      </c>
      <c r="B122" s="16">
        <f>IF(YEAR(Table6[[#This Row],[Date]]) = 2024, WEEKNUM(Table6[[#This Row],[Date]])-13, WEEKNUM(Table6[[#This Row],[Date]])+40)</f>
        <v>18</v>
      </c>
      <c r="C122" s="31" t="s">
        <v>49</v>
      </c>
      <c r="D122" s="295" t="s">
        <v>48</v>
      </c>
      <c r="E122" s="1">
        <v>642</v>
      </c>
      <c r="F122" s="1">
        <v>529</v>
      </c>
      <c r="G122" s="76">
        <f t="shared" ref="G122" si="102">(E122-E115)/E115</f>
        <v>-0.18320610687022901</v>
      </c>
      <c r="H122" s="76">
        <f t="shared" ref="H122" si="103">(F122-F115)/F115</f>
        <v>5.7034220532319393E-3</v>
      </c>
      <c r="I122" s="1">
        <f t="shared" ref="I122:I123" si="104">I121+E122</f>
        <v>13144</v>
      </c>
      <c r="J122" s="1">
        <f t="shared" ref="J122:J123" si="105">J121+F122</f>
        <v>11596</v>
      </c>
      <c r="K122" s="1">
        <f>K121+Table7[[#This Row],[Calls Off]]</f>
        <v>41371</v>
      </c>
      <c r="L122" s="1">
        <f>L121+Table7[[#This Row],[Calls Ans]]</f>
        <v>37055</v>
      </c>
      <c r="M122" s="17">
        <v>0.56999999999999995</v>
      </c>
      <c r="N122" s="17">
        <v>0.18</v>
      </c>
      <c r="O122" s="17">
        <v>0.82</v>
      </c>
      <c r="P122" s="17">
        <v>0.46</v>
      </c>
      <c r="Q122" s="17">
        <v>1</v>
      </c>
      <c r="R122" s="39">
        <v>131</v>
      </c>
      <c r="S122" s="139">
        <v>4.3750000000000004E-2</v>
      </c>
      <c r="T122" s="285">
        <v>7</v>
      </c>
      <c r="U122" s="1" t="str">
        <f t="shared" si="52"/>
        <v>Normal</v>
      </c>
      <c r="V122" s="1" t="str">
        <f t="shared" si="53"/>
        <v>Normal</v>
      </c>
      <c r="W122" s="18">
        <f t="shared" si="54"/>
        <v>-0.18320610687022901</v>
      </c>
      <c r="X122" s="18">
        <f t="shared" si="55"/>
        <v>5.7034220532319393E-3</v>
      </c>
    </row>
    <row r="123" spans="1:24">
      <c r="A123" s="21">
        <v>45504</v>
      </c>
      <c r="B123" s="16">
        <f>IF(YEAR(Table6[[#This Row],[Date]]) = 2024, WEEKNUM(Table6[[#This Row],[Date]])-13, WEEKNUM(Table6[[#This Row],[Date]])+40)</f>
        <v>18</v>
      </c>
      <c r="C123" s="31" t="s">
        <v>50</v>
      </c>
      <c r="D123" s="295" t="s">
        <v>48</v>
      </c>
      <c r="E123" s="1">
        <v>693</v>
      </c>
      <c r="F123" s="1">
        <v>532</v>
      </c>
      <c r="G123" s="76">
        <f>IFERROR((E123-E116)/E116,0)</f>
        <v>0.15307820299500832</v>
      </c>
      <c r="H123" s="76">
        <f>IFERROR((F123-F116)/F116,0)</f>
        <v>0.1271186440677966</v>
      </c>
      <c r="I123" s="1">
        <f t="shared" si="104"/>
        <v>13837</v>
      </c>
      <c r="J123" s="1">
        <f t="shared" si="105"/>
        <v>12128</v>
      </c>
      <c r="K123" s="1">
        <f>K122+Table7[[#This Row],[Calls Off]]</f>
        <v>42064</v>
      </c>
      <c r="L123" s="1">
        <f>L122+Table7[[#This Row],[Calls Ans]]</f>
        <v>37587</v>
      </c>
      <c r="M123" s="17">
        <v>0.45</v>
      </c>
      <c r="N123" s="17">
        <v>0.23</v>
      </c>
      <c r="O123" s="17">
        <v>0.77</v>
      </c>
      <c r="P123" s="17">
        <v>0.42</v>
      </c>
      <c r="Q123" s="17">
        <v>1</v>
      </c>
      <c r="R123" s="39">
        <v>126</v>
      </c>
      <c r="S123" s="139">
        <v>5.347222222222222E-2</v>
      </c>
      <c r="T123" s="285">
        <v>7</v>
      </c>
      <c r="U123" s="1" t="str">
        <f t="shared" si="52"/>
        <v>Normal</v>
      </c>
      <c r="V123" s="1" t="str">
        <f t="shared" si="53"/>
        <v>Normal</v>
      </c>
      <c r="W123" s="18">
        <f t="shared" si="54"/>
        <v>0.15307820299500832</v>
      </c>
      <c r="X123" s="18">
        <f t="shared" si="55"/>
        <v>0.1271186440677966</v>
      </c>
    </row>
    <row r="124" spans="1:24">
      <c r="A124" s="21">
        <v>45505</v>
      </c>
      <c r="B124" s="16">
        <f>IF(YEAR(Table6[[#This Row],[Date]]) = 2024, WEEKNUM(Table6[[#This Row],[Date]])-13, WEEKNUM(Table6[[#This Row],[Date]])+40)</f>
        <v>18</v>
      </c>
      <c r="C124" s="90" t="s">
        <v>47</v>
      </c>
      <c r="D124" s="295" t="s">
        <v>48</v>
      </c>
      <c r="E124" s="1">
        <v>0</v>
      </c>
      <c r="F124" s="1">
        <v>0</v>
      </c>
      <c r="G124" s="76">
        <v>0</v>
      </c>
      <c r="H124" s="76">
        <v>0</v>
      </c>
      <c r="I124" s="1">
        <v>0</v>
      </c>
      <c r="J124" s="1">
        <v>0</v>
      </c>
      <c r="K124" s="1">
        <f>K123+Table7[[#This Row],[Calls Off]]</f>
        <v>42064</v>
      </c>
      <c r="L124" s="1">
        <f>L123+Table7[[#This Row],[Calls Ans]]</f>
        <v>37587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39">
        <v>0</v>
      </c>
      <c r="S124" s="139">
        <v>0</v>
      </c>
      <c r="T124" s="285">
        <v>0</v>
      </c>
      <c r="U124" s="1" t="str">
        <f t="shared" si="52"/>
        <v>Normal</v>
      </c>
      <c r="V124" s="1" t="str">
        <f t="shared" si="53"/>
        <v>Normal</v>
      </c>
      <c r="W124" s="18">
        <f t="shared" si="54"/>
        <v>0</v>
      </c>
      <c r="X124" s="18">
        <f t="shared" si="55"/>
        <v>0</v>
      </c>
    </row>
    <row r="125" spans="1:24">
      <c r="A125" s="21">
        <v>45506</v>
      </c>
      <c r="B125" s="16">
        <f>IF(YEAR(Table6[[#This Row],[Date]]) = 2024, WEEKNUM(Table6[[#This Row],[Date]])-13, WEEKNUM(Table6[[#This Row],[Date]])+40)</f>
        <v>18</v>
      </c>
      <c r="C125" s="31" t="s">
        <v>52</v>
      </c>
      <c r="D125" s="295" t="s">
        <v>48</v>
      </c>
      <c r="E125" s="1">
        <v>724</v>
      </c>
      <c r="F125" s="1">
        <v>606</v>
      </c>
      <c r="G125" s="76">
        <f t="shared" ref="G125:G126" si="106">(E125-E118)/E118</f>
        <v>0.44510978043912175</v>
      </c>
      <c r="H125" s="76">
        <f t="shared" ref="H125:H126" si="107">(F125-F118)/F118</f>
        <v>0.33186813186813185</v>
      </c>
      <c r="I125" s="1">
        <f>E125</f>
        <v>724</v>
      </c>
      <c r="J125" s="1">
        <f>F125</f>
        <v>606</v>
      </c>
      <c r="K125" s="1">
        <f>K124+Table7[[#This Row],[Calls Off]]</f>
        <v>42788</v>
      </c>
      <c r="L125" s="1">
        <f>L124+Table7[[#This Row],[Calls Ans]]</f>
        <v>38193</v>
      </c>
      <c r="M125" s="17">
        <v>0.56999999999999995</v>
      </c>
      <c r="N125" s="17">
        <v>0.16</v>
      </c>
      <c r="O125" s="17">
        <v>0.84</v>
      </c>
      <c r="P125" s="17">
        <v>0.46</v>
      </c>
      <c r="Q125" s="17">
        <v>1</v>
      </c>
      <c r="R125" s="39">
        <v>125</v>
      </c>
      <c r="S125" s="139">
        <v>3.6111111111111115E-2</v>
      </c>
      <c r="T125" s="285">
        <v>7</v>
      </c>
      <c r="U125" s="1" t="str">
        <f t="shared" si="52"/>
        <v>Outlier</v>
      </c>
      <c r="V125" s="1" t="str">
        <f t="shared" si="53"/>
        <v>Outlier</v>
      </c>
      <c r="W125" s="18">
        <f t="shared" si="54"/>
        <v>0.44510978043912175</v>
      </c>
      <c r="X125" s="18">
        <f t="shared" si="55"/>
        <v>0.33186813186813185</v>
      </c>
    </row>
    <row r="126" spans="1:24">
      <c r="A126" s="21">
        <v>45507</v>
      </c>
      <c r="B126" s="16">
        <f>IF(YEAR(Table6[[#This Row],[Date]]) = 2024, WEEKNUM(Table6[[#This Row],[Date]])-13, WEEKNUM(Table6[[#This Row],[Date]])+40)</f>
        <v>18</v>
      </c>
      <c r="C126" s="31" t="s">
        <v>53</v>
      </c>
      <c r="D126" s="295" t="s">
        <v>48</v>
      </c>
      <c r="E126" s="1">
        <v>353</v>
      </c>
      <c r="F126" s="1">
        <v>178</v>
      </c>
      <c r="G126" s="76">
        <f t="shared" si="106"/>
        <v>0.32209737827715357</v>
      </c>
      <c r="H126" s="76">
        <f t="shared" si="107"/>
        <v>-0.21929824561403508</v>
      </c>
      <c r="I126" s="1">
        <f t="shared" ref="I126" si="108">I125+E126</f>
        <v>1077</v>
      </c>
      <c r="J126" s="1">
        <f t="shared" ref="J126" si="109">J125+F126</f>
        <v>784</v>
      </c>
      <c r="K126" s="1">
        <f>K125+Table7[[#This Row],[Calls Off]]</f>
        <v>43141</v>
      </c>
      <c r="L126" s="1">
        <f>L125+Table7[[#This Row],[Calls Ans]]</f>
        <v>38371</v>
      </c>
      <c r="M126" s="17">
        <v>0.18</v>
      </c>
      <c r="N126" s="17">
        <v>0.5</v>
      </c>
      <c r="O126" s="17">
        <v>0.5</v>
      </c>
      <c r="P126" s="17">
        <v>0.51</v>
      </c>
      <c r="Q126" s="17">
        <v>1</v>
      </c>
      <c r="R126" s="39">
        <v>134</v>
      </c>
      <c r="S126" s="139">
        <v>0.21527777777777779</v>
      </c>
      <c r="T126" s="285">
        <v>3</v>
      </c>
      <c r="U126" s="1" t="str">
        <f t="shared" si="52"/>
        <v>Normal</v>
      </c>
      <c r="V126" s="1" t="str">
        <f t="shared" si="53"/>
        <v>Normal</v>
      </c>
      <c r="W126" s="18">
        <f t="shared" si="54"/>
        <v>0.32209737827715357</v>
      </c>
      <c r="X126" s="18">
        <f t="shared" si="55"/>
        <v>-0.21929824561403508</v>
      </c>
    </row>
    <row r="127" spans="1:24">
      <c r="A127" s="21">
        <v>45508</v>
      </c>
      <c r="B127" s="16">
        <f>IF(YEAR(Table6[[#This Row],[Date]]) = 2024, WEEKNUM(Table6[[#This Row],[Date]])-13, WEEKNUM(Table6[[#This Row],[Date]])+40)</f>
        <v>19</v>
      </c>
      <c r="C127" s="31" t="s">
        <v>54</v>
      </c>
      <c r="D127" s="295" t="s">
        <v>48</v>
      </c>
      <c r="E127" s="1">
        <v>0</v>
      </c>
      <c r="F127" s="1">
        <v>0</v>
      </c>
      <c r="G127" s="76">
        <v>0</v>
      </c>
      <c r="H127" s="76">
        <v>0</v>
      </c>
      <c r="I127" s="1">
        <v>0</v>
      </c>
      <c r="J127" s="1">
        <v>0</v>
      </c>
      <c r="K127" s="1">
        <f>K126+Table7[[#This Row],[Calls Off]]</f>
        <v>43141</v>
      </c>
      <c r="L127" s="1">
        <f>L126+Table7[[#This Row],[Calls Ans]]</f>
        <v>38371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39">
        <v>0</v>
      </c>
      <c r="S127" s="139">
        <v>0</v>
      </c>
      <c r="T127" s="285">
        <v>0</v>
      </c>
      <c r="U127" s="1" t="str">
        <f t="shared" si="52"/>
        <v>Normal</v>
      </c>
      <c r="V127" s="1" t="str">
        <f t="shared" si="53"/>
        <v>Normal</v>
      </c>
      <c r="W127" s="18">
        <f t="shared" si="54"/>
        <v>0</v>
      </c>
      <c r="X127" s="18">
        <f t="shared" si="55"/>
        <v>0</v>
      </c>
    </row>
    <row r="128" spans="1:24">
      <c r="A128" s="21">
        <v>45509</v>
      </c>
      <c r="B128" s="16">
        <f>IF(YEAR(Table6[[#This Row],[Date]]) = 2024, WEEKNUM(Table6[[#This Row],[Date]])-13, WEEKNUM(Table6[[#This Row],[Date]])+40)</f>
        <v>19</v>
      </c>
      <c r="C128" s="31" t="s">
        <v>55</v>
      </c>
      <c r="D128" s="295" t="s">
        <v>48</v>
      </c>
      <c r="E128" s="1">
        <v>537</v>
      </c>
      <c r="F128" s="1">
        <v>378</v>
      </c>
      <c r="G128" s="76">
        <f>(E128-E121)/E121</f>
        <v>-9.1370558375634514E-2</v>
      </c>
      <c r="H128" s="76">
        <f>(F128-F121)/F121</f>
        <v>-0.30386740331491713</v>
      </c>
      <c r="I128" s="1">
        <f>I126+E128</f>
        <v>1614</v>
      </c>
      <c r="J128" s="1">
        <f>J126+F128</f>
        <v>1162</v>
      </c>
      <c r="K128" s="1">
        <f>K127+Table7[[#This Row],[Calls Off]]</f>
        <v>43678</v>
      </c>
      <c r="L128" s="1">
        <f>L127+Table7[[#This Row],[Calls Ans]]</f>
        <v>38749</v>
      </c>
      <c r="M128" s="17">
        <v>0.45</v>
      </c>
      <c r="N128" s="17">
        <v>0.3</v>
      </c>
      <c r="O128" s="17">
        <v>0.7</v>
      </c>
      <c r="P128" s="17">
        <v>0.33</v>
      </c>
      <c r="Q128" s="17">
        <v>1</v>
      </c>
      <c r="R128" s="39">
        <v>116</v>
      </c>
      <c r="S128" s="139">
        <v>9.8611111111111108E-2</v>
      </c>
      <c r="T128" s="285">
        <v>8</v>
      </c>
      <c r="U128" s="1" t="str">
        <f t="shared" si="52"/>
        <v>Normal</v>
      </c>
      <c r="V128" s="1" t="str">
        <f t="shared" si="53"/>
        <v>Normal</v>
      </c>
      <c r="W128" s="18">
        <f t="shared" si="54"/>
        <v>-9.1370558375634514E-2</v>
      </c>
      <c r="X128" s="18">
        <f t="shared" si="55"/>
        <v>-0.30386740331491713</v>
      </c>
    </row>
    <row r="129" spans="1:24">
      <c r="A129" s="21">
        <v>45510</v>
      </c>
      <c r="B129" s="16">
        <f>IF(YEAR(Table6[[#This Row],[Date]]) = 2024, WEEKNUM(Table6[[#This Row],[Date]])-13, WEEKNUM(Table6[[#This Row],[Date]])+40)</f>
        <v>19</v>
      </c>
      <c r="C129" s="31" t="s">
        <v>49</v>
      </c>
      <c r="D129" s="295" t="s">
        <v>48</v>
      </c>
      <c r="E129" s="1">
        <v>639</v>
      </c>
      <c r="F129" s="1">
        <v>526</v>
      </c>
      <c r="G129" s="76">
        <f t="shared" ref="G129" si="110">(E129-E122)/E122</f>
        <v>-4.6728971962616819E-3</v>
      </c>
      <c r="H129" s="76">
        <f t="shared" ref="H129" si="111">(F129-F122)/F122</f>
        <v>-5.6710775047258983E-3</v>
      </c>
      <c r="I129" s="1">
        <f t="shared" ref="I129:I133" si="112">I128+E129</f>
        <v>2253</v>
      </c>
      <c r="J129" s="1">
        <f t="shared" ref="J129:J133" si="113">J128+F129</f>
        <v>1688</v>
      </c>
      <c r="K129" s="1">
        <f>K128+Table7[[#This Row],[Calls Off]]</f>
        <v>44317</v>
      </c>
      <c r="L129" s="1">
        <f>L128+Table7[[#This Row],[Calls Ans]]</f>
        <v>39275</v>
      </c>
      <c r="M129" s="17">
        <v>0.61</v>
      </c>
      <c r="N129" s="17">
        <v>0.18</v>
      </c>
      <c r="O129" s="17">
        <v>0.82</v>
      </c>
      <c r="P129" s="17">
        <v>0.39</v>
      </c>
      <c r="Q129" s="17">
        <v>1</v>
      </c>
      <c r="R129" s="39">
        <v>135</v>
      </c>
      <c r="S129" s="139">
        <v>3.6805555555555557E-2</v>
      </c>
      <c r="T129" s="285">
        <v>8</v>
      </c>
      <c r="U129" s="1" t="str">
        <f t="shared" si="52"/>
        <v>Normal</v>
      </c>
      <c r="V129" s="1" t="str">
        <f t="shared" si="53"/>
        <v>Normal</v>
      </c>
      <c r="W129" s="18">
        <f t="shared" si="54"/>
        <v>-4.6728971962616819E-3</v>
      </c>
      <c r="X129" s="18">
        <f t="shared" si="55"/>
        <v>-5.6710775047258983E-3</v>
      </c>
    </row>
    <row r="130" spans="1:24">
      <c r="A130" s="21">
        <v>45511</v>
      </c>
      <c r="B130" s="16">
        <f>IF(YEAR(Table6[[#This Row],[Date]]) = 2024, WEEKNUM(Table6[[#This Row],[Date]])-13, WEEKNUM(Table6[[#This Row],[Date]])+40)</f>
        <v>19</v>
      </c>
      <c r="C130" s="31" t="s">
        <v>50</v>
      </c>
      <c r="D130" s="295" t="s">
        <v>48</v>
      </c>
      <c r="E130" s="1">
        <v>567</v>
      </c>
      <c r="F130" s="1">
        <v>525</v>
      </c>
      <c r="G130" s="76">
        <f>IFERROR((E130-E123)/E123,0)</f>
        <v>-0.18181818181818182</v>
      </c>
      <c r="H130" s="76">
        <f>IFERROR((F130-F123)/F123,0)</f>
        <v>-1.3157894736842105E-2</v>
      </c>
      <c r="I130" s="1">
        <f t="shared" si="112"/>
        <v>2820</v>
      </c>
      <c r="J130" s="1">
        <f t="shared" si="113"/>
        <v>2213</v>
      </c>
      <c r="K130" s="1">
        <f>K129+Table7[[#This Row],[Calls Off]]</f>
        <v>44884</v>
      </c>
      <c r="L130" s="1">
        <f>L129+Table7[[#This Row],[Calls Ans]]</f>
        <v>39800</v>
      </c>
      <c r="M130" s="17">
        <v>0.8</v>
      </c>
      <c r="N130" s="17">
        <v>7.0000000000000007E-2</v>
      </c>
      <c r="O130" s="17">
        <v>0.93</v>
      </c>
      <c r="P130" s="17">
        <v>0.38</v>
      </c>
      <c r="Q130" s="17">
        <v>1</v>
      </c>
      <c r="R130" s="39">
        <v>121</v>
      </c>
      <c r="S130" s="139">
        <v>1.6666666666666666E-2</v>
      </c>
      <c r="T130" s="285">
        <v>9</v>
      </c>
      <c r="U130" s="1" t="str">
        <f t="shared" si="52"/>
        <v>Normal</v>
      </c>
      <c r="V130" s="1" t="str">
        <f t="shared" si="53"/>
        <v>Normal</v>
      </c>
      <c r="W130" s="18">
        <f t="shared" si="54"/>
        <v>-0.18181818181818182</v>
      </c>
      <c r="X130" s="18">
        <f t="shared" si="55"/>
        <v>-1.3157894736842105E-2</v>
      </c>
    </row>
    <row r="131" spans="1:24">
      <c r="A131" s="21">
        <v>45512</v>
      </c>
      <c r="B131" s="16">
        <f>IF(YEAR(Table6[[#This Row],[Date]]) = 2024, WEEKNUM(Table6[[#This Row],[Date]])-13, WEEKNUM(Table6[[#This Row],[Date]])+40)</f>
        <v>19</v>
      </c>
      <c r="C131" s="31" t="s">
        <v>51</v>
      </c>
      <c r="D131" s="295" t="s">
        <v>48</v>
      </c>
      <c r="E131" s="1">
        <v>593</v>
      </c>
      <c r="F131" s="1">
        <v>486</v>
      </c>
      <c r="G131" s="76">
        <v>0</v>
      </c>
      <c r="H131" s="76">
        <v>0</v>
      </c>
      <c r="I131" s="1">
        <f t="shared" si="112"/>
        <v>3413</v>
      </c>
      <c r="J131" s="1">
        <f t="shared" si="113"/>
        <v>2699</v>
      </c>
      <c r="K131" s="1">
        <f>K130+Table7[[#This Row],[Calls Off]]</f>
        <v>45477</v>
      </c>
      <c r="L131" s="1">
        <f>L130+Table7[[#This Row],[Calls Ans]]</f>
        <v>40286</v>
      </c>
      <c r="M131" s="17">
        <v>0.61</v>
      </c>
      <c r="N131" s="17">
        <v>0.18</v>
      </c>
      <c r="O131" s="17">
        <v>0.82</v>
      </c>
      <c r="P131" s="17">
        <v>0.38</v>
      </c>
      <c r="Q131" s="17">
        <v>1</v>
      </c>
      <c r="R131" s="39">
        <v>136</v>
      </c>
      <c r="S131" s="139">
        <v>4.4444444444444446E-2</v>
      </c>
      <c r="T131" s="285">
        <v>8</v>
      </c>
      <c r="U131" s="1" t="str">
        <f t="shared" ref="U131:U194" si="114">IF(OR(G131&lt;$AB$5,G131&gt;$AC$5), "Outlier", "Normal")</f>
        <v>Normal</v>
      </c>
      <c r="V131" s="1" t="str">
        <f t="shared" ref="V131:V194" si="115">IF(OR(H131&lt;$AB$6,H131&gt;$AC$6), "Outlier", "Normal")</f>
        <v>Normal</v>
      </c>
      <c r="W131" s="18">
        <f t="shared" ref="W131:W194" si="116">IF(U131="Normal",$G131,IF($G131&lt;250%, $G131, $AB$9))</f>
        <v>0</v>
      </c>
      <c r="X131" s="18">
        <f t="shared" ref="X131:X194" si="117">IF(V131="Normal",$H131,IF($H131&lt;250%, $H131, $AF$9))</f>
        <v>0</v>
      </c>
    </row>
    <row r="132" spans="1:24">
      <c r="A132" s="21">
        <v>45513</v>
      </c>
      <c r="B132" s="16">
        <f>IF(YEAR(Table6[[#This Row],[Date]]) = 2024, WEEKNUM(Table6[[#This Row],[Date]])-13, WEEKNUM(Table6[[#This Row],[Date]])+40)</f>
        <v>19</v>
      </c>
      <c r="C132" s="30" t="s">
        <v>52</v>
      </c>
      <c r="D132" s="295" t="s">
        <v>48</v>
      </c>
      <c r="E132" s="1">
        <v>462</v>
      </c>
      <c r="F132" s="1">
        <v>401</v>
      </c>
      <c r="G132" s="76">
        <f t="shared" ref="G132:G133" si="118">(E132-E125)/E125</f>
        <v>-0.36187845303867405</v>
      </c>
      <c r="H132" s="76">
        <f t="shared" ref="H132:H133" si="119">(F132-F125)/F125</f>
        <v>-0.33828382838283827</v>
      </c>
      <c r="I132" s="1">
        <f t="shared" si="112"/>
        <v>3875</v>
      </c>
      <c r="J132" s="1">
        <f t="shared" si="113"/>
        <v>3100</v>
      </c>
      <c r="K132" s="1">
        <f>K131+Table7[[#This Row],[Calls Off]]</f>
        <v>45939</v>
      </c>
      <c r="L132" s="1">
        <f>L131+Table7[[#This Row],[Calls Ans]]</f>
        <v>40687</v>
      </c>
      <c r="M132" s="17">
        <v>0.65</v>
      </c>
      <c r="N132" s="17">
        <v>0.13</v>
      </c>
      <c r="O132" s="17">
        <v>0.87</v>
      </c>
      <c r="P132" s="17">
        <v>0.28999999999999998</v>
      </c>
      <c r="Q132" s="17">
        <v>1</v>
      </c>
      <c r="R132" s="39">
        <v>112</v>
      </c>
      <c r="S132" s="139">
        <v>2.9861111111111113E-2</v>
      </c>
      <c r="T132" s="285">
        <v>8</v>
      </c>
      <c r="U132" s="1" t="str">
        <f t="shared" si="114"/>
        <v>Normal</v>
      </c>
      <c r="V132" s="1" t="str">
        <f t="shared" si="115"/>
        <v>Outlier</v>
      </c>
      <c r="W132" s="18">
        <f t="shared" si="116"/>
        <v>-0.36187845303867405</v>
      </c>
      <c r="X132" s="18">
        <f t="shared" si="117"/>
        <v>-0.33828382838283827</v>
      </c>
    </row>
    <row r="133" spans="1:24">
      <c r="A133" s="21">
        <v>45514</v>
      </c>
      <c r="B133" s="16">
        <f>IF(YEAR(Table6[[#This Row],[Date]]) = 2024, WEEKNUM(Table6[[#This Row],[Date]])-13, WEEKNUM(Table6[[#This Row],[Date]])+40)</f>
        <v>19</v>
      </c>
      <c r="C133" s="31" t="s">
        <v>53</v>
      </c>
      <c r="D133" s="295" t="s">
        <v>48</v>
      </c>
      <c r="E133" s="1">
        <v>319</v>
      </c>
      <c r="F133" s="1">
        <v>282</v>
      </c>
      <c r="G133" s="76">
        <f t="shared" si="118"/>
        <v>-9.6317280453257784E-2</v>
      </c>
      <c r="H133" s="76">
        <f t="shared" si="119"/>
        <v>0.5842696629213483</v>
      </c>
      <c r="I133" s="1">
        <f t="shared" si="112"/>
        <v>4194</v>
      </c>
      <c r="J133" s="1">
        <f t="shared" si="113"/>
        <v>3382</v>
      </c>
      <c r="K133" s="1">
        <f>K132+Table7[[#This Row],[Calls Off]]</f>
        <v>46258</v>
      </c>
      <c r="L133" s="1">
        <f>L132+Table7[[#This Row],[Calls Ans]]</f>
        <v>40969</v>
      </c>
      <c r="M133" s="17">
        <v>0.72</v>
      </c>
      <c r="N133" s="17">
        <v>0.12</v>
      </c>
      <c r="O133" s="17">
        <v>0.88</v>
      </c>
      <c r="P133" s="17">
        <v>0.37</v>
      </c>
      <c r="Q133" s="17">
        <v>1</v>
      </c>
      <c r="R133" s="39">
        <v>107</v>
      </c>
      <c r="S133" s="139">
        <v>1.7361111111111112E-2</v>
      </c>
      <c r="T133" s="285">
        <v>6</v>
      </c>
      <c r="U133" s="1" t="str">
        <f t="shared" si="114"/>
        <v>Normal</v>
      </c>
      <c r="V133" s="1" t="str">
        <f t="shared" si="115"/>
        <v>Outlier</v>
      </c>
      <c r="W133" s="18">
        <f t="shared" si="116"/>
        <v>-9.6317280453257784E-2</v>
      </c>
      <c r="X133" s="18">
        <f t="shared" si="117"/>
        <v>0.5842696629213483</v>
      </c>
    </row>
    <row r="134" spans="1:24">
      <c r="A134" s="21">
        <v>45515</v>
      </c>
      <c r="B134" s="16">
        <f>IF(YEAR(Table6[[#This Row],[Date]]) = 2024, WEEKNUM(Table6[[#This Row],[Date]])-13, WEEKNUM(Table6[[#This Row],[Date]])+40)</f>
        <v>20</v>
      </c>
      <c r="C134" s="31" t="s">
        <v>54</v>
      </c>
      <c r="D134" s="295" t="s">
        <v>48</v>
      </c>
      <c r="E134" s="1"/>
      <c r="F134" s="1"/>
      <c r="G134" s="76"/>
      <c r="H134" s="76"/>
      <c r="I134" s="1"/>
      <c r="J134" s="1"/>
      <c r="K134" s="1">
        <f>K133+Table7[[#This Row],[Calls Off]]</f>
        <v>46258</v>
      </c>
      <c r="L134" s="1">
        <f>L133+Table7[[#This Row],[Calls Ans]]</f>
        <v>40969</v>
      </c>
      <c r="M134" s="17"/>
      <c r="N134" s="17"/>
      <c r="O134" s="17"/>
      <c r="P134" s="17"/>
      <c r="Q134" s="17"/>
      <c r="R134" s="39"/>
      <c r="S134" s="139"/>
      <c r="T134" s="285"/>
      <c r="U134" s="1" t="str">
        <f t="shared" si="114"/>
        <v>Normal</v>
      </c>
      <c r="V134" s="1" t="str">
        <f t="shared" si="115"/>
        <v>Normal</v>
      </c>
      <c r="W134" s="18">
        <f t="shared" si="116"/>
        <v>0</v>
      </c>
      <c r="X134" s="18">
        <f t="shared" si="117"/>
        <v>0</v>
      </c>
    </row>
    <row r="135" spans="1:24">
      <c r="A135" s="21">
        <v>45516</v>
      </c>
      <c r="B135" s="16">
        <f>IF(YEAR(Table6[[#This Row],[Date]]) = 2024, WEEKNUM(Table6[[#This Row],[Date]])-13, WEEKNUM(Table6[[#This Row],[Date]])+40)</f>
        <v>20</v>
      </c>
      <c r="C135" s="31" t="s">
        <v>55</v>
      </c>
      <c r="D135" s="295" t="s">
        <v>48</v>
      </c>
      <c r="E135" s="1"/>
      <c r="F135" s="1"/>
      <c r="G135" s="76"/>
      <c r="H135" s="76"/>
      <c r="I135" s="1"/>
      <c r="J135" s="1"/>
      <c r="K135" s="1"/>
      <c r="L135" s="1"/>
      <c r="M135" s="17"/>
      <c r="N135" s="17"/>
      <c r="O135" s="17"/>
      <c r="P135" s="17"/>
      <c r="Q135" s="17"/>
      <c r="R135" s="39"/>
      <c r="S135" s="139"/>
      <c r="T135" s="285"/>
      <c r="U135" s="1" t="str">
        <f t="shared" si="114"/>
        <v>Normal</v>
      </c>
      <c r="V135" s="1" t="str">
        <f t="shared" si="115"/>
        <v>Normal</v>
      </c>
      <c r="W135" s="18">
        <f t="shared" si="116"/>
        <v>0</v>
      </c>
      <c r="X135" s="18">
        <f t="shared" si="117"/>
        <v>0</v>
      </c>
    </row>
    <row r="136" spans="1:24">
      <c r="A136" s="21">
        <v>45517</v>
      </c>
      <c r="B136" s="16">
        <f>IF(YEAR(Table6[[#This Row],[Date]]) = 2024, WEEKNUM(Table6[[#This Row],[Date]])-13, WEEKNUM(Table6[[#This Row],[Date]])+40)</f>
        <v>20</v>
      </c>
      <c r="C136" s="31"/>
      <c r="D136" s="31"/>
      <c r="E136" s="1"/>
      <c r="F136" s="1"/>
      <c r="G136" s="76"/>
      <c r="H136" s="76"/>
      <c r="I136" s="1"/>
      <c r="J136" s="1"/>
      <c r="K136" s="1"/>
      <c r="L136" s="1"/>
      <c r="M136" s="17"/>
      <c r="N136" s="17"/>
      <c r="O136" s="17"/>
      <c r="P136" s="17"/>
      <c r="Q136" s="17"/>
      <c r="R136" s="39"/>
      <c r="S136" s="139"/>
      <c r="T136" s="285"/>
      <c r="U136" s="1" t="str">
        <f t="shared" si="114"/>
        <v>Normal</v>
      </c>
      <c r="V136" s="1" t="str">
        <f t="shared" si="115"/>
        <v>Normal</v>
      </c>
      <c r="W136" s="18">
        <f t="shared" si="116"/>
        <v>0</v>
      </c>
      <c r="X136" s="18">
        <f t="shared" si="117"/>
        <v>0</v>
      </c>
    </row>
    <row r="137" spans="1:24">
      <c r="A137" s="21">
        <v>45518</v>
      </c>
      <c r="B137" s="16">
        <f>IF(YEAR(Table6[[#This Row],[Date]]) = 2024, WEEKNUM(Table6[[#This Row],[Date]])-13, WEEKNUM(Table6[[#This Row],[Date]])+40)</f>
        <v>20</v>
      </c>
      <c r="C137" s="31"/>
      <c r="D137" s="31"/>
      <c r="E137" s="1"/>
      <c r="F137" s="1"/>
      <c r="G137" s="76"/>
      <c r="H137" s="76"/>
      <c r="I137" s="1"/>
      <c r="J137" s="1"/>
      <c r="K137" s="1"/>
      <c r="L137" s="1"/>
      <c r="M137" s="17"/>
      <c r="N137" s="17"/>
      <c r="O137" s="17"/>
      <c r="P137" s="17"/>
      <c r="Q137" s="17"/>
      <c r="R137" s="39"/>
      <c r="S137" s="139"/>
      <c r="T137" s="285"/>
      <c r="U137" s="1" t="str">
        <f t="shared" si="114"/>
        <v>Normal</v>
      </c>
      <c r="V137" s="1" t="str">
        <f t="shared" si="115"/>
        <v>Normal</v>
      </c>
      <c r="W137" s="18">
        <f t="shared" si="116"/>
        <v>0</v>
      </c>
      <c r="X137" s="18">
        <f t="shared" si="117"/>
        <v>0</v>
      </c>
    </row>
    <row r="138" spans="1:24">
      <c r="A138" s="21">
        <v>45519</v>
      </c>
      <c r="B138" s="16">
        <f>IF(YEAR(Table6[[#This Row],[Date]]) = 2024, WEEKNUM(Table6[[#This Row],[Date]])-13, WEEKNUM(Table6[[#This Row],[Date]])+40)</f>
        <v>20</v>
      </c>
      <c r="C138" s="31"/>
      <c r="D138" s="31"/>
      <c r="E138" s="1"/>
      <c r="F138" s="1"/>
      <c r="G138" s="76"/>
      <c r="H138" s="76"/>
      <c r="I138" s="1"/>
      <c r="J138" s="1"/>
      <c r="K138" s="1"/>
      <c r="L138" s="1"/>
      <c r="M138" s="17"/>
      <c r="N138" s="17"/>
      <c r="O138" s="17"/>
      <c r="P138" s="17"/>
      <c r="Q138" s="17"/>
      <c r="R138" s="39"/>
      <c r="S138" s="139"/>
      <c r="T138" s="285"/>
      <c r="U138" s="1" t="str">
        <f t="shared" si="114"/>
        <v>Normal</v>
      </c>
      <c r="V138" s="1" t="str">
        <f t="shared" si="115"/>
        <v>Normal</v>
      </c>
      <c r="W138" s="18">
        <f t="shared" si="116"/>
        <v>0</v>
      </c>
      <c r="X138" s="18">
        <f t="shared" si="117"/>
        <v>0</v>
      </c>
    </row>
    <row r="139" spans="1:24">
      <c r="A139" s="21">
        <v>45520</v>
      </c>
      <c r="B139" s="16">
        <f>IF(YEAR(Table6[[#This Row],[Date]]) = 2024, WEEKNUM(Table6[[#This Row],[Date]])-13, WEEKNUM(Table6[[#This Row],[Date]])+40)</f>
        <v>20</v>
      </c>
      <c r="C139" s="31"/>
      <c r="D139" s="31"/>
      <c r="E139" s="1"/>
      <c r="F139" s="1"/>
      <c r="G139" s="76"/>
      <c r="H139" s="76"/>
      <c r="I139" s="1"/>
      <c r="J139" s="1"/>
      <c r="K139" s="1"/>
      <c r="L139" s="1"/>
      <c r="M139" s="17"/>
      <c r="N139" s="17"/>
      <c r="O139" s="17"/>
      <c r="P139" s="17"/>
      <c r="Q139" s="17"/>
      <c r="R139" s="39"/>
      <c r="S139" s="139"/>
      <c r="T139" s="285"/>
      <c r="U139" s="1" t="str">
        <f t="shared" si="114"/>
        <v>Normal</v>
      </c>
      <c r="V139" s="1" t="str">
        <f t="shared" si="115"/>
        <v>Normal</v>
      </c>
      <c r="W139" s="18">
        <f t="shared" si="116"/>
        <v>0</v>
      </c>
      <c r="X139" s="18">
        <f t="shared" si="117"/>
        <v>0</v>
      </c>
    </row>
    <row r="140" spans="1:24">
      <c r="A140" s="21">
        <v>45521</v>
      </c>
      <c r="B140" s="16">
        <f>IF(YEAR(Table6[[#This Row],[Date]]) = 2024, WEEKNUM(Table6[[#This Row],[Date]])-13, WEEKNUM(Table6[[#This Row],[Date]])+40)</f>
        <v>20</v>
      </c>
      <c r="C140" s="31"/>
      <c r="D140" s="31"/>
      <c r="E140" s="1"/>
      <c r="F140" s="1"/>
      <c r="G140" s="76"/>
      <c r="H140" s="76"/>
      <c r="I140" s="1"/>
      <c r="J140" s="1"/>
      <c r="K140" s="1"/>
      <c r="L140" s="1"/>
      <c r="M140" s="17"/>
      <c r="N140" s="17"/>
      <c r="O140" s="17"/>
      <c r="P140" s="17"/>
      <c r="Q140" s="17"/>
      <c r="R140" s="39"/>
      <c r="S140" s="139"/>
      <c r="T140" s="285"/>
      <c r="U140" s="1" t="str">
        <f t="shared" si="114"/>
        <v>Normal</v>
      </c>
      <c r="V140" s="1" t="str">
        <f t="shared" si="115"/>
        <v>Normal</v>
      </c>
      <c r="W140" s="18">
        <f t="shared" si="116"/>
        <v>0</v>
      </c>
      <c r="X140" s="18">
        <f t="shared" si="117"/>
        <v>0</v>
      </c>
    </row>
    <row r="141" spans="1:24">
      <c r="A141" s="21">
        <v>45522</v>
      </c>
      <c r="B141" s="16">
        <f>IF(YEAR(Table6[[#This Row],[Date]]) = 2024, WEEKNUM(Table6[[#This Row],[Date]])-13, WEEKNUM(Table6[[#This Row],[Date]])+40)</f>
        <v>21</v>
      </c>
      <c r="C141" s="31"/>
      <c r="D141" s="31"/>
      <c r="E141" s="1"/>
      <c r="F141" s="1"/>
      <c r="G141" s="76"/>
      <c r="H141" s="76"/>
      <c r="I141" s="1"/>
      <c r="J141" s="1"/>
      <c r="K141" s="1"/>
      <c r="L141" s="1"/>
      <c r="M141" s="17"/>
      <c r="N141" s="17"/>
      <c r="O141" s="17"/>
      <c r="P141" s="17"/>
      <c r="Q141" s="17"/>
      <c r="R141" s="39"/>
      <c r="S141" s="139"/>
      <c r="T141" s="285"/>
      <c r="U141" s="1" t="str">
        <f t="shared" si="114"/>
        <v>Normal</v>
      </c>
      <c r="V141" s="1" t="str">
        <f t="shared" si="115"/>
        <v>Normal</v>
      </c>
      <c r="W141" s="18">
        <f t="shared" si="116"/>
        <v>0</v>
      </c>
      <c r="X141" s="18">
        <f t="shared" si="117"/>
        <v>0</v>
      </c>
    </row>
    <row r="142" spans="1:24">
      <c r="A142" s="21">
        <v>45523</v>
      </c>
      <c r="B142" s="16">
        <f>IF(YEAR(Table6[[#This Row],[Date]]) = 2024, WEEKNUM(Table6[[#This Row],[Date]])-13, WEEKNUM(Table6[[#This Row],[Date]])+40)</f>
        <v>21</v>
      </c>
      <c r="C142" s="31"/>
      <c r="D142" s="31"/>
      <c r="E142" s="1"/>
      <c r="F142" s="1"/>
      <c r="G142" s="76"/>
      <c r="H142" s="76"/>
      <c r="I142" s="1"/>
      <c r="J142" s="1"/>
      <c r="K142" s="1"/>
      <c r="L142" s="1"/>
      <c r="M142" s="17"/>
      <c r="N142" s="17"/>
      <c r="O142" s="17"/>
      <c r="P142" s="17"/>
      <c r="Q142" s="17"/>
      <c r="R142" s="39"/>
      <c r="S142" s="139"/>
      <c r="T142" s="285"/>
      <c r="U142" s="1" t="str">
        <f t="shared" si="114"/>
        <v>Normal</v>
      </c>
      <c r="V142" s="1" t="str">
        <f t="shared" si="115"/>
        <v>Normal</v>
      </c>
      <c r="W142" s="18">
        <f t="shared" si="116"/>
        <v>0</v>
      </c>
      <c r="X142" s="18">
        <f t="shared" si="117"/>
        <v>0</v>
      </c>
    </row>
    <row r="143" spans="1:24">
      <c r="A143" s="21">
        <v>45524</v>
      </c>
      <c r="B143" s="16">
        <f>IF(YEAR(Table6[[#This Row],[Date]]) = 2024, WEEKNUM(Table6[[#This Row],[Date]])-13, WEEKNUM(Table6[[#This Row],[Date]])+40)</f>
        <v>21</v>
      </c>
      <c r="C143" s="31"/>
      <c r="D143" s="31"/>
      <c r="E143" s="1"/>
      <c r="F143" s="1"/>
      <c r="G143" s="76"/>
      <c r="H143" s="76"/>
      <c r="I143" s="1"/>
      <c r="J143" s="1"/>
      <c r="K143" s="1"/>
      <c r="L143" s="1"/>
      <c r="M143" s="17"/>
      <c r="N143" s="17"/>
      <c r="O143" s="17"/>
      <c r="P143" s="17"/>
      <c r="Q143" s="17"/>
      <c r="R143" s="39"/>
      <c r="S143" s="139"/>
      <c r="T143" s="285"/>
      <c r="U143" s="1" t="str">
        <f t="shared" si="114"/>
        <v>Normal</v>
      </c>
      <c r="V143" s="1" t="str">
        <f t="shared" si="115"/>
        <v>Normal</v>
      </c>
      <c r="W143" s="18">
        <f t="shared" si="116"/>
        <v>0</v>
      </c>
      <c r="X143" s="18">
        <f t="shared" si="117"/>
        <v>0</v>
      </c>
    </row>
    <row r="144" spans="1:24">
      <c r="A144" s="21">
        <v>45525</v>
      </c>
      <c r="B144" s="16">
        <f>IF(YEAR(Table6[[#This Row],[Date]]) = 2024, WEEKNUM(Table6[[#This Row],[Date]])-13, WEEKNUM(Table6[[#This Row],[Date]])+40)</f>
        <v>21</v>
      </c>
      <c r="C144" s="31"/>
      <c r="D144" s="31"/>
      <c r="E144" s="1"/>
      <c r="F144" s="1"/>
      <c r="G144" s="76"/>
      <c r="H144" s="76"/>
      <c r="I144" s="1"/>
      <c r="J144" s="1"/>
      <c r="K144" s="1"/>
      <c r="L144" s="1"/>
      <c r="M144" s="17"/>
      <c r="N144" s="17"/>
      <c r="O144" s="17"/>
      <c r="P144" s="17"/>
      <c r="Q144" s="17"/>
      <c r="R144" s="39"/>
      <c r="S144" s="139"/>
      <c r="T144" s="285"/>
      <c r="U144" s="1" t="str">
        <f t="shared" si="114"/>
        <v>Normal</v>
      </c>
      <c r="V144" s="1" t="str">
        <f t="shared" si="115"/>
        <v>Normal</v>
      </c>
      <c r="W144" s="18">
        <f t="shared" si="116"/>
        <v>0</v>
      </c>
      <c r="X144" s="18">
        <f t="shared" si="117"/>
        <v>0</v>
      </c>
    </row>
    <row r="145" spans="1:24">
      <c r="A145" s="21">
        <v>45526</v>
      </c>
      <c r="B145" s="16">
        <f>IF(YEAR(Table6[[#This Row],[Date]]) = 2024, WEEKNUM(Table6[[#This Row],[Date]])-13, WEEKNUM(Table6[[#This Row],[Date]])+40)</f>
        <v>21</v>
      </c>
      <c r="C145" s="31"/>
      <c r="D145" s="31"/>
      <c r="E145" s="1"/>
      <c r="F145" s="1"/>
      <c r="G145" s="76"/>
      <c r="H145" s="76"/>
      <c r="I145" s="1"/>
      <c r="J145" s="1"/>
      <c r="K145" s="1"/>
      <c r="L145" s="1"/>
      <c r="M145" s="17"/>
      <c r="N145" s="17"/>
      <c r="O145" s="17"/>
      <c r="P145" s="17"/>
      <c r="Q145" s="17"/>
      <c r="R145" s="39"/>
      <c r="S145" s="139"/>
      <c r="T145" s="285"/>
      <c r="U145" s="1" t="str">
        <f t="shared" si="114"/>
        <v>Normal</v>
      </c>
      <c r="V145" s="1" t="str">
        <f t="shared" si="115"/>
        <v>Normal</v>
      </c>
      <c r="W145" s="18">
        <f t="shared" si="116"/>
        <v>0</v>
      </c>
      <c r="X145" s="18">
        <f t="shared" si="117"/>
        <v>0</v>
      </c>
    </row>
    <row r="146" spans="1:24">
      <c r="A146" s="21">
        <v>45527</v>
      </c>
      <c r="B146" s="16">
        <f>IF(YEAR(Table6[[#This Row],[Date]]) = 2024, WEEKNUM(Table6[[#This Row],[Date]])-13, WEEKNUM(Table6[[#This Row],[Date]])+40)</f>
        <v>21</v>
      </c>
      <c r="C146" s="31"/>
      <c r="D146" s="31"/>
      <c r="E146" s="1"/>
      <c r="F146" s="1"/>
      <c r="G146" s="76"/>
      <c r="H146" s="76"/>
      <c r="I146" s="1"/>
      <c r="J146" s="1"/>
      <c r="K146" s="1"/>
      <c r="L146" s="1"/>
      <c r="M146" s="17"/>
      <c r="N146" s="17"/>
      <c r="O146" s="17"/>
      <c r="P146" s="17"/>
      <c r="Q146" s="17"/>
      <c r="R146" s="39"/>
      <c r="S146" s="139"/>
      <c r="T146" s="285"/>
      <c r="U146" s="1" t="str">
        <f t="shared" si="114"/>
        <v>Normal</v>
      </c>
      <c r="V146" s="1" t="str">
        <f t="shared" si="115"/>
        <v>Normal</v>
      </c>
      <c r="W146" s="18">
        <f t="shared" si="116"/>
        <v>0</v>
      </c>
      <c r="X146" s="18">
        <f t="shared" si="117"/>
        <v>0</v>
      </c>
    </row>
    <row r="147" spans="1:24">
      <c r="A147" s="21">
        <v>45528</v>
      </c>
      <c r="B147" s="16">
        <f>IF(YEAR(Table6[[#This Row],[Date]]) = 2024, WEEKNUM(Table6[[#This Row],[Date]])-13, WEEKNUM(Table6[[#This Row],[Date]])+40)</f>
        <v>21</v>
      </c>
      <c r="C147" s="31"/>
      <c r="D147" s="31"/>
      <c r="E147" s="1"/>
      <c r="F147" s="1"/>
      <c r="G147" s="76"/>
      <c r="H147" s="76"/>
      <c r="I147" s="1"/>
      <c r="J147" s="1"/>
      <c r="K147" s="1"/>
      <c r="L147" s="1"/>
      <c r="M147" s="17"/>
      <c r="N147" s="17"/>
      <c r="O147" s="17"/>
      <c r="P147" s="17"/>
      <c r="Q147" s="17"/>
      <c r="R147" s="39"/>
      <c r="S147" s="139"/>
      <c r="T147" s="285"/>
      <c r="U147" s="1" t="str">
        <f t="shared" si="114"/>
        <v>Normal</v>
      </c>
      <c r="V147" s="1" t="str">
        <f t="shared" si="115"/>
        <v>Normal</v>
      </c>
      <c r="W147" s="18">
        <f t="shared" si="116"/>
        <v>0</v>
      </c>
      <c r="X147" s="18">
        <f t="shared" si="117"/>
        <v>0</v>
      </c>
    </row>
    <row r="148" spans="1:24">
      <c r="A148" s="21">
        <v>45529</v>
      </c>
      <c r="B148" s="16">
        <f>IF(YEAR(Table6[[#This Row],[Date]]) = 2024, WEEKNUM(Table6[[#This Row],[Date]])-13, WEEKNUM(Table6[[#This Row],[Date]])+40)</f>
        <v>22</v>
      </c>
      <c r="C148" s="31"/>
      <c r="D148" s="31"/>
      <c r="E148" s="1"/>
      <c r="F148" s="1"/>
      <c r="G148" s="76"/>
      <c r="H148" s="76"/>
      <c r="I148" s="1"/>
      <c r="J148" s="1"/>
      <c r="K148" s="1"/>
      <c r="L148" s="1"/>
      <c r="M148" s="17"/>
      <c r="N148" s="17"/>
      <c r="O148" s="17"/>
      <c r="P148" s="17"/>
      <c r="Q148" s="17"/>
      <c r="R148" s="39"/>
      <c r="S148" s="139"/>
      <c r="T148" s="285"/>
      <c r="U148" s="1" t="str">
        <f t="shared" si="114"/>
        <v>Normal</v>
      </c>
      <c r="V148" s="1" t="str">
        <f t="shared" si="115"/>
        <v>Normal</v>
      </c>
      <c r="W148" s="18">
        <f t="shared" si="116"/>
        <v>0</v>
      </c>
      <c r="X148" s="18">
        <f t="shared" si="117"/>
        <v>0</v>
      </c>
    </row>
    <row r="149" spans="1:24">
      <c r="A149" s="21">
        <v>45530</v>
      </c>
      <c r="B149" s="16">
        <f>IF(YEAR(Table6[[#This Row],[Date]]) = 2024, WEEKNUM(Table6[[#This Row],[Date]])-13, WEEKNUM(Table6[[#This Row],[Date]])+40)</f>
        <v>22</v>
      </c>
      <c r="C149" s="31"/>
      <c r="D149" s="31"/>
      <c r="E149" s="1"/>
      <c r="F149" s="1"/>
      <c r="G149" s="76"/>
      <c r="H149" s="76"/>
      <c r="I149" s="1"/>
      <c r="J149" s="1"/>
      <c r="K149" s="1"/>
      <c r="L149" s="1"/>
      <c r="M149" s="17"/>
      <c r="N149" s="17"/>
      <c r="O149" s="17"/>
      <c r="P149" s="17"/>
      <c r="Q149" s="17"/>
      <c r="R149" s="39"/>
      <c r="S149" s="139"/>
      <c r="T149" s="285"/>
      <c r="U149" s="1" t="str">
        <f t="shared" si="114"/>
        <v>Normal</v>
      </c>
      <c r="V149" s="1" t="str">
        <f t="shared" si="115"/>
        <v>Normal</v>
      </c>
      <c r="W149" s="18">
        <f t="shared" si="116"/>
        <v>0</v>
      </c>
      <c r="X149" s="18">
        <f t="shared" si="117"/>
        <v>0</v>
      </c>
    </row>
    <row r="150" spans="1:24">
      <c r="A150" s="21">
        <v>45531</v>
      </c>
      <c r="B150" s="16">
        <f>IF(YEAR(Table6[[#This Row],[Date]]) = 2024, WEEKNUM(Table6[[#This Row],[Date]])-13, WEEKNUM(Table6[[#This Row],[Date]])+40)</f>
        <v>22</v>
      </c>
      <c r="C150" s="31"/>
      <c r="D150" s="31"/>
      <c r="E150" s="1"/>
      <c r="F150" s="1"/>
      <c r="G150" s="76"/>
      <c r="H150" s="76"/>
      <c r="I150" s="1"/>
      <c r="J150" s="1"/>
      <c r="K150" s="1"/>
      <c r="L150" s="1"/>
      <c r="M150" s="17"/>
      <c r="N150" s="17"/>
      <c r="O150" s="17"/>
      <c r="P150" s="17"/>
      <c r="Q150" s="17"/>
      <c r="R150" s="39"/>
      <c r="S150" s="139"/>
      <c r="T150" s="285"/>
      <c r="U150" s="1" t="str">
        <f t="shared" si="114"/>
        <v>Normal</v>
      </c>
      <c r="V150" s="1" t="str">
        <f t="shared" si="115"/>
        <v>Normal</v>
      </c>
      <c r="W150" s="18">
        <f t="shared" si="116"/>
        <v>0</v>
      </c>
      <c r="X150" s="18">
        <f t="shared" si="117"/>
        <v>0</v>
      </c>
    </row>
    <row r="151" spans="1:24">
      <c r="A151" s="21">
        <v>45532</v>
      </c>
      <c r="B151" s="16">
        <f>IF(YEAR(Table6[[#This Row],[Date]]) = 2024, WEEKNUM(Table6[[#This Row],[Date]])-13, WEEKNUM(Table6[[#This Row],[Date]])+40)</f>
        <v>22</v>
      </c>
      <c r="C151" s="31"/>
      <c r="D151" s="31"/>
      <c r="E151" s="1"/>
      <c r="F151" s="1"/>
      <c r="G151" s="76"/>
      <c r="H151" s="76"/>
      <c r="I151" s="1"/>
      <c r="J151" s="1"/>
      <c r="K151" s="1"/>
      <c r="L151" s="1"/>
      <c r="M151" s="17"/>
      <c r="N151" s="17"/>
      <c r="O151" s="17"/>
      <c r="P151" s="17"/>
      <c r="Q151" s="17"/>
      <c r="R151" s="39"/>
      <c r="S151" s="139"/>
      <c r="T151" s="285"/>
      <c r="U151" s="1" t="str">
        <f t="shared" si="114"/>
        <v>Normal</v>
      </c>
      <c r="V151" s="1" t="str">
        <f t="shared" si="115"/>
        <v>Normal</v>
      </c>
      <c r="W151" s="18">
        <f t="shared" si="116"/>
        <v>0</v>
      </c>
      <c r="X151" s="18">
        <f t="shared" si="117"/>
        <v>0</v>
      </c>
    </row>
    <row r="152" spans="1:24">
      <c r="A152" s="21">
        <v>45533</v>
      </c>
      <c r="B152" s="16">
        <f>IF(YEAR(Table6[[#This Row],[Date]]) = 2024, WEEKNUM(Table6[[#This Row],[Date]])-13, WEEKNUM(Table6[[#This Row],[Date]])+40)</f>
        <v>22</v>
      </c>
      <c r="C152" s="31"/>
      <c r="D152" s="31"/>
      <c r="E152" s="1"/>
      <c r="F152" s="1"/>
      <c r="G152" s="76"/>
      <c r="H152" s="76"/>
      <c r="I152" s="1"/>
      <c r="J152" s="1"/>
      <c r="K152" s="1"/>
      <c r="L152" s="1"/>
      <c r="M152" s="17"/>
      <c r="N152" s="17"/>
      <c r="O152" s="17"/>
      <c r="P152" s="17"/>
      <c r="Q152" s="17"/>
      <c r="R152" s="39"/>
      <c r="S152" s="139"/>
      <c r="T152" s="285"/>
      <c r="U152" s="1" t="str">
        <f t="shared" si="114"/>
        <v>Normal</v>
      </c>
      <c r="V152" s="1" t="str">
        <f t="shared" si="115"/>
        <v>Normal</v>
      </c>
      <c r="W152" s="18">
        <f t="shared" si="116"/>
        <v>0</v>
      </c>
      <c r="X152" s="18">
        <f t="shared" si="117"/>
        <v>0</v>
      </c>
    </row>
    <row r="153" spans="1:24">
      <c r="A153" s="21">
        <v>45534</v>
      </c>
      <c r="B153" s="16">
        <f>IF(YEAR(Table6[[#This Row],[Date]]) = 2024, WEEKNUM(Table6[[#This Row],[Date]])-13, WEEKNUM(Table6[[#This Row],[Date]])+40)</f>
        <v>22</v>
      </c>
      <c r="C153" s="31"/>
      <c r="D153" s="31"/>
      <c r="E153" s="1"/>
      <c r="F153" s="1"/>
      <c r="G153" s="76"/>
      <c r="H153" s="76"/>
      <c r="I153" s="1"/>
      <c r="J153" s="1"/>
      <c r="K153" s="1"/>
      <c r="L153" s="1"/>
      <c r="M153" s="17"/>
      <c r="N153" s="17"/>
      <c r="O153" s="17"/>
      <c r="P153" s="17"/>
      <c r="Q153" s="17"/>
      <c r="R153" s="39"/>
      <c r="S153" s="139"/>
      <c r="T153" s="285"/>
      <c r="U153" s="1" t="str">
        <f t="shared" si="114"/>
        <v>Normal</v>
      </c>
      <c r="V153" s="1" t="str">
        <f t="shared" si="115"/>
        <v>Normal</v>
      </c>
      <c r="W153" s="18">
        <f t="shared" si="116"/>
        <v>0</v>
      </c>
      <c r="X153" s="18">
        <f t="shared" si="117"/>
        <v>0</v>
      </c>
    </row>
    <row r="154" spans="1:24">
      <c r="A154" s="21">
        <v>45535</v>
      </c>
      <c r="B154" s="16">
        <f>IF(YEAR(Table6[[#This Row],[Date]]) = 2024, WEEKNUM(Table6[[#This Row],[Date]])-13, WEEKNUM(Table6[[#This Row],[Date]])+40)</f>
        <v>22</v>
      </c>
      <c r="C154" s="31"/>
      <c r="D154" s="31"/>
      <c r="E154" s="1"/>
      <c r="F154" s="1"/>
      <c r="G154" s="76"/>
      <c r="H154" s="76"/>
      <c r="I154" s="1"/>
      <c r="J154" s="1"/>
      <c r="K154" s="1"/>
      <c r="L154" s="1"/>
      <c r="M154" s="17"/>
      <c r="N154" s="17"/>
      <c r="O154" s="17"/>
      <c r="P154" s="17"/>
      <c r="Q154" s="17"/>
      <c r="R154" s="39"/>
      <c r="S154" s="139"/>
      <c r="T154" s="285"/>
      <c r="U154" s="1" t="str">
        <f t="shared" si="114"/>
        <v>Normal</v>
      </c>
      <c r="V154" s="1" t="str">
        <f t="shared" si="115"/>
        <v>Normal</v>
      </c>
      <c r="W154" s="18">
        <f t="shared" si="116"/>
        <v>0</v>
      </c>
      <c r="X154" s="18">
        <f t="shared" si="117"/>
        <v>0</v>
      </c>
    </row>
    <row r="155" spans="1:24">
      <c r="A155" s="21">
        <v>45536</v>
      </c>
      <c r="B155" s="16">
        <f>IF(YEAR(Table6[[#This Row],[Date]]) = 2024, WEEKNUM(Table6[[#This Row],[Date]])-13, WEEKNUM(Table6[[#This Row],[Date]])+40)</f>
        <v>23</v>
      </c>
      <c r="C155" s="31"/>
      <c r="D155" s="31"/>
      <c r="E155" s="1"/>
      <c r="F155" s="1"/>
      <c r="G155" s="76"/>
      <c r="H155" s="76"/>
      <c r="I155" s="1"/>
      <c r="J155" s="1"/>
      <c r="K155" s="1"/>
      <c r="L155" s="1"/>
      <c r="M155" s="17"/>
      <c r="N155" s="17"/>
      <c r="O155" s="17"/>
      <c r="P155" s="17"/>
      <c r="Q155" s="17"/>
      <c r="R155" s="39"/>
      <c r="S155" s="139"/>
      <c r="T155" s="285"/>
      <c r="U155" s="1" t="str">
        <f t="shared" si="114"/>
        <v>Normal</v>
      </c>
      <c r="V155" s="1" t="str">
        <f t="shared" si="115"/>
        <v>Normal</v>
      </c>
      <c r="W155" s="18">
        <f t="shared" si="116"/>
        <v>0</v>
      </c>
      <c r="X155" s="18">
        <f t="shared" si="117"/>
        <v>0</v>
      </c>
    </row>
    <row r="156" spans="1:24">
      <c r="A156" s="21">
        <v>45537</v>
      </c>
      <c r="B156" s="16">
        <f>IF(YEAR(Table6[[#This Row],[Date]]) = 2024, WEEKNUM(Table6[[#This Row],[Date]])-13, WEEKNUM(Table6[[#This Row],[Date]])+40)</f>
        <v>23</v>
      </c>
      <c r="C156" s="31"/>
      <c r="D156" s="31"/>
      <c r="E156" s="1"/>
      <c r="F156" s="1"/>
      <c r="G156" s="76"/>
      <c r="H156" s="76"/>
      <c r="I156" s="1"/>
      <c r="J156" s="1"/>
      <c r="K156" s="1"/>
      <c r="L156" s="1"/>
      <c r="M156" s="17"/>
      <c r="N156" s="17"/>
      <c r="O156" s="17"/>
      <c r="P156" s="17"/>
      <c r="Q156" s="17"/>
      <c r="R156" s="39"/>
      <c r="S156" s="139"/>
      <c r="T156" s="285"/>
      <c r="U156" s="1" t="str">
        <f t="shared" si="114"/>
        <v>Normal</v>
      </c>
      <c r="V156" s="1" t="str">
        <f t="shared" si="115"/>
        <v>Normal</v>
      </c>
      <c r="W156" s="18">
        <f t="shared" si="116"/>
        <v>0</v>
      </c>
      <c r="X156" s="18">
        <f t="shared" si="117"/>
        <v>0</v>
      </c>
    </row>
    <row r="157" spans="1:24">
      <c r="A157" s="21">
        <v>45538</v>
      </c>
      <c r="B157" s="16">
        <f>IF(YEAR(Table6[[#This Row],[Date]]) = 2024, WEEKNUM(Table6[[#This Row],[Date]])-13, WEEKNUM(Table6[[#This Row],[Date]])+40)</f>
        <v>23</v>
      </c>
      <c r="C157" s="31"/>
      <c r="D157" s="31"/>
      <c r="E157" s="1"/>
      <c r="F157" s="1"/>
      <c r="G157" s="76"/>
      <c r="H157" s="76"/>
      <c r="I157" s="1"/>
      <c r="J157" s="1"/>
      <c r="K157" s="1"/>
      <c r="L157" s="1"/>
      <c r="M157" s="17"/>
      <c r="N157" s="17"/>
      <c r="O157" s="17"/>
      <c r="P157" s="17"/>
      <c r="Q157" s="17"/>
      <c r="R157" s="39"/>
      <c r="S157" s="139"/>
      <c r="T157" s="285"/>
      <c r="U157" s="1" t="str">
        <f t="shared" si="114"/>
        <v>Normal</v>
      </c>
      <c r="V157" s="1" t="str">
        <f t="shared" si="115"/>
        <v>Normal</v>
      </c>
      <c r="W157" s="18">
        <f t="shared" si="116"/>
        <v>0</v>
      </c>
      <c r="X157" s="18">
        <f t="shared" si="117"/>
        <v>0</v>
      </c>
    </row>
    <row r="158" spans="1:24">
      <c r="A158" s="21">
        <v>45539</v>
      </c>
      <c r="B158" s="16">
        <f>IF(YEAR(Table6[[#This Row],[Date]]) = 2024, WEEKNUM(Table6[[#This Row],[Date]])-13, WEEKNUM(Table6[[#This Row],[Date]])+40)</f>
        <v>23</v>
      </c>
      <c r="C158" s="31"/>
      <c r="D158" s="31"/>
      <c r="E158" s="1"/>
      <c r="F158" s="1"/>
      <c r="G158" s="76"/>
      <c r="H158" s="76"/>
      <c r="I158" s="1"/>
      <c r="J158" s="1"/>
      <c r="K158" s="1"/>
      <c r="L158" s="1"/>
      <c r="M158" s="17"/>
      <c r="N158" s="17"/>
      <c r="O158" s="17"/>
      <c r="P158" s="17"/>
      <c r="Q158" s="17"/>
      <c r="R158" s="39"/>
      <c r="S158" s="139"/>
      <c r="T158" s="285"/>
      <c r="U158" s="1" t="str">
        <f t="shared" si="114"/>
        <v>Normal</v>
      </c>
      <c r="V158" s="1" t="str">
        <f t="shared" si="115"/>
        <v>Normal</v>
      </c>
      <c r="W158" s="18">
        <f t="shared" si="116"/>
        <v>0</v>
      </c>
      <c r="X158" s="18">
        <f t="shared" si="117"/>
        <v>0</v>
      </c>
    </row>
    <row r="159" spans="1:24">
      <c r="A159" s="21">
        <v>45540</v>
      </c>
      <c r="B159" s="16">
        <f>IF(YEAR(Table6[[#This Row],[Date]]) = 2024, WEEKNUM(Table6[[#This Row],[Date]])-13, WEEKNUM(Table6[[#This Row],[Date]])+40)</f>
        <v>23</v>
      </c>
      <c r="C159" s="31"/>
      <c r="D159" s="31"/>
      <c r="E159" s="1"/>
      <c r="F159" s="1"/>
      <c r="G159" s="76"/>
      <c r="H159" s="76"/>
      <c r="I159" s="1"/>
      <c r="J159" s="1"/>
      <c r="K159" s="1"/>
      <c r="L159" s="1"/>
      <c r="M159" s="17"/>
      <c r="N159" s="17"/>
      <c r="O159" s="17"/>
      <c r="P159" s="17"/>
      <c r="Q159" s="17"/>
      <c r="R159" s="39"/>
      <c r="S159" s="139"/>
      <c r="T159" s="285"/>
      <c r="U159" s="1" t="str">
        <f t="shared" si="114"/>
        <v>Normal</v>
      </c>
      <c r="V159" s="1" t="str">
        <f t="shared" si="115"/>
        <v>Normal</v>
      </c>
      <c r="W159" s="18">
        <f t="shared" si="116"/>
        <v>0</v>
      </c>
      <c r="X159" s="18">
        <f t="shared" si="117"/>
        <v>0</v>
      </c>
    </row>
    <row r="160" spans="1:24">
      <c r="A160" s="21">
        <v>45541</v>
      </c>
      <c r="B160" s="16">
        <f>IF(YEAR(Table6[[#This Row],[Date]]) = 2024, WEEKNUM(Table6[[#This Row],[Date]])-13, WEEKNUM(Table6[[#This Row],[Date]])+40)</f>
        <v>23</v>
      </c>
      <c r="C160" s="31"/>
      <c r="D160" s="31"/>
      <c r="E160" s="1"/>
      <c r="F160" s="1"/>
      <c r="G160" s="76"/>
      <c r="H160" s="76"/>
      <c r="I160" s="1"/>
      <c r="J160" s="1"/>
      <c r="K160" s="1"/>
      <c r="L160" s="1"/>
      <c r="M160" s="17"/>
      <c r="N160" s="17"/>
      <c r="O160" s="17"/>
      <c r="P160" s="17"/>
      <c r="Q160" s="17"/>
      <c r="R160" s="39"/>
      <c r="S160" s="139"/>
      <c r="T160" s="285"/>
      <c r="U160" s="1" t="str">
        <f t="shared" si="114"/>
        <v>Normal</v>
      </c>
      <c r="V160" s="1" t="str">
        <f t="shared" si="115"/>
        <v>Normal</v>
      </c>
      <c r="W160" s="18">
        <f t="shared" si="116"/>
        <v>0</v>
      </c>
      <c r="X160" s="18">
        <f t="shared" si="117"/>
        <v>0</v>
      </c>
    </row>
    <row r="161" spans="1:24">
      <c r="A161" s="21">
        <v>45542</v>
      </c>
      <c r="B161" s="16">
        <f>IF(YEAR(Table6[[#This Row],[Date]]) = 2024, WEEKNUM(Table6[[#This Row],[Date]])-13, WEEKNUM(Table6[[#This Row],[Date]])+40)</f>
        <v>23</v>
      </c>
      <c r="C161" s="31"/>
      <c r="D161" s="31"/>
      <c r="E161" s="1"/>
      <c r="F161" s="1"/>
      <c r="G161" s="76"/>
      <c r="H161" s="76"/>
      <c r="I161" s="1"/>
      <c r="J161" s="1"/>
      <c r="K161" s="1"/>
      <c r="L161" s="1"/>
      <c r="M161" s="17"/>
      <c r="N161" s="17"/>
      <c r="O161" s="17"/>
      <c r="P161" s="17"/>
      <c r="Q161" s="17"/>
      <c r="R161" s="39"/>
      <c r="S161" s="139"/>
      <c r="T161" s="285"/>
      <c r="U161" s="1" t="str">
        <f t="shared" si="114"/>
        <v>Normal</v>
      </c>
      <c r="V161" s="1" t="str">
        <f t="shared" si="115"/>
        <v>Normal</v>
      </c>
      <c r="W161" s="18">
        <f t="shared" si="116"/>
        <v>0</v>
      </c>
      <c r="X161" s="18">
        <f t="shared" si="117"/>
        <v>0</v>
      </c>
    </row>
    <row r="162" spans="1:24">
      <c r="A162" s="21">
        <v>45543</v>
      </c>
      <c r="B162" s="16">
        <f>IF(YEAR(Table6[[#This Row],[Date]]) = 2024, WEEKNUM(Table6[[#This Row],[Date]])-13, WEEKNUM(Table6[[#This Row],[Date]])+40)</f>
        <v>24</v>
      </c>
      <c r="C162" s="31"/>
      <c r="D162" s="31"/>
      <c r="E162" s="1"/>
      <c r="F162" s="1"/>
      <c r="G162" s="76"/>
      <c r="H162" s="76"/>
      <c r="I162" s="1"/>
      <c r="J162" s="1"/>
      <c r="K162" s="1"/>
      <c r="L162" s="1"/>
      <c r="M162" s="17"/>
      <c r="N162" s="17"/>
      <c r="O162" s="17"/>
      <c r="P162" s="17"/>
      <c r="Q162" s="17"/>
      <c r="R162" s="39"/>
      <c r="S162" s="139"/>
      <c r="T162" s="285"/>
      <c r="U162" s="1" t="str">
        <f t="shared" si="114"/>
        <v>Normal</v>
      </c>
      <c r="V162" s="1" t="str">
        <f t="shared" si="115"/>
        <v>Normal</v>
      </c>
      <c r="W162" s="18">
        <f t="shared" si="116"/>
        <v>0</v>
      </c>
      <c r="X162" s="18">
        <f t="shared" si="117"/>
        <v>0</v>
      </c>
    </row>
    <row r="163" spans="1:24">
      <c r="A163" s="21">
        <v>45544</v>
      </c>
      <c r="B163" s="16">
        <f>IF(YEAR(Table6[[#This Row],[Date]]) = 2024, WEEKNUM(Table6[[#This Row],[Date]])-13, WEEKNUM(Table6[[#This Row],[Date]])+40)</f>
        <v>24</v>
      </c>
      <c r="C163" s="31"/>
      <c r="D163" s="31"/>
      <c r="E163" s="1"/>
      <c r="F163" s="1"/>
      <c r="G163" s="76"/>
      <c r="H163" s="76"/>
      <c r="I163" s="1"/>
      <c r="J163" s="1"/>
      <c r="K163" s="1"/>
      <c r="L163" s="1"/>
      <c r="M163" s="17"/>
      <c r="N163" s="17"/>
      <c r="O163" s="17"/>
      <c r="P163" s="17"/>
      <c r="Q163" s="17"/>
      <c r="R163" s="39"/>
      <c r="S163" s="139"/>
      <c r="T163" s="285"/>
      <c r="U163" s="1" t="str">
        <f t="shared" si="114"/>
        <v>Normal</v>
      </c>
      <c r="V163" s="1" t="str">
        <f t="shared" si="115"/>
        <v>Normal</v>
      </c>
      <c r="W163" s="18">
        <f t="shared" si="116"/>
        <v>0</v>
      </c>
      <c r="X163" s="18">
        <f t="shared" si="117"/>
        <v>0</v>
      </c>
    </row>
    <row r="164" spans="1:24">
      <c r="A164" s="21">
        <v>45545</v>
      </c>
      <c r="B164" s="16">
        <f>IF(YEAR(Table6[[#This Row],[Date]]) = 2024, WEEKNUM(Table6[[#This Row],[Date]])-13, WEEKNUM(Table6[[#This Row],[Date]])+40)</f>
        <v>24</v>
      </c>
      <c r="C164" s="31"/>
      <c r="D164" s="31"/>
      <c r="E164" s="1"/>
      <c r="F164" s="1"/>
      <c r="G164" s="76"/>
      <c r="H164" s="76"/>
      <c r="I164" s="1"/>
      <c r="J164" s="1"/>
      <c r="K164" s="1"/>
      <c r="L164" s="1"/>
      <c r="M164" s="17"/>
      <c r="N164" s="17"/>
      <c r="O164" s="17"/>
      <c r="P164" s="17"/>
      <c r="Q164" s="17"/>
      <c r="R164" s="39"/>
      <c r="S164" s="139"/>
      <c r="T164" s="285"/>
      <c r="U164" s="1" t="str">
        <f t="shared" si="114"/>
        <v>Normal</v>
      </c>
      <c r="V164" s="1" t="str">
        <f t="shared" si="115"/>
        <v>Normal</v>
      </c>
      <c r="W164" s="18">
        <f t="shared" si="116"/>
        <v>0</v>
      </c>
      <c r="X164" s="18">
        <f t="shared" si="117"/>
        <v>0</v>
      </c>
    </row>
    <row r="165" spans="1:24">
      <c r="A165" s="21">
        <v>45546</v>
      </c>
      <c r="B165" s="16">
        <f>IF(YEAR(Table6[[#This Row],[Date]]) = 2024, WEEKNUM(Table6[[#This Row],[Date]])-13, WEEKNUM(Table6[[#This Row],[Date]])+40)</f>
        <v>24</v>
      </c>
      <c r="C165" s="31"/>
      <c r="D165" s="31"/>
      <c r="E165" s="1"/>
      <c r="F165" s="1"/>
      <c r="G165" s="76"/>
      <c r="H165" s="76"/>
      <c r="I165" s="1"/>
      <c r="J165" s="1"/>
      <c r="K165" s="1"/>
      <c r="L165" s="1"/>
      <c r="M165" s="17"/>
      <c r="N165" s="17"/>
      <c r="O165" s="17"/>
      <c r="P165" s="17"/>
      <c r="Q165" s="17"/>
      <c r="R165" s="39"/>
      <c r="S165" s="139"/>
      <c r="T165" s="285"/>
      <c r="U165" s="1" t="str">
        <f t="shared" si="114"/>
        <v>Normal</v>
      </c>
      <c r="V165" s="1" t="str">
        <f t="shared" si="115"/>
        <v>Normal</v>
      </c>
      <c r="W165" s="18">
        <f t="shared" si="116"/>
        <v>0</v>
      </c>
      <c r="X165" s="18">
        <f t="shared" si="117"/>
        <v>0</v>
      </c>
    </row>
    <row r="166" spans="1:24">
      <c r="A166" s="21">
        <v>45547</v>
      </c>
      <c r="B166" s="16">
        <f>IF(YEAR(Table6[[#This Row],[Date]]) = 2024, WEEKNUM(Table6[[#This Row],[Date]])-13, WEEKNUM(Table6[[#This Row],[Date]])+40)</f>
        <v>24</v>
      </c>
      <c r="C166" s="31"/>
      <c r="D166" s="31"/>
      <c r="E166" s="1"/>
      <c r="F166" s="1"/>
      <c r="G166" s="76"/>
      <c r="H166" s="76"/>
      <c r="I166" s="1"/>
      <c r="J166" s="1"/>
      <c r="K166" s="1"/>
      <c r="L166" s="1"/>
      <c r="M166" s="17"/>
      <c r="N166" s="17"/>
      <c r="O166" s="17"/>
      <c r="P166" s="17"/>
      <c r="Q166" s="17"/>
      <c r="R166" s="39"/>
      <c r="S166" s="139"/>
      <c r="T166" s="285"/>
      <c r="U166" s="1" t="str">
        <f t="shared" si="114"/>
        <v>Normal</v>
      </c>
      <c r="V166" s="1" t="str">
        <f t="shared" si="115"/>
        <v>Normal</v>
      </c>
      <c r="W166" s="18">
        <f t="shared" si="116"/>
        <v>0</v>
      </c>
      <c r="X166" s="18">
        <f t="shared" si="117"/>
        <v>0</v>
      </c>
    </row>
    <row r="167" spans="1:24">
      <c r="A167" s="21">
        <v>45548</v>
      </c>
      <c r="B167" s="16">
        <f>IF(YEAR(Table6[[#This Row],[Date]]) = 2024, WEEKNUM(Table6[[#This Row],[Date]])-13, WEEKNUM(Table6[[#This Row],[Date]])+40)</f>
        <v>24</v>
      </c>
      <c r="C167" s="31"/>
      <c r="D167" s="31"/>
      <c r="E167" s="1"/>
      <c r="F167" s="1"/>
      <c r="G167" s="76"/>
      <c r="H167" s="76"/>
      <c r="I167" s="1"/>
      <c r="J167" s="1"/>
      <c r="K167" s="1"/>
      <c r="L167" s="1"/>
      <c r="M167" s="17"/>
      <c r="N167" s="17"/>
      <c r="O167" s="17"/>
      <c r="P167" s="17"/>
      <c r="Q167" s="17"/>
      <c r="R167" s="39"/>
      <c r="S167" s="139"/>
      <c r="T167" s="285"/>
      <c r="U167" s="1" t="str">
        <f t="shared" si="114"/>
        <v>Normal</v>
      </c>
      <c r="V167" s="1" t="str">
        <f t="shared" si="115"/>
        <v>Normal</v>
      </c>
      <c r="W167" s="18">
        <f t="shared" si="116"/>
        <v>0</v>
      </c>
      <c r="X167" s="18">
        <f t="shared" si="117"/>
        <v>0</v>
      </c>
    </row>
    <row r="168" spans="1:24">
      <c r="A168" s="21">
        <v>45549</v>
      </c>
      <c r="B168" s="16">
        <f>IF(YEAR(Table6[[#This Row],[Date]]) = 2024, WEEKNUM(Table6[[#This Row],[Date]])-13, WEEKNUM(Table6[[#This Row],[Date]])+40)</f>
        <v>24</v>
      </c>
      <c r="C168" s="31"/>
      <c r="D168" s="31"/>
      <c r="E168" s="1"/>
      <c r="F168" s="1"/>
      <c r="G168" s="76"/>
      <c r="H168" s="76"/>
      <c r="I168" s="1"/>
      <c r="J168" s="1"/>
      <c r="K168" s="1"/>
      <c r="L168" s="1"/>
      <c r="M168" s="17"/>
      <c r="N168" s="17"/>
      <c r="O168" s="17"/>
      <c r="P168" s="17"/>
      <c r="Q168" s="17"/>
      <c r="R168" s="39"/>
      <c r="S168" s="139"/>
      <c r="T168" s="285"/>
      <c r="U168" s="1" t="str">
        <f t="shared" si="114"/>
        <v>Normal</v>
      </c>
      <c r="V168" s="1" t="str">
        <f t="shared" si="115"/>
        <v>Normal</v>
      </c>
      <c r="W168" s="18">
        <f t="shared" si="116"/>
        <v>0</v>
      </c>
      <c r="X168" s="18">
        <f t="shared" si="117"/>
        <v>0</v>
      </c>
    </row>
    <row r="169" spans="1:24">
      <c r="A169" s="21">
        <v>45550</v>
      </c>
      <c r="B169" s="16">
        <f>IF(YEAR(Table6[[#This Row],[Date]]) = 2024, WEEKNUM(Table6[[#This Row],[Date]])-13, WEEKNUM(Table6[[#This Row],[Date]])+40)</f>
        <v>25</v>
      </c>
      <c r="C169" s="31"/>
      <c r="D169" s="31"/>
      <c r="E169" s="1"/>
      <c r="F169" s="1"/>
      <c r="G169" s="76"/>
      <c r="H169" s="76"/>
      <c r="I169" s="1"/>
      <c r="J169" s="1"/>
      <c r="K169" s="1"/>
      <c r="L169" s="1"/>
      <c r="M169" s="17"/>
      <c r="N169" s="17"/>
      <c r="O169" s="17"/>
      <c r="P169" s="17"/>
      <c r="Q169" s="17"/>
      <c r="R169" s="39"/>
      <c r="S169" s="139"/>
      <c r="T169" s="285"/>
      <c r="U169" s="1" t="str">
        <f t="shared" si="114"/>
        <v>Normal</v>
      </c>
      <c r="V169" s="1" t="str">
        <f t="shared" si="115"/>
        <v>Normal</v>
      </c>
      <c r="W169" s="18">
        <f t="shared" si="116"/>
        <v>0</v>
      </c>
      <c r="X169" s="18">
        <f t="shared" si="117"/>
        <v>0</v>
      </c>
    </row>
    <row r="170" spans="1:24">
      <c r="A170" s="21">
        <v>45551</v>
      </c>
      <c r="B170" s="16">
        <f>IF(YEAR(Table6[[#This Row],[Date]]) = 2024, WEEKNUM(Table6[[#This Row],[Date]])-13, WEEKNUM(Table6[[#This Row],[Date]])+40)</f>
        <v>25</v>
      </c>
      <c r="C170" s="31"/>
      <c r="D170" s="31"/>
      <c r="E170" s="1"/>
      <c r="F170" s="1"/>
      <c r="G170" s="76"/>
      <c r="H170" s="76"/>
      <c r="I170" s="1"/>
      <c r="J170" s="1"/>
      <c r="K170" s="1"/>
      <c r="L170" s="1"/>
      <c r="M170" s="17"/>
      <c r="N170" s="17"/>
      <c r="O170" s="17"/>
      <c r="P170" s="17"/>
      <c r="Q170" s="17"/>
      <c r="R170" s="39"/>
      <c r="S170" s="139"/>
      <c r="T170" s="285"/>
      <c r="U170" s="1" t="str">
        <f t="shared" si="114"/>
        <v>Normal</v>
      </c>
      <c r="V170" s="1" t="str">
        <f t="shared" si="115"/>
        <v>Normal</v>
      </c>
      <c r="W170" s="18">
        <f t="shared" si="116"/>
        <v>0</v>
      </c>
      <c r="X170" s="18">
        <f t="shared" si="117"/>
        <v>0</v>
      </c>
    </row>
    <row r="171" spans="1:24">
      <c r="A171" s="21">
        <v>45552</v>
      </c>
      <c r="B171" s="16">
        <f>IF(YEAR(Table6[[#This Row],[Date]]) = 2024, WEEKNUM(Table6[[#This Row],[Date]])-13, WEEKNUM(Table6[[#This Row],[Date]])+40)</f>
        <v>25</v>
      </c>
      <c r="C171" s="31"/>
      <c r="D171" s="31"/>
      <c r="E171" s="1"/>
      <c r="F171" s="1"/>
      <c r="G171" s="76"/>
      <c r="H171" s="76"/>
      <c r="I171" s="1"/>
      <c r="J171" s="1"/>
      <c r="K171" s="1"/>
      <c r="L171" s="1"/>
      <c r="M171" s="17"/>
      <c r="N171" s="17"/>
      <c r="O171" s="17"/>
      <c r="P171" s="17"/>
      <c r="Q171" s="17"/>
      <c r="R171" s="39"/>
      <c r="S171" s="139"/>
      <c r="T171" s="285"/>
      <c r="U171" s="1" t="str">
        <f t="shared" si="114"/>
        <v>Normal</v>
      </c>
      <c r="V171" s="1" t="str">
        <f t="shared" si="115"/>
        <v>Normal</v>
      </c>
      <c r="W171" s="18">
        <f t="shared" si="116"/>
        <v>0</v>
      </c>
      <c r="X171" s="18">
        <f t="shared" si="117"/>
        <v>0</v>
      </c>
    </row>
    <row r="172" spans="1:24">
      <c r="A172" s="21">
        <v>45553</v>
      </c>
      <c r="B172" s="16">
        <f>IF(YEAR(Table6[[#This Row],[Date]]) = 2024, WEEKNUM(Table6[[#This Row],[Date]])-13, WEEKNUM(Table6[[#This Row],[Date]])+40)</f>
        <v>25</v>
      </c>
      <c r="C172" s="31"/>
      <c r="D172" s="31"/>
      <c r="E172" s="1"/>
      <c r="F172" s="1"/>
      <c r="G172" s="76"/>
      <c r="H172" s="76"/>
      <c r="I172" s="1"/>
      <c r="J172" s="1"/>
      <c r="K172" s="1"/>
      <c r="L172" s="1"/>
      <c r="M172" s="17"/>
      <c r="N172" s="17"/>
      <c r="O172" s="17"/>
      <c r="P172" s="17"/>
      <c r="Q172" s="17"/>
      <c r="R172" s="39"/>
      <c r="S172" s="139"/>
      <c r="T172" s="285"/>
      <c r="U172" s="1" t="str">
        <f t="shared" si="114"/>
        <v>Normal</v>
      </c>
      <c r="V172" s="1" t="str">
        <f t="shared" si="115"/>
        <v>Normal</v>
      </c>
      <c r="W172" s="18">
        <f t="shared" si="116"/>
        <v>0</v>
      </c>
      <c r="X172" s="18">
        <f t="shared" si="117"/>
        <v>0</v>
      </c>
    </row>
    <row r="173" spans="1:24">
      <c r="A173" s="21">
        <v>45554</v>
      </c>
      <c r="B173" s="16">
        <f>IF(YEAR(Table6[[#This Row],[Date]]) = 2024, WEEKNUM(Table6[[#This Row],[Date]])-13, WEEKNUM(Table6[[#This Row],[Date]])+40)</f>
        <v>25</v>
      </c>
      <c r="C173" s="31"/>
      <c r="D173" s="31"/>
      <c r="E173" s="1"/>
      <c r="F173" s="1"/>
      <c r="G173" s="76"/>
      <c r="H173" s="76"/>
      <c r="I173" s="1"/>
      <c r="J173" s="1"/>
      <c r="K173" s="1"/>
      <c r="L173" s="1"/>
      <c r="M173" s="17"/>
      <c r="N173" s="17"/>
      <c r="O173" s="17"/>
      <c r="P173" s="17"/>
      <c r="Q173" s="17"/>
      <c r="R173" s="39"/>
      <c r="S173" s="139"/>
      <c r="T173" s="285"/>
      <c r="U173" s="1" t="str">
        <f t="shared" si="114"/>
        <v>Normal</v>
      </c>
      <c r="V173" s="1" t="str">
        <f t="shared" si="115"/>
        <v>Normal</v>
      </c>
      <c r="W173" s="18">
        <f t="shared" si="116"/>
        <v>0</v>
      </c>
      <c r="X173" s="18">
        <f t="shared" si="117"/>
        <v>0</v>
      </c>
    </row>
    <row r="174" spans="1:24">
      <c r="A174" s="21">
        <v>45555</v>
      </c>
      <c r="B174" s="16">
        <f>IF(YEAR(Table6[[#This Row],[Date]]) = 2024, WEEKNUM(Table6[[#This Row],[Date]])-13, WEEKNUM(Table6[[#This Row],[Date]])+40)</f>
        <v>25</v>
      </c>
      <c r="C174" s="31"/>
      <c r="D174" s="31"/>
      <c r="E174" s="1"/>
      <c r="F174" s="1"/>
      <c r="G174" s="76"/>
      <c r="H174" s="76"/>
      <c r="I174" s="1"/>
      <c r="J174" s="1"/>
      <c r="K174" s="1"/>
      <c r="L174" s="1"/>
      <c r="M174" s="17"/>
      <c r="N174" s="17"/>
      <c r="O174" s="17"/>
      <c r="P174" s="17"/>
      <c r="Q174" s="17"/>
      <c r="R174" s="39"/>
      <c r="S174" s="139"/>
      <c r="T174" s="285"/>
      <c r="U174" s="1" t="str">
        <f t="shared" si="114"/>
        <v>Normal</v>
      </c>
      <c r="V174" s="1" t="str">
        <f t="shared" si="115"/>
        <v>Normal</v>
      </c>
      <c r="W174" s="18">
        <f t="shared" si="116"/>
        <v>0</v>
      </c>
      <c r="X174" s="18">
        <f t="shared" si="117"/>
        <v>0</v>
      </c>
    </row>
    <row r="175" spans="1:24">
      <c r="A175" s="21">
        <v>45556</v>
      </c>
      <c r="B175" s="16">
        <f>IF(YEAR(Table6[[#This Row],[Date]]) = 2024, WEEKNUM(Table6[[#This Row],[Date]])-13, WEEKNUM(Table6[[#This Row],[Date]])+40)</f>
        <v>25</v>
      </c>
      <c r="C175" s="31"/>
      <c r="D175" s="31"/>
      <c r="E175" s="1"/>
      <c r="F175" s="1"/>
      <c r="G175" s="76"/>
      <c r="H175" s="76"/>
      <c r="I175" s="1"/>
      <c r="J175" s="1"/>
      <c r="K175" s="1"/>
      <c r="L175" s="1"/>
      <c r="M175" s="17"/>
      <c r="N175" s="17"/>
      <c r="O175" s="17"/>
      <c r="P175" s="17"/>
      <c r="Q175" s="17"/>
      <c r="R175" s="39"/>
      <c r="S175" s="139"/>
      <c r="T175" s="285"/>
      <c r="U175" s="1" t="str">
        <f t="shared" si="114"/>
        <v>Normal</v>
      </c>
      <c r="V175" s="1" t="str">
        <f t="shared" si="115"/>
        <v>Normal</v>
      </c>
      <c r="W175" s="18">
        <f t="shared" si="116"/>
        <v>0</v>
      </c>
      <c r="X175" s="18">
        <f t="shared" si="117"/>
        <v>0</v>
      </c>
    </row>
    <row r="176" spans="1:24">
      <c r="A176" s="21">
        <v>45557</v>
      </c>
      <c r="B176" s="16">
        <f>IF(YEAR(Table6[[#This Row],[Date]]) = 2024, WEEKNUM(Table6[[#This Row],[Date]])-13, WEEKNUM(Table6[[#This Row],[Date]])+40)</f>
        <v>26</v>
      </c>
      <c r="C176" s="31"/>
      <c r="D176" s="31"/>
      <c r="E176" s="1"/>
      <c r="F176" s="1"/>
      <c r="G176" s="76"/>
      <c r="H176" s="76"/>
      <c r="I176" s="1"/>
      <c r="J176" s="1"/>
      <c r="K176" s="1"/>
      <c r="L176" s="1"/>
      <c r="M176" s="17"/>
      <c r="N176" s="17"/>
      <c r="O176" s="17"/>
      <c r="P176" s="17"/>
      <c r="Q176" s="17"/>
      <c r="R176" s="39"/>
      <c r="S176" s="139"/>
      <c r="T176" s="285"/>
      <c r="U176" s="1" t="str">
        <f t="shared" si="114"/>
        <v>Normal</v>
      </c>
      <c r="V176" s="1" t="str">
        <f t="shared" si="115"/>
        <v>Normal</v>
      </c>
      <c r="W176" s="18">
        <f t="shared" si="116"/>
        <v>0</v>
      </c>
      <c r="X176" s="18">
        <f t="shared" si="117"/>
        <v>0</v>
      </c>
    </row>
    <row r="177" spans="1:24">
      <c r="A177" s="21">
        <v>45558</v>
      </c>
      <c r="B177" s="16">
        <f>IF(YEAR(Table6[[#This Row],[Date]]) = 2024, WEEKNUM(Table6[[#This Row],[Date]])-13, WEEKNUM(Table6[[#This Row],[Date]])+40)</f>
        <v>26</v>
      </c>
      <c r="C177" s="31"/>
      <c r="D177" s="31"/>
      <c r="E177" s="1"/>
      <c r="F177" s="1"/>
      <c r="G177" s="76"/>
      <c r="H177" s="76"/>
      <c r="I177" s="1"/>
      <c r="J177" s="1"/>
      <c r="K177" s="1"/>
      <c r="L177" s="1"/>
      <c r="M177" s="17"/>
      <c r="N177" s="17"/>
      <c r="O177" s="17"/>
      <c r="P177" s="17"/>
      <c r="Q177" s="17"/>
      <c r="R177" s="39"/>
      <c r="S177" s="139"/>
      <c r="T177" s="285"/>
      <c r="U177" s="1" t="str">
        <f t="shared" si="114"/>
        <v>Normal</v>
      </c>
      <c r="V177" s="1" t="str">
        <f t="shared" si="115"/>
        <v>Normal</v>
      </c>
      <c r="W177" s="18">
        <f t="shared" si="116"/>
        <v>0</v>
      </c>
      <c r="X177" s="18">
        <f t="shared" si="117"/>
        <v>0</v>
      </c>
    </row>
    <row r="178" spans="1:24">
      <c r="A178" s="21">
        <v>45559</v>
      </c>
      <c r="B178" s="16">
        <f>IF(YEAR(Table6[[#This Row],[Date]]) = 2024, WEEKNUM(Table6[[#This Row],[Date]])-13, WEEKNUM(Table6[[#This Row],[Date]])+40)</f>
        <v>26</v>
      </c>
      <c r="C178" s="31"/>
      <c r="D178" s="31"/>
      <c r="E178" s="1"/>
      <c r="F178" s="1"/>
      <c r="G178" s="76"/>
      <c r="H178" s="76"/>
      <c r="I178" s="1"/>
      <c r="J178" s="1"/>
      <c r="K178" s="1"/>
      <c r="L178" s="1"/>
      <c r="M178" s="17"/>
      <c r="N178" s="17"/>
      <c r="O178" s="17"/>
      <c r="P178" s="17"/>
      <c r="Q178" s="17"/>
      <c r="R178" s="39"/>
      <c r="S178" s="139"/>
      <c r="T178" s="285"/>
      <c r="U178" s="1" t="str">
        <f t="shared" si="114"/>
        <v>Normal</v>
      </c>
      <c r="V178" s="1" t="str">
        <f t="shared" si="115"/>
        <v>Normal</v>
      </c>
      <c r="W178" s="18">
        <f t="shared" si="116"/>
        <v>0</v>
      </c>
      <c r="X178" s="18">
        <f t="shared" si="117"/>
        <v>0</v>
      </c>
    </row>
    <row r="179" spans="1:24">
      <c r="A179" s="21">
        <v>45560</v>
      </c>
      <c r="B179" s="16">
        <f>IF(YEAR(Table6[[#This Row],[Date]]) = 2024, WEEKNUM(Table6[[#This Row],[Date]])-13, WEEKNUM(Table6[[#This Row],[Date]])+40)</f>
        <v>26</v>
      </c>
      <c r="C179" s="31"/>
      <c r="D179" s="31"/>
      <c r="E179" s="1"/>
      <c r="F179" s="1"/>
      <c r="G179" s="76"/>
      <c r="H179" s="76"/>
      <c r="I179" s="1"/>
      <c r="J179" s="1"/>
      <c r="K179" s="1"/>
      <c r="L179" s="1"/>
      <c r="M179" s="17"/>
      <c r="N179" s="17"/>
      <c r="O179" s="17"/>
      <c r="P179" s="17"/>
      <c r="Q179" s="17"/>
      <c r="R179" s="39"/>
      <c r="S179" s="139"/>
      <c r="T179" s="285"/>
      <c r="U179" s="1" t="str">
        <f t="shared" si="114"/>
        <v>Normal</v>
      </c>
      <c r="V179" s="1" t="str">
        <f t="shared" si="115"/>
        <v>Normal</v>
      </c>
      <c r="W179" s="18">
        <f t="shared" si="116"/>
        <v>0</v>
      </c>
      <c r="X179" s="18">
        <f t="shared" si="117"/>
        <v>0</v>
      </c>
    </row>
    <row r="180" spans="1:24">
      <c r="A180" s="21">
        <v>45561</v>
      </c>
      <c r="B180" s="16">
        <f>IF(YEAR(Table6[[#This Row],[Date]]) = 2024, WEEKNUM(Table6[[#This Row],[Date]])-13, WEEKNUM(Table6[[#This Row],[Date]])+40)</f>
        <v>26</v>
      </c>
      <c r="C180" s="31"/>
      <c r="D180" s="31"/>
      <c r="E180" s="1"/>
      <c r="F180" s="1"/>
      <c r="G180" s="76"/>
      <c r="H180" s="76"/>
      <c r="I180" s="1"/>
      <c r="J180" s="1"/>
      <c r="K180" s="1"/>
      <c r="L180" s="1"/>
      <c r="M180" s="17"/>
      <c r="N180" s="17"/>
      <c r="O180" s="17"/>
      <c r="P180" s="17"/>
      <c r="Q180" s="17"/>
      <c r="R180" s="39"/>
      <c r="S180" s="139"/>
      <c r="T180" s="285"/>
      <c r="U180" s="1" t="str">
        <f t="shared" si="114"/>
        <v>Normal</v>
      </c>
      <c r="V180" s="1" t="str">
        <f t="shared" si="115"/>
        <v>Normal</v>
      </c>
      <c r="W180" s="18">
        <f t="shared" si="116"/>
        <v>0</v>
      </c>
      <c r="X180" s="18">
        <f t="shared" si="117"/>
        <v>0</v>
      </c>
    </row>
    <row r="181" spans="1:24">
      <c r="A181" s="21">
        <v>45562</v>
      </c>
      <c r="B181" s="16">
        <f>IF(YEAR(Table6[[#This Row],[Date]]) = 2024, WEEKNUM(Table6[[#This Row],[Date]])-13, WEEKNUM(Table6[[#This Row],[Date]])+40)</f>
        <v>26</v>
      </c>
      <c r="C181" s="31"/>
      <c r="D181" s="31"/>
      <c r="E181" s="1"/>
      <c r="F181" s="1"/>
      <c r="G181" s="76"/>
      <c r="H181" s="76"/>
      <c r="I181" s="1"/>
      <c r="J181" s="1"/>
      <c r="K181" s="1"/>
      <c r="L181" s="1"/>
      <c r="M181" s="17"/>
      <c r="N181" s="17"/>
      <c r="O181" s="17"/>
      <c r="P181" s="17"/>
      <c r="Q181" s="17"/>
      <c r="R181" s="39"/>
      <c r="S181" s="139"/>
      <c r="T181" s="285"/>
      <c r="U181" s="1" t="str">
        <f t="shared" si="114"/>
        <v>Normal</v>
      </c>
      <c r="V181" s="1" t="str">
        <f t="shared" si="115"/>
        <v>Normal</v>
      </c>
      <c r="W181" s="18">
        <f t="shared" si="116"/>
        <v>0</v>
      </c>
      <c r="X181" s="18">
        <f t="shared" si="117"/>
        <v>0</v>
      </c>
    </row>
    <row r="182" spans="1:24">
      <c r="A182" s="21">
        <v>45563</v>
      </c>
      <c r="B182" s="16">
        <f>IF(YEAR(Table6[[#This Row],[Date]]) = 2024, WEEKNUM(Table6[[#This Row],[Date]])-13, WEEKNUM(Table6[[#This Row],[Date]])+40)</f>
        <v>26</v>
      </c>
      <c r="C182" s="31"/>
      <c r="D182" s="31"/>
      <c r="E182" s="1"/>
      <c r="F182" s="1"/>
      <c r="G182" s="76"/>
      <c r="H182" s="76"/>
      <c r="I182" s="1"/>
      <c r="J182" s="1"/>
      <c r="K182" s="1"/>
      <c r="L182" s="1"/>
      <c r="M182" s="17"/>
      <c r="N182" s="17"/>
      <c r="O182" s="17"/>
      <c r="P182" s="17"/>
      <c r="Q182" s="17"/>
      <c r="R182" s="39"/>
      <c r="S182" s="139"/>
      <c r="T182" s="285"/>
      <c r="U182" s="1" t="str">
        <f t="shared" si="114"/>
        <v>Normal</v>
      </c>
      <c r="V182" s="1" t="str">
        <f t="shared" si="115"/>
        <v>Normal</v>
      </c>
      <c r="W182" s="18">
        <f t="shared" si="116"/>
        <v>0</v>
      </c>
      <c r="X182" s="18">
        <f t="shared" si="117"/>
        <v>0</v>
      </c>
    </row>
    <row r="183" spans="1:24">
      <c r="A183" s="21">
        <v>45564</v>
      </c>
      <c r="B183" s="16">
        <f>IF(YEAR(Table6[[#This Row],[Date]]) = 2024, WEEKNUM(Table6[[#This Row],[Date]])-13, WEEKNUM(Table6[[#This Row],[Date]])+40)</f>
        <v>27</v>
      </c>
      <c r="C183" s="31"/>
      <c r="D183" s="31"/>
      <c r="E183" s="1"/>
      <c r="F183" s="1"/>
      <c r="G183" s="76"/>
      <c r="H183" s="76"/>
      <c r="I183" s="1"/>
      <c r="J183" s="1"/>
      <c r="K183" s="1"/>
      <c r="L183" s="1"/>
      <c r="M183" s="17"/>
      <c r="N183" s="17"/>
      <c r="O183" s="17"/>
      <c r="P183" s="17"/>
      <c r="Q183" s="17"/>
      <c r="R183" s="39"/>
      <c r="S183" s="139"/>
      <c r="T183" s="285"/>
      <c r="U183" s="1" t="str">
        <f t="shared" si="114"/>
        <v>Normal</v>
      </c>
      <c r="V183" s="1" t="str">
        <f t="shared" si="115"/>
        <v>Normal</v>
      </c>
      <c r="W183" s="18">
        <f t="shared" si="116"/>
        <v>0</v>
      </c>
      <c r="X183" s="18">
        <f t="shared" si="117"/>
        <v>0</v>
      </c>
    </row>
    <row r="184" spans="1:24" s="45" customFormat="1">
      <c r="A184" s="21">
        <v>45565</v>
      </c>
      <c r="B184" s="16">
        <f>IF(YEAR(Table6[[#This Row],[Date]]) = 2024, WEEKNUM(Table6[[#This Row],[Date]])-13, WEEKNUM(Table6[[#This Row],[Date]])+40)</f>
        <v>27</v>
      </c>
      <c r="C184" s="46"/>
      <c r="D184" s="31"/>
      <c r="E184" s="1"/>
      <c r="F184" s="1"/>
      <c r="G184" s="76"/>
      <c r="H184" s="76"/>
      <c r="I184" s="1"/>
      <c r="J184" s="1"/>
      <c r="K184" s="1"/>
      <c r="L184" s="1"/>
      <c r="M184" s="17"/>
      <c r="N184" s="17"/>
      <c r="O184" s="17"/>
      <c r="P184" s="17"/>
      <c r="Q184" s="17"/>
      <c r="R184" s="39"/>
      <c r="S184" s="139"/>
      <c r="T184" s="285"/>
      <c r="U184" s="1" t="str">
        <f t="shared" si="114"/>
        <v>Normal</v>
      </c>
      <c r="V184" s="1" t="str">
        <f t="shared" si="115"/>
        <v>Normal</v>
      </c>
      <c r="W184" s="18">
        <f t="shared" si="116"/>
        <v>0</v>
      </c>
      <c r="X184" s="18">
        <f t="shared" si="117"/>
        <v>0</v>
      </c>
    </row>
    <row r="185" spans="1:24">
      <c r="A185" s="21">
        <v>45566</v>
      </c>
      <c r="B185" s="16">
        <f>IF(YEAR(Table6[[#This Row],[Date]]) = 2024, WEEKNUM(Table6[[#This Row],[Date]])-13, WEEKNUM(Table6[[#This Row],[Date]])+40)</f>
        <v>27</v>
      </c>
      <c r="C185" s="31"/>
      <c r="D185" s="31"/>
      <c r="E185" s="1"/>
      <c r="F185" s="1"/>
      <c r="G185" s="76"/>
      <c r="H185" s="76"/>
      <c r="I185" s="1"/>
      <c r="J185" s="1"/>
      <c r="K185" s="1"/>
      <c r="L185" s="1"/>
      <c r="M185" s="17"/>
      <c r="N185" s="17"/>
      <c r="O185" s="17"/>
      <c r="P185" s="17"/>
      <c r="Q185" s="17"/>
      <c r="R185" s="39"/>
      <c r="S185" s="139"/>
      <c r="T185" s="285"/>
      <c r="U185" s="1" t="str">
        <f t="shared" si="114"/>
        <v>Normal</v>
      </c>
      <c r="V185" s="1" t="str">
        <f t="shared" si="115"/>
        <v>Normal</v>
      </c>
      <c r="W185" s="18">
        <f t="shared" si="116"/>
        <v>0</v>
      </c>
      <c r="X185" s="18">
        <f t="shared" si="117"/>
        <v>0</v>
      </c>
    </row>
    <row r="186" spans="1:24">
      <c r="A186" s="21">
        <v>45567</v>
      </c>
      <c r="B186" s="16">
        <f>IF(YEAR(Table6[[#This Row],[Date]]) = 2024, WEEKNUM(Table6[[#This Row],[Date]])-13, WEEKNUM(Table6[[#This Row],[Date]])+40)</f>
        <v>27</v>
      </c>
      <c r="C186" s="31"/>
      <c r="D186" s="31"/>
      <c r="E186" s="1"/>
      <c r="F186" s="1"/>
      <c r="G186" s="76"/>
      <c r="H186" s="76"/>
      <c r="I186" s="1"/>
      <c r="J186" s="1"/>
      <c r="K186" s="1"/>
      <c r="L186" s="1"/>
      <c r="M186" s="17"/>
      <c r="N186" s="17"/>
      <c r="O186" s="17"/>
      <c r="P186" s="17"/>
      <c r="Q186" s="17"/>
      <c r="R186" s="39"/>
      <c r="S186" s="139"/>
      <c r="T186" s="285"/>
      <c r="U186" s="1" t="str">
        <f t="shared" si="114"/>
        <v>Normal</v>
      </c>
      <c r="V186" s="1" t="str">
        <f t="shared" si="115"/>
        <v>Normal</v>
      </c>
      <c r="W186" s="18">
        <f t="shared" si="116"/>
        <v>0</v>
      </c>
      <c r="X186" s="18">
        <f t="shared" si="117"/>
        <v>0</v>
      </c>
    </row>
    <row r="187" spans="1:24">
      <c r="A187" s="21">
        <v>45568</v>
      </c>
      <c r="B187" s="16">
        <f>IF(YEAR(Table6[[#This Row],[Date]]) = 2024, WEEKNUM(Table6[[#This Row],[Date]])-13, WEEKNUM(Table6[[#This Row],[Date]])+40)</f>
        <v>27</v>
      </c>
      <c r="C187" s="31"/>
      <c r="D187" s="31"/>
      <c r="E187" s="1"/>
      <c r="F187" s="1"/>
      <c r="G187" s="76"/>
      <c r="H187" s="76"/>
      <c r="I187" s="1"/>
      <c r="J187" s="1"/>
      <c r="K187" s="1"/>
      <c r="L187" s="1"/>
      <c r="M187" s="17"/>
      <c r="N187" s="17"/>
      <c r="O187" s="17"/>
      <c r="P187" s="17"/>
      <c r="Q187" s="17"/>
      <c r="R187" s="39"/>
      <c r="S187" s="139"/>
      <c r="T187" s="285"/>
      <c r="U187" s="1" t="str">
        <f t="shared" si="114"/>
        <v>Normal</v>
      </c>
      <c r="V187" s="1" t="str">
        <f t="shared" si="115"/>
        <v>Normal</v>
      </c>
      <c r="W187" s="18">
        <f t="shared" si="116"/>
        <v>0</v>
      </c>
      <c r="X187" s="18">
        <f t="shared" si="117"/>
        <v>0</v>
      </c>
    </row>
    <row r="188" spans="1:24">
      <c r="A188" s="21">
        <v>45569</v>
      </c>
      <c r="B188" s="16">
        <f>IF(YEAR(Table6[[#This Row],[Date]]) = 2024, WEEKNUM(Table6[[#This Row],[Date]])-13, WEEKNUM(Table6[[#This Row],[Date]])+40)</f>
        <v>27</v>
      </c>
      <c r="C188" s="31"/>
      <c r="D188" s="31"/>
      <c r="E188" s="1"/>
      <c r="F188" s="1"/>
      <c r="G188" s="76"/>
      <c r="H188" s="76"/>
      <c r="I188" s="1"/>
      <c r="J188" s="1"/>
      <c r="K188" s="1"/>
      <c r="L188" s="1"/>
      <c r="M188" s="17"/>
      <c r="N188" s="17"/>
      <c r="O188" s="17"/>
      <c r="P188" s="17"/>
      <c r="Q188" s="17"/>
      <c r="R188" s="39"/>
      <c r="S188" s="139"/>
      <c r="T188" s="285"/>
      <c r="U188" s="1" t="str">
        <f t="shared" si="114"/>
        <v>Normal</v>
      </c>
      <c r="V188" s="1" t="str">
        <f t="shared" si="115"/>
        <v>Normal</v>
      </c>
      <c r="W188" s="18">
        <f t="shared" si="116"/>
        <v>0</v>
      </c>
      <c r="X188" s="18">
        <f t="shared" si="117"/>
        <v>0</v>
      </c>
    </row>
    <row r="189" spans="1:24">
      <c r="A189" s="21">
        <v>45570</v>
      </c>
      <c r="B189" s="16">
        <f>IF(YEAR(Table6[[#This Row],[Date]]) = 2024, WEEKNUM(Table6[[#This Row],[Date]])-13, WEEKNUM(Table6[[#This Row],[Date]])+40)</f>
        <v>27</v>
      </c>
      <c r="C189" s="31"/>
      <c r="D189" s="31"/>
      <c r="E189" s="1"/>
      <c r="F189" s="1"/>
      <c r="G189" s="76"/>
      <c r="H189" s="76"/>
      <c r="I189" s="1"/>
      <c r="J189" s="1"/>
      <c r="K189" s="1"/>
      <c r="L189" s="1"/>
      <c r="M189" s="17"/>
      <c r="N189" s="17"/>
      <c r="O189" s="17"/>
      <c r="P189" s="17"/>
      <c r="Q189" s="17"/>
      <c r="R189" s="39"/>
      <c r="S189" s="139"/>
      <c r="T189" s="285"/>
      <c r="U189" s="1" t="str">
        <f t="shared" si="114"/>
        <v>Normal</v>
      </c>
      <c r="V189" s="1" t="str">
        <f t="shared" si="115"/>
        <v>Normal</v>
      </c>
      <c r="W189" s="18">
        <f t="shared" si="116"/>
        <v>0</v>
      </c>
      <c r="X189" s="18">
        <f t="shared" si="117"/>
        <v>0</v>
      </c>
    </row>
    <row r="190" spans="1:24">
      <c r="A190" s="21">
        <v>45571</v>
      </c>
      <c r="B190" s="16">
        <f>IF(YEAR(Table6[[#This Row],[Date]]) = 2024, WEEKNUM(Table6[[#This Row],[Date]])-13, WEEKNUM(Table6[[#This Row],[Date]])+40)</f>
        <v>28</v>
      </c>
      <c r="C190" s="31"/>
      <c r="D190" s="31"/>
      <c r="E190" s="1"/>
      <c r="F190" s="1"/>
      <c r="G190" s="76"/>
      <c r="H190" s="76"/>
      <c r="I190" s="1"/>
      <c r="J190" s="1"/>
      <c r="K190" s="1"/>
      <c r="L190" s="1"/>
      <c r="M190" s="17"/>
      <c r="N190" s="17"/>
      <c r="O190" s="17"/>
      <c r="P190" s="17"/>
      <c r="Q190" s="17"/>
      <c r="R190" s="39"/>
      <c r="S190" s="139"/>
      <c r="T190" s="285"/>
      <c r="U190" s="1" t="str">
        <f t="shared" si="114"/>
        <v>Normal</v>
      </c>
      <c r="V190" s="1" t="str">
        <f t="shared" si="115"/>
        <v>Normal</v>
      </c>
      <c r="W190" s="18">
        <f t="shared" si="116"/>
        <v>0</v>
      </c>
      <c r="X190" s="18">
        <f t="shared" si="117"/>
        <v>0</v>
      </c>
    </row>
    <row r="191" spans="1:24">
      <c r="A191" s="21">
        <v>45572</v>
      </c>
      <c r="B191" s="16">
        <f>IF(YEAR(Table6[[#This Row],[Date]]) = 2024, WEEKNUM(Table6[[#This Row],[Date]])-13, WEEKNUM(Table6[[#This Row],[Date]])+40)</f>
        <v>28</v>
      </c>
      <c r="C191" s="31"/>
      <c r="D191" s="31"/>
      <c r="E191" s="1"/>
      <c r="F191" s="1"/>
      <c r="G191" s="76"/>
      <c r="H191" s="76"/>
      <c r="I191" s="1"/>
      <c r="J191" s="1"/>
      <c r="K191" s="1"/>
      <c r="L191" s="1"/>
      <c r="M191" s="17"/>
      <c r="N191" s="17"/>
      <c r="O191" s="17"/>
      <c r="P191" s="17"/>
      <c r="Q191" s="17"/>
      <c r="R191" s="39"/>
      <c r="S191" s="139"/>
      <c r="T191" s="285"/>
      <c r="U191" s="1" t="str">
        <f t="shared" si="114"/>
        <v>Normal</v>
      </c>
      <c r="V191" s="1" t="str">
        <f t="shared" si="115"/>
        <v>Normal</v>
      </c>
      <c r="W191" s="18">
        <f t="shared" si="116"/>
        <v>0</v>
      </c>
      <c r="X191" s="18">
        <f t="shared" si="117"/>
        <v>0</v>
      </c>
    </row>
    <row r="192" spans="1:24">
      <c r="A192" s="21">
        <v>45573</v>
      </c>
      <c r="B192" s="16">
        <f>IF(YEAR(Table6[[#This Row],[Date]]) = 2024, WEEKNUM(Table6[[#This Row],[Date]])-13, WEEKNUM(Table6[[#This Row],[Date]])+40)</f>
        <v>28</v>
      </c>
      <c r="C192" s="31"/>
      <c r="D192" s="31"/>
      <c r="E192" s="1"/>
      <c r="F192" s="1"/>
      <c r="G192" s="76"/>
      <c r="H192" s="76"/>
      <c r="I192" s="1"/>
      <c r="J192" s="1"/>
      <c r="K192" s="1"/>
      <c r="L192" s="1"/>
      <c r="M192" s="17"/>
      <c r="N192" s="17"/>
      <c r="O192" s="17"/>
      <c r="P192" s="17"/>
      <c r="Q192" s="17"/>
      <c r="R192" s="39"/>
      <c r="S192" s="139"/>
      <c r="T192" s="285"/>
      <c r="U192" s="1" t="str">
        <f t="shared" si="114"/>
        <v>Normal</v>
      </c>
      <c r="V192" s="1" t="str">
        <f t="shared" si="115"/>
        <v>Normal</v>
      </c>
      <c r="W192" s="18">
        <f t="shared" si="116"/>
        <v>0</v>
      </c>
      <c r="X192" s="18">
        <f t="shared" si="117"/>
        <v>0</v>
      </c>
    </row>
    <row r="193" spans="1:24">
      <c r="A193" s="21">
        <v>45574</v>
      </c>
      <c r="B193" s="16">
        <f>IF(YEAR(Table6[[#This Row],[Date]]) = 2024, WEEKNUM(Table6[[#This Row],[Date]])-13, WEEKNUM(Table6[[#This Row],[Date]])+40)</f>
        <v>28</v>
      </c>
      <c r="C193" s="31"/>
      <c r="D193" s="31"/>
      <c r="E193" s="1"/>
      <c r="F193" s="1"/>
      <c r="G193" s="76"/>
      <c r="H193" s="76"/>
      <c r="I193" s="1"/>
      <c r="J193" s="1"/>
      <c r="K193" s="1"/>
      <c r="L193" s="1"/>
      <c r="M193" s="17"/>
      <c r="N193" s="17"/>
      <c r="O193" s="17"/>
      <c r="P193" s="17"/>
      <c r="Q193" s="17"/>
      <c r="R193" s="39"/>
      <c r="S193" s="139"/>
      <c r="T193" s="285"/>
      <c r="U193" s="1" t="str">
        <f t="shared" si="114"/>
        <v>Normal</v>
      </c>
      <c r="V193" s="1" t="str">
        <f t="shared" si="115"/>
        <v>Normal</v>
      </c>
      <c r="W193" s="18">
        <f t="shared" si="116"/>
        <v>0</v>
      </c>
      <c r="X193" s="18">
        <f t="shared" si="117"/>
        <v>0</v>
      </c>
    </row>
    <row r="194" spans="1:24">
      <c r="A194" s="21">
        <v>45575</v>
      </c>
      <c r="B194" s="16">
        <f>IF(YEAR(Table6[[#This Row],[Date]]) = 2024, WEEKNUM(Table6[[#This Row],[Date]])-13, WEEKNUM(Table6[[#This Row],[Date]])+40)</f>
        <v>28</v>
      </c>
      <c r="C194" s="31"/>
      <c r="D194" s="31"/>
      <c r="E194" s="1"/>
      <c r="F194" s="1"/>
      <c r="G194" s="76"/>
      <c r="H194" s="76"/>
      <c r="I194" s="1"/>
      <c r="J194" s="1"/>
      <c r="K194" s="1"/>
      <c r="L194" s="1"/>
      <c r="M194" s="17"/>
      <c r="N194" s="17"/>
      <c r="O194" s="17"/>
      <c r="P194" s="17"/>
      <c r="Q194" s="17"/>
      <c r="R194" s="39"/>
      <c r="S194" s="139"/>
      <c r="T194" s="285"/>
      <c r="U194" s="1" t="str">
        <f t="shared" si="114"/>
        <v>Normal</v>
      </c>
      <c r="V194" s="1" t="str">
        <f t="shared" si="115"/>
        <v>Normal</v>
      </c>
      <c r="W194" s="18">
        <f t="shared" si="116"/>
        <v>0</v>
      </c>
      <c r="X194" s="18">
        <f t="shared" si="117"/>
        <v>0</v>
      </c>
    </row>
    <row r="195" spans="1:24">
      <c r="A195" s="21">
        <v>45576</v>
      </c>
      <c r="B195" s="16">
        <f>IF(YEAR(Table6[[#This Row],[Date]]) = 2024, WEEKNUM(Table6[[#This Row],[Date]])-13, WEEKNUM(Table6[[#This Row],[Date]])+40)</f>
        <v>28</v>
      </c>
      <c r="C195" s="31"/>
      <c r="D195" s="31"/>
      <c r="E195" s="1"/>
      <c r="F195" s="1"/>
      <c r="G195" s="76"/>
      <c r="H195" s="76"/>
      <c r="I195" s="1"/>
      <c r="J195" s="1"/>
      <c r="K195" s="1"/>
      <c r="L195" s="1"/>
      <c r="M195" s="17"/>
      <c r="N195" s="17"/>
      <c r="O195" s="17"/>
      <c r="P195" s="17"/>
      <c r="Q195" s="17"/>
      <c r="R195" s="39"/>
      <c r="S195" s="139"/>
      <c r="T195" s="285"/>
      <c r="U195" s="1" t="str">
        <f t="shared" ref="U195:U258" si="120">IF(OR(G195&lt;$AB$5,G195&gt;$AC$5), "Outlier", "Normal")</f>
        <v>Normal</v>
      </c>
      <c r="V195" s="1" t="str">
        <f t="shared" ref="V195:V258" si="121">IF(OR(H195&lt;$AB$6,H195&gt;$AC$6), "Outlier", "Normal")</f>
        <v>Normal</v>
      </c>
      <c r="W195" s="18">
        <f t="shared" ref="W195:W258" si="122">IF(U195="Normal",$G195,IF($G195&lt;250%, $G195, $AB$9))</f>
        <v>0</v>
      </c>
      <c r="X195" s="18">
        <f t="shared" ref="X195:X258" si="123">IF(V195="Normal",$H195,IF($H195&lt;250%, $H195, $AF$9))</f>
        <v>0</v>
      </c>
    </row>
    <row r="196" spans="1:24">
      <c r="A196" s="21">
        <v>45577</v>
      </c>
      <c r="B196" s="16">
        <f>IF(YEAR(Table6[[#This Row],[Date]]) = 2024, WEEKNUM(Table6[[#This Row],[Date]])-13, WEEKNUM(Table6[[#This Row],[Date]])+40)</f>
        <v>28</v>
      </c>
      <c r="C196" s="31"/>
      <c r="D196" s="31"/>
      <c r="E196" s="1"/>
      <c r="F196" s="1"/>
      <c r="G196" s="76"/>
      <c r="H196" s="76"/>
      <c r="I196" s="1"/>
      <c r="J196" s="1"/>
      <c r="K196" s="1"/>
      <c r="L196" s="1"/>
      <c r="M196" s="17"/>
      <c r="N196" s="17"/>
      <c r="O196" s="17"/>
      <c r="P196" s="17"/>
      <c r="Q196" s="17"/>
      <c r="R196" s="39"/>
      <c r="S196" s="139"/>
      <c r="T196" s="285"/>
      <c r="U196" s="1" t="str">
        <f t="shared" si="120"/>
        <v>Normal</v>
      </c>
      <c r="V196" s="1" t="str">
        <f t="shared" si="121"/>
        <v>Normal</v>
      </c>
      <c r="W196" s="18">
        <f t="shared" si="122"/>
        <v>0</v>
      </c>
      <c r="X196" s="18">
        <f t="shared" si="123"/>
        <v>0</v>
      </c>
    </row>
    <row r="197" spans="1:24">
      <c r="A197" s="21">
        <v>45578</v>
      </c>
      <c r="B197" s="16">
        <f>IF(YEAR(Table6[[#This Row],[Date]]) = 2024, WEEKNUM(Table6[[#This Row],[Date]])-13, WEEKNUM(Table6[[#This Row],[Date]])+40)</f>
        <v>29</v>
      </c>
      <c r="C197" s="31"/>
      <c r="D197" s="31"/>
      <c r="E197" s="1"/>
      <c r="F197" s="1"/>
      <c r="G197" s="76"/>
      <c r="H197" s="76"/>
      <c r="I197" s="1"/>
      <c r="J197" s="1"/>
      <c r="K197" s="1"/>
      <c r="L197" s="1"/>
      <c r="M197" s="17"/>
      <c r="N197" s="17"/>
      <c r="O197" s="17"/>
      <c r="P197" s="17"/>
      <c r="Q197" s="17"/>
      <c r="R197" s="39"/>
      <c r="S197" s="139"/>
      <c r="T197" s="285"/>
      <c r="U197" s="1" t="str">
        <f t="shared" si="120"/>
        <v>Normal</v>
      </c>
      <c r="V197" s="1" t="str">
        <f t="shared" si="121"/>
        <v>Normal</v>
      </c>
      <c r="W197" s="18">
        <f t="shared" si="122"/>
        <v>0</v>
      </c>
      <c r="X197" s="18">
        <f t="shared" si="123"/>
        <v>0</v>
      </c>
    </row>
    <row r="198" spans="1:24">
      <c r="A198" s="21">
        <v>45579</v>
      </c>
      <c r="B198" s="16">
        <f>IF(YEAR(Table6[[#This Row],[Date]]) = 2024, WEEKNUM(Table6[[#This Row],[Date]])-13, WEEKNUM(Table6[[#This Row],[Date]])+40)</f>
        <v>29</v>
      </c>
      <c r="C198" s="31"/>
      <c r="D198" s="31"/>
      <c r="E198" s="1"/>
      <c r="F198" s="1"/>
      <c r="G198" s="76"/>
      <c r="H198" s="76"/>
      <c r="I198" s="1"/>
      <c r="J198" s="1"/>
      <c r="K198" s="1"/>
      <c r="L198" s="1"/>
      <c r="M198" s="17"/>
      <c r="N198" s="17"/>
      <c r="O198" s="17"/>
      <c r="P198" s="17"/>
      <c r="Q198" s="17"/>
      <c r="R198" s="39"/>
      <c r="S198" s="139"/>
      <c r="T198" s="285"/>
      <c r="U198" s="1" t="str">
        <f t="shared" si="120"/>
        <v>Normal</v>
      </c>
      <c r="V198" s="1" t="str">
        <f t="shared" si="121"/>
        <v>Normal</v>
      </c>
      <c r="W198" s="18">
        <f t="shared" si="122"/>
        <v>0</v>
      </c>
      <c r="X198" s="18">
        <f t="shared" si="123"/>
        <v>0</v>
      </c>
    </row>
    <row r="199" spans="1:24">
      <c r="A199" s="21">
        <v>45580</v>
      </c>
      <c r="B199" s="16">
        <f>IF(YEAR(Table6[[#This Row],[Date]]) = 2024, WEEKNUM(Table6[[#This Row],[Date]])-13, WEEKNUM(Table6[[#This Row],[Date]])+40)</f>
        <v>29</v>
      </c>
      <c r="C199" s="31"/>
      <c r="D199" s="31"/>
      <c r="E199" s="1"/>
      <c r="F199" s="1"/>
      <c r="G199" s="76"/>
      <c r="H199" s="76"/>
      <c r="I199" s="1"/>
      <c r="J199" s="1"/>
      <c r="K199" s="1"/>
      <c r="L199" s="1"/>
      <c r="M199" s="17"/>
      <c r="N199" s="17"/>
      <c r="O199" s="17"/>
      <c r="P199" s="17"/>
      <c r="Q199" s="17"/>
      <c r="R199" s="39"/>
      <c r="S199" s="139"/>
      <c r="T199" s="285"/>
      <c r="U199" s="1" t="str">
        <f t="shared" si="120"/>
        <v>Normal</v>
      </c>
      <c r="V199" s="1" t="str">
        <f t="shared" si="121"/>
        <v>Normal</v>
      </c>
      <c r="W199" s="18">
        <f t="shared" si="122"/>
        <v>0</v>
      </c>
      <c r="X199" s="18">
        <f t="shared" si="123"/>
        <v>0</v>
      </c>
    </row>
    <row r="200" spans="1:24">
      <c r="A200" s="21">
        <v>45581</v>
      </c>
      <c r="B200" s="16">
        <f>IF(YEAR(Table6[[#This Row],[Date]]) = 2024, WEEKNUM(Table6[[#This Row],[Date]])-13, WEEKNUM(Table6[[#This Row],[Date]])+40)</f>
        <v>29</v>
      </c>
      <c r="C200" s="31"/>
      <c r="D200" s="31"/>
      <c r="E200" s="1"/>
      <c r="F200" s="1"/>
      <c r="G200" s="76"/>
      <c r="H200" s="76"/>
      <c r="I200" s="1"/>
      <c r="J200" s="1"/>
      <c r="K200" s="1"/>
      <c r="L200" s="1"/>
      <c r="M200" s="17"/>
      <c r="N200" s="17"/>
      <c r="O200" s="17"/>
      <c r="P200" s="17"/>
      <c r="Q200" s="17"/>
      <c r="R200" s="39"/>
      <c r="S200" s="139"/>
      <c r="T200" s="285"/>
      <c r="U200" s="1" t="str">
        <f t="shared" si="120"/>
        <v>Normal</v>
      </c>
      <c r="V200" s="1" t="str">
        <f t="shared" si="121"/>
        <v>Normal</v>
      </c>
      <c r="W200" s="18">
        <f t="shared" si="122"/>
        <v>0</v>
      </c>
      <c r="X200" s="18">
        <f t="shared" si="123"/>
        <v>0</v>
      </c>
    </row>
    <row r="201" spans="1:24">
      <c r="A201" s="21">
        <v>45582</v>
      </c>
      <c r="B201" s="16">
        <f>IF(YEAR(Table6[[#This Row],[Date]]) = 2024, WEEKNUM(Table6[[#This Row],[Date]])-13, WEEKNUM(Table6[[#This Row],[Date]])+40)</f>
        <v>29</v>
      </c>
      <c r="C201" s="31"/>
      <c r="D201" s="31"/>
      <c r="E201" s="1"/>
      <c r="F201" s="1"/>
      <c r="G201" s="76"/>
      <c r="H201" s="76"/>
      <c r="I201" s="1"/>
      <c r="J201" s="1"/>
      <c r="K201" s="1"/>
      <c r="L201" s="1"/>
      <c r="M201" s="17"/>
      <c r="N201" s="17"/>
      <c r="O201" s="17"/>
      <c r="P201" s="17"/>
      <c r="Q201" s="17"/>
      <c r="R201" s="39"/>
      <c r="S201" s="139"/>
      <c r="T201" s="285"/>
      <c r="U201" s="1" t="str">
        <f t="shared" si="120"/>
        <v>Normal</v>
      </c>
      <c r="V201" s="1" t="str">
        <f t="shared" si="121"/>
        <v>Normal</v>
      </c>
      <c r="W201" s="18">
        <f t="shared" si="122"/>
        <v>0</v>
      </c>
      <c r="X201" s="18">
        <f t="shared" si="123"/>
        <v>0</v>
      </c>
    </row>
    <row r="202" spans="1:24">
      <c r="A202" s="21">
        <v>45583</v>
      </c>
      <c r="B202" s="16">
        <f>IF(YEAR(Table6[[#This Row],[Date]]) = 2024, WEEKNUM(Table6[[#This Row],[Date]])-13, WEEKNUM(Table6[[#This Row],[Date]])+40)</f>
        <v>29</v>
      </c>
      <c r="C202" s="31"/>
      <c r="D202" s="31"/>
      <c r="E202" s="1"/>
      <c r="F202" s="1"/>
      <c r="G202" s="76"/>
      <c r="H202" s="76"/>
      <c r="I202" s="1"/>
      <c r="J202" s="1"/>
      <c r="K202" s="1"/>
      <c r="L202" s="1"/>
      <c r="M202" s="17"/>
      <c r="N202" s="17"/>
      <c r="O202" s="17"/>
      <c r="P202" s="17"/>
      <c r="Q202" s="17"/>
      <c r="R202" s="39"/>
      <c r="S202" s="139"/>
      <c r="T202" s="285"/>
      <c r="U202" s="1" t="str">
        <f t="shared" si="120"/>
        <v>Normal</v>
      </c>
      <c r="V202" s="1" t="str">
        <f t="shared" si="121"/>
        <v>Normal</v>
      </c>
      <c r="W202" s="18">
        <f t="shared" si="122"/>
        <v>0</v>
      </c>
      <c r="X202" s="18">
        <f t="shared" si="123"/>
        <v>0</v>
      </c>
    </row>
    <row r="203" spans="1:24">
      <c r="A203" s="21">
        <v>45584</v>
      </c>
      <c r="B203" s="16">
        <f>IF(YEAR(Table6[[#This Row],[Date]]) = 2024, WEEKNUM(Table6[[#This Row],[Date]])-13, WEEKNUM(Table6[[#This Row],[Date]])+40)</f>
        <v>29</v>
      </c>
      <c r="C203" s="31"/>
      <c r="D203" s="31"/>
      <c r="E203" s="1"/>
      <c r="F203" s="1"/>
      <c r="G203" s="76"/>
      <c r="H203" s="76"/>
      <c r="I203" s="1"/>
      <c r="J203" s="1"/>
      <c r="K203" s="1"/>
      <c r="L203" s="1"/>
      <c r="M203" s="17"/>
      <c r="N203" s="17"/>
      <c r="O203" s="17"/>
      <c r="P203" s="17"/>
      <c r="Q203" s="17"/>
      <c r="R203" s="39"/>
      <c r="S203" s="139"/>
      <c r="T203" s="285"/>
      <c r="U203" s="1" t="str">
        <f t="shared" si="120"/>
        <v>Normal</v>
      </c>
      <c r="V203" s="1" t="str">
        <f t="shared" si="121"/>
        <v>Normal</v>
      </c>
      <c r="W203" s="18">
        <f t="shared" si="122"/>
        <v>0</v>
      </c>
      <c r="X203" s="18">
        <f t="shared" si="123"/>
        <v>0</v>
      </c>
    </row>
    <row r="204" spans="1:24">
      <c r="A204" s="21">
        <v>45585</v>
      </c>
      <c r="B204" s="16">
        <f>IF(YEAR(Table6[[#This Row],[Date]]) = 2024, WEEKNUM(Table6[[#This Row],[Date]])-13, WEEKNUM(Table6[[#This Row],[Date]])+40)</f>
        <v>30</v>
      </c>
      <c r="C204" s="31"/>
      <c r="D204" s="31"/>
      <c r="E204" s="1"/>
      <c r="F204" s="1"/>
      <c r="G204" s="76"/>
      <c r="H204" s="76"/>
      <c r="I204" s="1"/>
      <c r="J204" s="1"/>
      <c r="K204" s="1"/>
      <c r="L204" s="1"/>
      <c r="M204" s="17"/>
      <c r="N204" s="17"/>
      <c r="O204" s="17"/>
      <c r="P204" s="17"/>
      <c r="Q204" s="17"/>
      <c r="R204" s="39"/>
      <c r="S204" s="139"/>
      <c r="T204" s="285"/>
      <c r="U204" s="1" t="str">
        <f t="shared" si="120"/>
        <v>Normal</v>
      </c>
      <c r="V204" s="1" t="str">
        <f t="shared" si="121"/>
        <v>Normal</v>
      </c>
      <c r="W204" s="18">
        <f t="shared" si="122"/>
        <v>0</v>
      </c>
      <c r="X204" s="18">
        <f t="shared" si="123"/>
        <v>0</v>
      </c>
    </row>
    <row r="205" spans="1:24">
      <c r="A205" s="21">
        <v>45586</v>
      </c>
      <c r="B205" s="16">
        <f>IF(YEAR(Table6[[#This Row],[Date]]) = 2024, WEEKNUM(Table6[[#This Row],[Date]])-13, WEEKNUM(Table6[[#This Row],[Date]])+40)</f>
        <v>30</v>
      </c>
      <c r="C205" s="31"/>
      <c r="D205" s="31"/>
      <c r="E205" s="1"/>
      <c r="F205" s="1"/>
      <c r="G205" s="76"/>
      <c r="H205" s="76"/>
      <c r="I205" s="1"/>
      <c r="J205" s="1"/>
      <c r="K205" s="1"/>
      <c r="L205" s="1"/>
      <c r="M205" s="17"/>
      <c r="N205" s="17"/>
      <c r="O205" s="17"/>
      <c r="P205" s="17"/>
      <c r="Q205" s="17"/>
      <c r="R205" s="39"/>
      <c r="S205" s="139"/>
      <c r="T205" s="285"/>
      <c r="U205" s="1" t="str">
        <f t="shared" si="120"/>
        <v>Normal</v>
      </c>
      <c r="V205" s="1" t="str">
        <f t="shared" si="121"/>
        <v>Normal</v>
      </c>
      <c r="W205" s="18">
        <f t="shared" si="122"/>
        <v>0</v>
      </c>
      <c r="X205" s="18">
        <f t="shared" si="123"/>
        <v>0</v>
      </c>
    </row>
    <row r="206" spans="1:24">
      <c r="A206" s="21">
        <v>45587</v>
      </c>
      <c r="B206" s="16">
        <f>IF(YEAR(Table6[[#This Row],[Date]]) = 2024, WEEKNUM(Table6[[#This Row],[Date]])-13, WEEKNUM(Table6[[#This Row],[Date]])+40)</f>
        <v>30</v>
      </c>
      <c r="C206" s="31"/>
      <c r="D206" s="31"/>
      <c r="E206" s="1"/>
      <c r="F206" s="1"/>
      <c r="G206" s="76"/>
      <c r="H206" s="76"/>
      <c r="I206" s="1"/>
      <c r="J206" s="1"/>
      <c r="K206" s="1"/>
      <c r="L206" s="1"/>
      <c r="M206" s="17"/>
      <c r="N206" s="17"/>
      <c r="O206" s="17"/>
      <c r="P206" s="17"/>
      <c r="Q206" s="17"/>
      <c r="R206" s="39"/>
      <c r="S206" s="139"/>
      <c r="T206" s="285"/>
      <c r="U206" s="1" t="str">
        <f t="shared" si="120"/>
        <v>Normal</v>
      </c>
      <c r="V206" s="1" t="str">
        <f t="shared" si="121"/>
        <v>Normal</v>
      </c>
      <c r="W206" s="18">
        <f t="shared" si="122"/>
        <v>0</v>
      </c>
      <c r="X206" s="18">
        <f t="shared" si="123"/>
        <v>0</v>
      </c>
    </row>
    <row r="207" spans="1:24">
      <c r="A207" s="21">
        <v>45588</v>
      </c>
      <c r="B207" s="16">
        <f>IF(YEAR(Table6[[#This Row],[Date]]) = 2024, WEEKNUM(Table6[[#This Row],[Date]])-13, WEEKNUM(Table6[[#This Row],[Date]])+40)</f>
        <v>30</v>
      </c>
      <c r="C207" s="31"/>
      <c r="D207" s="31"/>
      <c r="E207" s="1"/>
      <c r="F207" s="1"/>
      <c r="G207" s="76"/>
      <c r="H207" s="76"/>
      <c r="I207" s="1"/>
      <c r="J207" s="1"/>
      <c r="K207" s="1"/>
      <c r="L207" s="1"/>
      <c r="M207" s="17"/>
      <c r="N207" s="17"/>
      <c r="O207" s="17"/>
      <c r="P207" s="17"/>
      <c r="Q207" s="17"/>
      <c r="R207" s="39"/>
      <c r="S207" s="139"/>
      <c r="T207" s="285"/>
      <c r="U207" s="1" t="str">
        <f t="shared" si="120"/>
        <v>Normal</v>
      </c>
      <c r="V207" s="1" t="str">
        <f t="shared" si="121"/>
        <v>Normal</v>
      </c>
      <c r="W207" s="18">
        <f t="shared" si="122"/>
        <v>0</v>
      </c>
      <c r="X207" s="18">
        <f t="shared" si="123"/>
        <v>0</v>
      </c>
    </row>
    <row r="208" spans="1:24">
      <c r="A208" s="21">
        <v>45589</v>
      </c>
      <c r="B208" s="16">
        <f>IF(YEAR(Table6[[#This Row],[Date]]) = 2024, WEEKNUM(Table6[[#This Row],[Date]])-13, WEEKNUM(Table6[[#This Row],[Date]])+40)</f>
        <v>30</v>
      </c>
      <c r="C208" s="31"/>
      <c r="D208" s="31"/>
      <c r="E208" s="1"/>
      <c r="F208" s="1"/>
      <c r="G208" s="76"/>
      <c r="H208" s="76"/>
      <c r="I208" s="1"/>
      <c r="J208" s="1"/>
      <c r="K208" s="1"/>
      <c r="L208" s="1"/>
      <c r="M208" s="17"/>
      <c r="N208" s="17"/>
      <c r="O208" s="17"/>
      <c r="P208" s="17"/>
      <c r="Q208" s="17"/>
      <c r="R208" s="39"/>
      <c r="S208" s="139"/>
      <c r="T208" s="285"/>
      <c r="U208" s="1" t="str">
        <f t="shared" si="120"/>
        <v>Normal</v>
      </c>
      <c r="V208" s="1" t="str">
        <f t="shared" si="121"/>
        <v>Normal</v>
      </c>
      <c r="W208" s="18">
        <f t="shared" si="122"/>
        <v>0</v>
      </c>
      <c r="X208" s="18">
        <f t="shared" si="123"/>
        <v>0</v>
      </c>
    </row>
    <row r="209" spans="1:27">
      <c r="A209" s="21">
        <v>45590</v>
      </c>
      <c r="B209" s="16">
        <f>IF(YEAR(Table6[[#This Row],[Date]]) = 2024, WEEKNUM(Table6[[#This Row],[Date]])-13, WEEKNUM(Table6[[#This Row],[Date]])+40)</f>
        <v>30</v>
      </c>
      <c r="C209" s="31"/>
      <c r="D209" s="31"/>
      <c r="E209" s="1"/>
      <c r="F209" s="1"/>
      <c r="G209" s="76"/>
      <c r="H209" s="76"/>
      <c r="I209" s="1"/>
      <c r="J209" s="1"/>
      <c r="K209" s="1"/>
      <c r="L209" s="1"/>
      <c r="M209" s="17"/>
      <c r="N209" s="17"/>
      <c r="O209" s="17"/>
      <c r="P209" s="17"/>
      <c r="Q209" s="17"/>
      <c r="R209" s="39"/>
      <c r="S209" s="139"/>
      <c r="T209" s="285"/>
      <c r="U209" s="1" t="str">
        <f t="shared" si="120"/>
        <v>Normal</v>
      </c>
      <c r="V209" s="1" t="str">
        <f t="shared" si="121"/>
        <v>Normal</v>
      </c>
      <c r="W209" s="18">
        <f t="shared" si="122"/>
        <v>0</v>
      </c>
      <c r="X209" s="18">
        <f t="shared" si="123"/>
        <v>0</v>
      </c>
    </row>
    <row r="210" spans="1:27">
      <c r="A210" s="21">
        <v>45591</v>
      </c>
      <c r="B210" s="16">
        <f>IF(YEAR(Table6[[#This Row],[Date]]) = 2024, WEEKNUM(Table6[[#This Row],[Date]])-13, WEEKNUM(Table6[[#This Row],[Date]])+40)</f>
        <v>30</v>
      </c>
      <c r="C210" s="31"/>
      <c r="D210" s="31"/>
      <c r="E210" s="1"/>
      <c r="F210" s="1"/>
      <c r="G210" s="76"/>
      <c r="H210" s="76"/>
      <c r="I210" s="1"/>
      <c r="J210" s="1"/>
      <c r="K210" s="1"/>
      <c r="L210" s="1"/>
      <c r="M210" s="17"/>
      <c r="N210" s="17"/>
      <c r="O210" s="17"/>
      <c r="P210" s="17"/>
      <c r="Q210" s="17"/>
      <c r="R210" s="39"/>
      <c r="S210" s="139"/>
      <c r="T210" s="285"/>
      <c r="U210" s="1" t="str">
        <f t="shared" si="120"/>
        <v>Normal</v>
      </c>
      <c r="V210" s="1" t="str">
        <f t="shared" si="121"/>
        <v>Normal</v>
      </c>
      <c r="W210" s="18">
        <f t="shared" si="122"/>
        <v>0</v>
      </c>
      <c r="X210" s="18">
        <f t="shared" si="123"/>
        <v>0</v>
      </c>
    </row>
    <row r="211" spans="1:27">
      <c r="A211" s="21">
        <v>45592</v>
      </c>
      <c r="B211" s="16">
        <f>IF(YEAR(Table6[[#This Row],[Date]]) = 2024, WEEKNUM(Table6[[#This Row],[Date]])-13, WEEKNUM(Table6[[#This Row],[Date]])+40)</f>
        <v>31</v>
      </c>
      <c r="C211" s="31"/>
      <c r="D211" s="31"/>
      <c r="E211" s="1"/>
      <c r="F211" s="1"/>
      <c r="G211" s="76"/>
      <c r="H211" s="76"/>
      <c r="I211" s="1"/>
      <c r="J211" s="1"/>
      <c r="K211" s="1"/>
      <c r="L211" s="1"/>
      <c r="M211" s="17"/>
      <c r="N211" s="17"/>
      <c r="O211" s="17"/>
      <c r="P211" s="17"/>
      <c r="Q211" s="17"/>
      <c r="R211" s="39"/>
      <c r="S211" s="139"/>
      <c r="T211" s="285"/>
      <c r="U211" s="1" t="str">
        <f t="shared" si="120"/>
        <v>Normal</v>
      </c>
      <c r="V211" s="1" t="str">
        <f t="shared" si="121"/>
        <v>Normal</v>
      </c>
      <c r="W211" s="18">
        <f t="shared" si="122"/>
        <v>0</v>
      </c>
      <c r="X211" s="18">
        <f t="shared" si="123"/>
        <v>0</v>
      </c>
    </row>
    <row r="212" spans="1:27">
      <c r="A212" s="21">
        <v>45593</v>
      </c>
      <c r="B212" s="16">
        <f>IF(YEAR(Table6[[#This Row],[Date]]) = 2024, WEEKNUM(Table6[[#This Row],[Date]])-13, WEEKNUM(Table6[[#This Row],[Date]])+40)</f>
        <v>31</v>
      </c>
      <c r="C212" s="31"/>
      <c r="D212" s="31"/>
      <c r="E212" s="1"/>
      <c r="F212" s="1"/>
      <c r="G212" s="76"/>
      <c r="H212" s="76"/>
      <c r="I212" s="1"/>
      <c r="J212" s="1"/>
      <c r="K212" s="1"/>
      <c r="L212" s="1"/>
      <c r="M212" s="17"/>
      <c r="N212" s="17"/>
      <c r="O212" s="17"/>
      <c r="P212" s="17"/>
      <c r="Q212" s="17"/>
      <c r="R212" s="39"/>
      <c r="S212" s="139"/>
      <c r="T212" s="285"/>
      <c r="U212" s="1" t="str">
        <f t="shared" si="120"/>
        <v>Normal</v>
      </c>
      <c r="V212" s="1" t="str">
        <f t="shared" si="121"/>
        <v>Normal</v>
      </c>
      <c r="W212" s="18">
        <f t="shared" si="122"/>
        <v>0</v>
      </c>
      <c r="X212" s="18">
        <f t="shared" si="123"/>
        <v>0</v>
      </c>
    </row>
    <row r="213" spans="1:27">
      <c r="A213" s="21">
        <v>45594</v>
      </c>
      <c r="B213" s="16">
        <f>IF(YEAR(Table6[[#This Row],[Date]]) = 2024, WEEKNUM(Table6[[#This Row],[Date]])-13, WEEKNUM(Table6[[#This Row],[Date]])+40)</f>
        <v>31</v>
      </c>
      <c r="C213" s="31"/>
      <c r="D213" s="31"/>
      <c r="E213" s="1"/>
      <c r="F213" s="1"/>
      <c r="G213" s="76"/>
      <c r="H213" s="76"/>
      <c r="I213" s="1"/>
      <c r="J213" s="1"/>
      <c r="K213" s="1"/>
      <c r="L213" s="1"/>
      <c r="M213" s="17"/>
      <c r="N213" s="17"/>
      <c r="O213" s="17"/>
      <c r="P213" s="17"/>
      <c r="Q213" s="17"/>
      <c r="R213" s="39"/>
      <c r="S213" s="139"/>
      <c r="T213" s="285"/>
      <c r="U213" s="1" t="str">
        <f t="shared" si="120"/>
        <v>Normal</v>
      </c>
      <c r="V213" s="1" t="str">
        <f t="shared" si="121"/>
        <v>Normal</v>
      </c>
      <c r="W213" s="18">
        <f t="shared" si="122"/>
        <v>0</v>
      </c>
      <c r="X213" s="18">
        <f t="shared" si="123"/>
        <v>0</v>
      </c>
    </row>
    <row r="214" spans="1:27">
      <c r="A214" s="21">
        <v>45595</v>
      </c>
      <c r="B214" s="16">
        <f>IF(YEAR(Table6[[#This Row],[Date]]) = 2024, WEEKNUM(Table6[[#This Row],[Date]])-13, WEEKNUM(Table6[[#This Row],[Date]])+40)</f>
        <v>31</v>
      </c>
      <c r="C214" s="31"/>
      <c r="D214" s="31"/>
      <c r="E214" s="1"/>
      <c r="F214" s="1"/>
      <c r="G214" s="76"/>
      <c r="H214" s="76"/>
      <c r="I214" s="1"/>
      <c r="J214" s="1"/>
      <c r="K214" s="1"/>
      <c r="L214" s="1"/>
      <c r="M214" s="17"/>
      <c r="N214" s="17"/>
      <c r="O214" s="17"/>
      <c r="P214" s="17"/>
      <c r="Q214" s="17"/>
      <c r="R214" s="39"/>
      <c r="S214" s="139"/>
      <c r="T214" s="285"/>
      <c r="U214" s="1" t="str">
        <f t="shared" si="120"/>
        <v>Normal</v>
      </c>
      <c r="V214" s="1" t="str">
        <f t="shared" si="121"/>
        <v>Normal</v>
      </c>
      <c r="W214" s="18">
        <f t="shared" si="122"/>
        <v>0</v>
      </c>
      <c r="X214" s="18">
        <f t="shared" si="123"/>
        <v>0</v>
      </c>
    </row>
    <row r="215" spans="1:27" s="45" customFormat="1">
      <c r="A215" s="21">
        <v>45596</v>
      </c>
      <c r="B215" s="16">
        <f>IF(YEAR(Table6[[#This Row],[Date]]) = 2024, WEEKNUM(Table6[[#This Row],[Date]])-13, WEEKNUM(Table6[[#This Row],[Date]])+40)</f>
        <v>31</v>
      </c>
      <c r="C215" s="46"/>
      <c r="D215" s="31"/>
      <c r="E215" s="1"/>
      <c r="F215" s="1"/>
      <c r="G215" s="76"/>
      <c r="H215" s="76"/>
      <c r="I215" s="1"/>
      <c r="J215" s="1"/>
      <c r="K215" s="1"/>
      <c r="L215" s="1"/>
      <c r="M215" s="17"/>
      <c r="N215" s="17"/>
      <c r="O215" s="17"/>
      <c r="P215" s="17"/>
      <c r="Q215" s="17"/>
      <c r="R215" s="39"/>
      <c r="S215" s="139"/>
      <c r="T215" s="285"/>
      <c r="U215" s="1" t="str">
        <f t="shared" si="120"/>
        <v>Normal</v>
      </c>
      <c r="V215" s="1" t="str">
        <f t="shared" si="121"/>
        <v>Normal</v>
      </c>
      <c r="W215" s="18">
        <f t="shared" si="122"/>
        <v>0</v>
      </c>
      <c r="X215" s="18">
        <f t="shared" si="123"/>
        <v>0</v>
      </c>
    </row>
    <row r="216" spans="1:27">
      <c r="A216" s="21">
        <v>45597</v>
      </c>
      <c r="B216" s="16">
        <f>IF(YEAR(Table6[[#This Row],[Date]]) = 2024, WEEKNUM(Table6[[#This Row],[Date]])-13, WEEKNUM(Table6[[#This Row],[Date]])+40)</f>
        <v>31</v>
      </c>
      <c r="C216" s="30"/>
      <c r="D216" s="31"/>
      <c r="E216" s="1"/>
      <c r="F216" s="1"/>
      <c r="G216" s="76"/>
      <c r="H216" s="76"/>
      <c r="I216" s="1"/>
      <c r="J216" s="1"/>
      <c r="K216" s="1"/>
      <c r="L216" s="1"/>
      <c r="M216" s="17"/>
      <c r="N216" s="17"/>
      <c r="O216" s="17"/>
      <c r="P216" s="17"/>
      <c r="Q216" s="17"/>
      <c r="R216" s="39"/>
      <c r="S216" s="139"/>
      <c r="T216" s="285"/>
      <c r="U216" s="1" t="str">
        <f t="shared" si="120"/>
        <v>Normal</v>
      </c>
      <c r="V216" s="1" t="str">
        <f t="shared" si="121"/>
        <v>Normal</v>
      </c>
      <c r="W216" s="18">
        <f t="shared" si="122"/>
        <v>0</v>
      </c>
      <c r="X216" s="18">
        <f t="shared" si="123"/>
        <v>0</v>
      </c>
    </row>
    <row r="217" spans="1:27">
      <c r="A217" s="21">
        <v>45598</v>
      </c>
      <c r="B217" s="16">
        <f>IF(YEAR(Table6[[#This Row],[Date]]) = 2024, WEEKNUM(Table6[[#This Row],[Date]])-13, WEEKNUM(Table6[[#This Row],[Date]])+40)</f>
        <v>31</v>
      </c>
      <c r="C217" s="31"/>
      <c r="D217" s="31"/>
      <c r="E217" s="1"/>
      <c r="F217" s="1"/>
      <c r="G217" s="76"/>
      <c r="H217" s="76"/>
      <c r="I217" s="1"/>
      <c r="J217" s="1"/>
      <c r="K217" s="1"/>
      <c r="L217" s="1"/>
      <c r="M217" s="17"/>
      <c r="N217" s="17"/>
      <c r="O217" s="17"/>
      <c r="P217" s="17"/>
      <c r="Q217" s="17"/>
      <c r="R217" s="39"/>
      <c r="S217" s="139"/>
      <c r="T217" s="285"/>
      <c r="U217" s="1" t="str">
        <f t="shared" si="120"/>
        <v>Normal</v>
      </c>
      <c r="V217" s="1" t="str">
        <f t="shared" si="121"/>
        <v>Normal</v>
      </c>
      <c r="W217" s="18">
        <f t="shared" si="122"/>
        <v>0</v>
      </c>
      <c r="X217" s="18">
        <f t="shared" si="123"/>
        <v>0</v>
      </c>
    </row>
    <row r="218" spans="1:27">
      <c r="A218" s="21">
        <v>45599</v>
      </c>
      <c r="B218" s="16">
        <f>IF(YEAR(Table6[[#This Row],[Date]]) = 2024, WEEKNUM(Table6[[#This Row],[Date]])-13, WEEKNUM(Table6[[#This Row],[Date]])+40)</f>
        <v>32</v>
      </c>
      <c r="C218" s="31"/>
      <c r="D218" s="31"/>
      <c r="E218" s="1"/>
      <c r="F218" s="1"/>
      <c r="G218" s="76"/>
      <c r="H218" s="76"/>
      <c r="I218" s="1"/>
      <c r="J218" s="1"/>
      <c r="K218" s="1"/>
      <c r="L218" s="1"/>
      <c r="M218" s="17"/>
      <c r="N218" s="17"/>
      <c r="O218" s="17"/>
      <c r="P218" s="17"/>
      <c r="Q218" s="17"/>
      <c r="R218" s="39"/>
      <c r="S218" s="139"/>
      <c r="T218" s="285"/>
      <c r="U218" s="1" t="str">
        <f t="shared" si="120"/>
        <v>Normal</v>
      </c>
      <c r="V218" s="1" t="str">
        <f t="shared" si="121"/>
        <v>Normal</v>
      </c>
      <c r="W218" s="18">
        <f t="shared" si="122"/>
        <v>0</v>
      </c>
      <c r="X218" s="18">
        <f t="shared" si="123"/>
        <v>0</v>
      </c>
    </row>
    <row r="219" spans="1:27">
      <c r="A219" s="21">
        <v>45600</v>
      </c>
      <c r="B219" s="16">
        <f>IF(YEAR(Table6[[#This Row],[Date]]) = 2024, WEEKNUM(Table6[[#This Row],[Date]])-13, WEEKNUM(Table6[[#This Row],[Date]])+40)</f>
        <v>32</v>
      </c>
      <c r="C219" s="31"/>
      <c r="D219" s="31"/>
      <c r="E219" s="1"/>
      <c r="F219" s="1"/>
      <c r="G219" s="76"/>
      <c r="H219" s="76"/>
      <c r="I219" s="1"/>
      <c r="J219" s="1"/>
      <c r="K219" s="1"/>
      <c r="L219" s="1"/>
      <c r="M219" s="17"/>
      <c r="N219" s="17"/>
      <c r="O219" s="17"/>
      <c r="P219" s="17"/>
      <c r="Q219" s="17"/>
      <c r="R219" s="39"/>
      <c r="S219" s="139"/>
      <c r="T219" s="285"/>
      <c r="U219" s="1" t="str">
        <f t="shared" si="120"/>
        <v>Normal</v>
      </c>
      <c r="V219" s="1" t="str">
        <f t="shared" si="121"/>
        <v>Normal</v>
      </c>
      <c r="W219" s="18">
        <f t="shared" si="122"/>
        <v>0</v>
      </c>
      <c r="X219" s="18">
        <f t="shared" si="123"/>
        <v>0</v>
      </c>
    </row>
    <row r="220" spans="1:27">
      <c r="A220" s="21">
        <v>45601</v>
      </c>
      <c r="B220" s="16">
        <f>IF(YEAR(Table6[[#This Row],[Date]]) = 2024, WEEKNUM(Table6[[#This Row],[Date]])-13, WEEKNUM(Table6[[#This Row],[Date]])+40)</f>
        <v>32</v>
      </c>
      <c r="C220" s="31"/>
      <c r="D220" s="31"/>
      <c r="E220" s="1"/>
      <c r="F220" s="1"/>
      <c r="G220" s="76"/>
      <c r="H220" s="76"/>
      <c r="I220" s="1"/>
      <c r="J220" s="1"/>
      <c r="K220" s="1"/>
      <c r="L220" s="1"/>
      <c r="M220" s="17"/>
      <c r="N220" s="17"/>
      <c r="O220" s="17"/>
      <c r="P220" s="17"/>
      <c r="Q220" s="17"/>
      <c r="R220" s="39"/>
      <c r="S220" s="139"/>
      <c r="T220" s="285"/>
      <c r="U220" s="1" t="str">
        <f t="shared" si="120"/>
        <v>Normal</v>
      </c>
      <c r="V220" s="1" t="str">
        <f t="shared" si="121"/>
        <v>Normal</v>
      </c>
      <c r="W220" s="18">
        <f t="shared" si="122"/>
        <v>0</v>
      </c>
      <c r="X220" s="18">
        <f t="shared" si="123"/>
        <v>0</v>
      </c>
      <c r="Z220">
        <f>SUM($E$93:$E$123)</f>
        <v>13837</v>
      </c>
      <c r="AA220" t="s">
        <v>56</v>
      </c>
    </row>
    <row r="221" spans="1:27">
      <c r="A221" s="21">
        <v>45602</v>
      </c>
      <c r="B221" s="16">
        <f>IF(YEAR(Table6[[#This Row],[Date]]) = 2024, WEEKNUM(Table6[[#This Row],[Date]])-13, WEEKNUM(Table6[[#This Row],[Date]])+40)</f>
        <v>32</v>
      </c>
      <c r="C221" s="31"/>
      <c r="D221" s="31"/>
      <c r="E221" s="1"/>
      <c r="F221" s="1"/>
      <c r="G221" s="76"/>
      <c r="H221" s="76"/>
      <c r="I221" s="1"/>
      <c r="J221" s="1"/>
      <c r="K221" s="1"/>
      <c r="L221" s="1"/>
      <c r="M221" s="17"/>
      <c r="N221" s="17"/>
      <c r="O221" s="17"/>
      <c r="P221" s="17"/>
      <c r="Q221" s="17"/>
      <c r="R221" s="39"/>
      <c r="S221" s="139"/>
      <c r="T221" s="285"/>
      <c r="U221" s="1" t="str">
        <f t="shared" si="120"/>
        <v>Normal</v>
      </c>
      <c r="V221" s="1" t="str">
        <f t="shared" si="121"/>
        <v>Normal</v>
      </c>
      <c r="W221" s="18">
        <f t="shared" si="122"/>
        <v>0</v>
      </c>
      <c r="X221" s="18">
        <f t="shared" si="123"/>
        <v>0</v>
      </c>
      <c r="Z221">
        <f>SUM($F$93:$F$123)</f>
        <v>12128</v>
      </c>
      <c r="AA221" t="s">
        <v>57</v>
      </c>
    </row>
    <row r="222" spans="1:27">
      <c r="A222" s="21">
        <v>45603</v>
      </c>
      <c r="B222" s="16">
        <f>IF(YEAR(Table6[[#This Row],[Date]]) = 2024, WEEKNUM(Table6[[#This Row],[Date]])-13, WEEKNUM(Table6[[#This Row],[Date]])+40)</f>
        <v>32</v>
      </c>
      <c r="C222" s="31"/>
      <c r="D222" s="31"/>
      <c r="E222" s="1"/>
      <c r="F222" s="1"/>
      <c r="G222" s="76"/>
      <c r="H222" s="76"/>
      <c r="I222" s="1"/>
      <c r="J222" s="1"/>
      <c r="K222" s="1"/>
      <c r="L222" s="1"/>
      <c r="M222" s="17"/>
      <c r="N222" s="17"/>
      <c r="O222" s="17"/>
      <c r="P222" s="17"/>
      <c r="Q222" s="17"/>
      <c r="R222" s="39"/>
      <c r="S222" s="139"/>
      <c r="T222" s="285"/>
      <c r="U222" s="1" t="str">
        <f t="shared" si="120"/>
        <v>Normal</v>
      </c>
      <c r="V222" s="1" t="str">
        <f t="shared" si="121"/>
        <v>Normal</v>
      </c>
      <c r="W222" s="18">
        <f t="shared" si="122"/>
        <v>0</v>
      </c>
      <c r="X222" s="18">
        <f t="shared" si="123"/>
        <v>0</v>
      </c>
      <c r="Z222" s="146">
        <f>AVERAGEIF($M$93:$M$123,"&lt;&gt;0")</f>
        <v>0.73629629629629612</v>
      </c>
      <c r="AA222" t="s">
        <v>39</v>
      </c>
    </row>
    <row r="223" spans="1:27">
      <c r="A223" s="21">
        <v>45604</v>
      </c>
      <c r="B223" s="16">
        <f>IF(YEAR(Table6[[#This Row],[Date]]) = 2024, WEEKNUM(Table6[[#This Row],[Date]])-13, WEEKNUM(Table6[[#This Row],[Date]])+40)</f>
        <v>32</v>
      </c>
      <c r="C223" s="31"/>
      <c r="D223" s="31"/>
      <c r="E223" s="1"/>
      <c r="F223" s="1"/>
      <c r="G223" s="76"/>
      <c r="H223" s="76"/>
      <c r="I223" s="1"/>
      <c r="J223" s="1"/>
      <c r="K223" s="1"/>
      <c r="L223" s="1"/>
      <c r="M223" s="17"/>
      <c r="N223" s="17"/>
      <c r="O223" s="17"/>
      <c r="P223" s="17"/>
      <c r="Q223" s="17"/>
      <c r="R223" s="39"/>
      <c r="S223" s="139"/>
      <c r="T223" s="285"/>
      <c r="U223" s="1" t="str">
        <f t="shared" si="120"/>
        <v>Normal</v>
      </c>
      <c r="V223" s="1" t="str">
        <f t="shared" si="121"/>
        <v>Normal</v>
      </c>
      <c r="W223" s="18">
        <f t="shared" si="122"/>
        <v>0</v>
      </c>
      <c r="X223" s="18">
        <f t="shared" si="123"/>
        <v>0</v>
      </c>
      <c r="Z223" s="146">
        <f>AVERAGEIF($P$93:$P$123,"&lt;&gt;0")</f>
        <v>0.35384615384615381</v>
      </c>
      <c r="AA223" t="s">
        <v>42</v>
      </c>
    </row>
    <row r="224" spans="1:27">
      <c r="A224" s="21">
        <v>45605</v>
      </c>
      <c r="B224" s="16">
        <f>IF(YEAR(Table6[[#This Row],[Date]]) = 2024, WEEKNUM(Table6[[#This Row],[Date]])-13, WEEKNUM(Table6[[#This Row],[Date]])+40)</f>
        <v>32</v>
      </c>
      <c r="C224" s="31"/>
      <c r="D224" s="31"/>
      <c r="E224" s="1"/>
      <c r="F224" s="1"/>
      <c r="G224" s="76"/>
      <c r="H224" s="76"/>
      <c r="I224" s="1"/>
      <c r="J224" s="1"/>
      <c r="K224" s="1"/>
      <c r="L224" s="1"/>
      <c r="M224" s="17"/>
      <c r="N224" s="17"/>
      <c r="O224" s="17"/>
      <c r="P224" s="17"/>
      <c r="Q224" s="17"/>
      <c r="R224" s="39"/>
      <c r="S224" s="139"/>
      <c r="T224" s="285"/>
      <c r="U224" s="1" t="str">
        <f t="shared" si="120"/>
        <v>Normal</v>
      </c>
      <c r="V224" s="1" t="str">
        <f t="shared" si="121"/>
        <v>Normal</v>
      </c>
      <c r="W224" s="18">
        <f t="shared" si="122"/>
        <v>0</v>
      </c>
      <c r="X224" s="18">
        <f t="shared" si="123"/>
        <v>0</v>
      </c>
      <c r="Z224" s="146">
        <f>AVERAGEIF($Q$93:$Q$123,"&lt;&gt;0")</f>
        <v>0.99925925925925929</v>
      </c>
      <c r="AA224" t="s">
        <v>43</v>
      </c>
    </row>
    <row r="225" spans="1:24">
      <c r="A225" s="21">
        <v>45606</v>
      </c>
      <c r="B225" s="16">
        <f>IF(YEAR(Table6[[#This Row],[Date]]) = 2024, WEEKNUM(Table6[[#This Row],[Date]])-13, WEEKNUM(Table6[[#This Row],[Date]])+40)</f>
        <v>33</v>
      </c>
      <c r="C225" s="31"/>
      <c r="D225" s="31"/>
      <c r="E225" s="1"/>
      <c r="F225" s="1"/>
      <c r="G225" s="76"/>
      <c r="H225" s="76"/>
      <c r="I225" s="1"/>
      <c r="J225" s="1"/>
      <c r="K225" s="1"/>
      <c r="L225" s="1"/>
      <c r="M225" s="17"/>
      <c r="N225" s="17"/>
      <c r="O225" s="17"/>
      <c r="P225" s="17"/>
      <c r="Q225" s="17"/>
      <c r="R225" s="39"/>
      <c r="S225" s="139"/>
      <c r="T225" s="285"/>
      <c r="U225" s="1" t="str">
        <f t="shared" si="120"/>
        <v>Normal</v>
      </c>
      <c r="V225" s="1" t="str">
        <f t="shared" si="121"/>
        <v>Normal</v>
      </c>
      <c r="W225" s="18">
        <f t="shared" si="122"/>
        <v>0</v>
      </c>
      <c r="X225" s="18">
        <f t="shared" si="123"/>
        <v>0</v>
      </c>
    </row>
    <row r="226" spans="1:24">
      <c r="A226" s="21">
        <v>45607</v>
      </c>
      <c r="B226" s="16">
        <f>IF(YEAR(Table6[[#This Row],[Date]]) = 2024, WEEKNUM(Table6[[#This Row],[Date]])-13, WEEKNUM(Table6[[#This Row],[Date]])+40)</f>
        <v>33</v>
      </c>
      <c r="C226" s="31"/>
      <c r="D226" s="31"/>
      <c r="E226" s="1"/>
      <c r="F226" s="1"/>
      <c r="G226" s="76"/>
      <c r="H226" s="76"/>
      <c r="I226" s="1"/>
      <c r="J226" s="1"/>
      <c r="K226" s="1"/>
      <c r="L226" s="1"/>
      <c r="M226" s="17"/>
      <c r="N226" s="17"/>
      <c r="O226" s="17"/>
      <c r="P226" s="17"/>
      <c r="Q226" s="17"/>
      <c r="R226" s="39"/>
      <c r="S226" s="139"/>
      <c r="T226" s="285"/>
      <c r="U226" s="1" t="str">
        <f t="shared" si="120"/>
        <v>Normal</v>
      </c>
      <c r="V226" s="1" t="str">
        <f t="shared" si="121"/>
        <v>Normal</v>
      </c>
      <c r="W226" s="18">
        <f t="shared" si="122"/>
        <v>0</v>
      </c>
      <c r="X226" s="18">
        <f t="shared" si="123"/>
        <v>0</v>
      </c>
    </row>
    <row r="227" spans="1:24">
      <c r="A227" s="21">
        <v>45608</v>
      </c>
      <c r="B227" s="16">
        <f>IF(YEAR(Table6[[#This Row],[Date]]) = 2024, WEEKNUM(Table6[[#This Row],[Date]])-13, WEEKNUM(Table6[[#This Row],[Date]])+40)</f>
        <v>33</v>
      </c>
      <c r="C227" s="31"/>
      <c r="D227" s="31"/>
      <c r="E227" s="1"/>
      <c r="F227" s="1"/>
      <c r="G227" s="76"/>
      <c r="H227" s="76"/>
      <c r="I227" s="1"/>
      <c r="J227" s="1"/>
      <c r="K227" s="1"/>
      <c r="L227" s="1"/>
      <c r="M227" s="17"/>
      <c r="N227" s="17"/>
      <c r="O227" s="17"/>
      <c r="P227" s="17"/>
      <c r="Q227" s="17"/>
      <c r="R227" s="39"/>
      <c r="S227" s="139"/>
      <c r="T227" s="285"/>
      <c r="U227" s="1" t="str">
        <f t="shared" si="120"/>
        <v>Normal</v>
      </c>
      <c r="V227" s="1" t="str">
        <f t="shared" si="121"/>
        <v>Normal</v>
      </c>
      <c r="W227" s="18">
        <f t="shared" si="122"/>
        <v>0</v>
      </c>
      <c r="X227" s="18">
        <f t="shared" si="123"/>
        <v>0</v>
      </c>
    </row>
    <row r="228" spans="1:24">
      <c r="A228" s="21">
        <v>45609</v>
      </c>
      <c r="B228" s="16">
        <f>IF(YEAR(Table6[[#This Row],[Date]]) = 2024, WEEKNUM(Table6[[#This Row],[Date]])-13, WEEKNUM(Table6[[#This Row],[Date]])+40)</f>
        <v>33</v>
      </c>
      <c r="C228" s="31"/>
      <c r="D228" s="31"/>
      <c r="E228" s="1"/>
      <c r="F228" s="1"/>
      <c r="G228" s="76"/>
      <c r="H228" s="76"/>
      <c r="I228" s="1"/>
      <c r="J228" s="1"/>
      <c r="K228" s="1"/>
      <c r="L228" s="1"/>
      <c r="M228" s="17"/>
      <c r="N228" s="17"/>
      <c r="O228" s="17"/>
      <c r="P228" s="17"/>
      <c r="Q228" s="17"/>
      <c r="R228" s="39"/>
      <c r="S228" s="139"/>
      <c r="T228" s="285"/>
      <c r="U228" s="1" t="str">
        <f t="shared" si="120"/>
        <v>Normal</v>
      </c>
      <c r="V228" s="1" t="str">
        <f t="shared" si="121"/>
        <v>Normal</v>
      </c>
      <c r="W228" s="18">
        <f t="shared" si="122"/>
        <v>0</v>
      </c>
      <c r="X228" s="18">
        <f t="shared" si="123"/>
        <v>0</v>
      </c>
    </row>
    <row r="229" spans="1:24">
      <c r="A229" s="21">
        <v>45610</v>
      </c>
      <c r="B229" s="16">
        <f>IF(YEAR(Table6[[#This Row],[Date]]) = 2024, WEEKNUM(Table6[[#This Row],[Date]])-13, WEEKNUM(Table6[[#This Row],[Date]])+40)</f>
        <v>33</v>
      </c>
      <c r="C229" s="31"/>
      <c r="D229" s="31"/>
      <c r="E229" s="1"/>
      <c r="F229" s="1"/>
      <c r="G229" s="76"/>
      <c r="H229" s="76"/>
      <c r="I229" s="1"/>
      <c r="J229" s="1"/>
      <c r="K229" s="1"/>
      <c r="L229" s="1"/>
      <c r="M229" s="17"/>
      <c r="N229" s="17"/>
      <c r="O229" s="17"/>
      <c r="P229" s="17"/>
      <c r="Q229" s="17"/>
      <c r="R229" s="39"/>
      <c r="S229" s="139"/>
      <c r="T229" s="285"/>
      <c r="U229" s="1" t="str">
        <f t="shared" si="120"/>
        <v>Normal</v>
      </c>
      <c r="V229" s="1" t="str">
        <f t="shared" si="121"/>
        <v>Normal</v>
      </c>
      <c r="W229" s="18">
        <f t="shared" si="122"/>
        <v>0</v>
      </c>
      <c r="X229" s="18">
        <f t="shared" si="123"/>
        <v>0</v>
      </c>
    </row>
    <row r="230" spans="1:24">
      <c r="A230" s="21">
        <v>45611</v>
      </c>
      <c r="B230" s="16">
        <f>IF(YEAR(Table6[[#This Row],[Date]]) = 2024, WEEKNUM(Table6[[#This Row],[Date]])-13, WEEKNUM(Table6[[#This Row],[Date]])+40)</f>
        <v>33</v>
      </c>
      <c r="C230" s="30"/>
      <c r="D230" s="31"/>
      <c r="E230" s="1"/>
      <c r="F230" s="1"/>
      <c r="G230" s="76"/>
      <c r="H230" s="76"/>
      <c r="I230" s="1"/>
      <c r="J230" s="1"/>
      <c r="K230" s="1"/>
      <c r="L230" s="1"/>
      <c r="M230" s="17"/>
      <c r="N230" s="17"/>
      <c r="O230" s="17"/>
      <c r="P230" s="17"/>
      <c r="Q230" s="17"/>
      <c r="R230" s="39"/>
      <c r="S230" s="139"/>
      <c r="T230" s="285"/>
      <c r="U230" s="1" t="str">
        <f t="shared" si="120"/>
        <v>Normal</v>
      </c>
      <c r="V230" s="1" t="str">
        <f t="shared" si="121"/>
        <v>Normal</v>
      </c>
      <c r="W230" s="18">
        <f t="shared" si="122"/>
        <v>0</v>
      </c>
      <c r="X230" s="18">
        <f t="shared" si="123"/>
        <v>0</v>
      </c>
    </row>
    <row r="231" spans="1:24">
      <c r="A231" s="21">
        <v>45612</v>
      </c>
      <c r="B231" s="16">
        <f>IF(YEAR(Table6[[#This Row],[Date]]) = 2024, WEEKNUM(Table6[[#This Row],[Date]])-13, WEEKNUM(Table6[[#This Row],[Date]])+40)</f>
        <v>33</v>
      </c>
      <c r="C231" s="31"/>
      <c r="D231" s="31"/>
      <c r="E231" s="1"/>
      <c r="F231" s="1"/>
      <c r="G231" s="76"/>
      <c r="H231" s="76"/>
      <c r="I231" s="1"/>
      <c r="J231" s="1"/>
      <c r="K231" s="1"/>
      <c r="L231" s="1"/>
      <c r="M231" s="17"/>
      <c r="N231" s="17"/>
      <c r="O231" s="17"/>
      <c r="P231" s="17"/>
      <c r="Q231" s="17"/>
      <c r="R231" s="39"/>
      <c r="S231" s="139"/>
      <c r="T231" s="285"/>
      <c r="U231" s="1" t="str">
        <f t="shared" si="120"/>
        <v>Normal</v>
      </c>
      <c r="V231" s="1" t="str">
        <f t="shared" si="121"/>
        <v>Normal</v>
      </c>
      <c r="W231" s="18">
        <f t="shared" si="122"/>
        <v>0</v>
      </c>
      <c r="X231" s="18">
        <f t="shared" si="123"/>
        <v>0</v>
      </c>
    </row>
    <row r="232" spans="1:24">
      <c r="A232" s="21">
        <v>45613</v>
      </c>
      <c r="B232" s="16">
        <f>IF(YEAR(Table6[[#This Row],[Date]]) = 2024, WEEKNUM(Table6[[#This Row],[Date]])-13, WEEKNUM(Table6[[#This Row],[Date]])+40)</f>
        <v>34</v>
      </c>
      <c r="C232" s="31"/>
      <c r="D232" s="31"/>
      <c r="E232" s="1"/>
      <c r="F232" s="1"/>
      <c r="G232" s="76"/>
      <c r="H232" s="76"/>
      <c r="I232" s="1"/>
      <c r="J232" s="1"/>
      <c r="K232" s="1"/>
      <c r="L232" s="1"/>
      <c r="M232" s="17"/>
      <c r="N232" s="17"/>
      <c r="O232" s="17"/>
      <c r="P232" s="17"/>
      <c r="Q232" s="17"/>
      <c r="R232" s="39"/>
      <c r="S232" s="139"/>
      <c r="T232" s="285"/>
      <c r="U232" s="1" t="str">
        <f t="shared" si="120"/>
        <v>Normal</v>
      </c>
      <c r="V232" s="1" t="str">
        <f t="shared" si="121"/>
        <v>Normal</v>
      </c>
      <c r="W232" s="18">
        <f t="shared" si="122"/>
        <v>0</v>
      </c>
      <c r="X232" s="18">
        <f t="shared" si="123"/>
        <v>0</v>
      </c>
    </row>
    <row r="233" spans="1:24">
      <c r="A233" s="21">
        <v>45614</v>
      </c>
      <c r="B233" s="16">
        <f>IF(YEAR(Table6[[#This Row],[Date]]) = 2024, WEEKNUM(Table6[[#This Row],[Date]])-13, WEEKNUM(Table6[[#This Row],[Date]])+40)</f>
        <v>34</v>
      </c>
      <c r="C233" s="31"/>
      <c r="D233" s="31"/>
      <c r="E233" s="1"/>
      <c r="F233" s="1"/>
      <c r="G233" s="76"/>
      <c r="H233" s="76"/>
      <c r="I233" s="1"/>
      <c r="J233" s="1"/>
      <c r="K233" s="1"/>
      <c r="L233" s="1"/>
      <c r="M233" s="17"/>
      <c r="N233" s="17"/>
      <c r="O233" s="17"/>
      <c r="P233" s="17"/>
      <c r="Q233" s="17"/>
      <c r="R233" s="39"/>
      <c r="S233" s="139"/>
      <c r="T233" s="285"/>
      <c r="U233" s="1" t="str">
        <f t="shared" si="120"/>
        <v>Normal</v>
      </c>
      <c r="V233" s="1" t="str">
        <f t="shared" si="121"/>
        <v>Normal</v>
      </c>
      <c r="W233" s="18">
        <f t="shared" si="122"/>
        <v>0</v>
      </c>
      <c r="X233" s="18">
        <f t="shared" si="123"/>
        <v>0</v>
      </c>
    </row>
    <row r="234" spans="1:24">
      <c r="A234" s="21">
        <v>45615</v>
      </c>
      <c r="B234" s="16">
        <f>IF(YEAR(Table6[[#This Row],[Date]]) = 2024, WEEKNUM(Table6[[#This Row],[Date]])-13, WEEKNUM(Table6[[#This Row],[Date]])+40)</f>
        <v>34</v>
      </c>
      <c r="C234" s="31"/>
      <c r="D234" s="31"/>
      <c r="E234" s="1"/>
      <c r="F234" s="1"/>
      <c r="G234" s="76"/>
      <c r="H234" s="76"/>
      <c r="I234" s="1"/>
      <c r="J234" s="1"/>
      <c r="K234" s="1"/>
      <c r="L234" s="1"/>
      <c r="M234" s="17"/>
      <c r="N234" s="17"/>
      <c r="O234" s="17"/>
      <c r="P234" s="17"/>
      <c r="Q234" s="17"/>
      <c r="R234" s="39"/>
      <c r="S234" s="139"/>
      <c r="T234" s="285"/>
      <c r="U234" s="1" t="str">
        <f t="shared" si="120"/>
        <v>Normal</v>
      </c>
      <c r="V234" s="1" t="str">
        <f t="shared" si="121"/>
        <v>Normal</v>
      </c>
      <c r="W234" s="18">
        <f t="shared" si="122"/>
        <v>0</v>
      </c>
      <c r="X234" s="18">
        <f t="shared" si="123"/>
        <v>0</v>
      </c>
    </row>
    <row r="235" spans="1:24">
      <c r="A235" s="21">
        <v>45616</v>
      </c>
      <c r="B235" s="16">
        <f>IF(YEAR(Table6[[#This Row],[Date]]) = 2024, WEEKNUM(Table6[[#This Row],[Date]])-13, WEEKNUM(Table6[[#This Row],[Date]])+40)</f>
        <v>34</v>
      </c>
      <c r="C235" s="31"/>
      <c r="D235" s="31"/>
      <c r="E235" s="1"/>
      <c r="F235" s="1"/>
      <c r="G235" s="76"/>
      <c r="H235" s="76"/>
      <c r="I235" s="1"/>
      <c r="J235" s="1"/>
      <c r="K235" s="1"/>
      <c r="L235" s="1"/>
      <c r="M235" s="17"/>
      <c r="N235" s="17"/>
      <c r="O235" s="17"/>
      <c r="P235" s="17"/>
      <c r="Q235" s="17"/>
      <c r="R235" s="39"/>
      <c r="S235" s="139"/>
      <c r="T235" s="285"/>
      <c r="U235" s="1" t="str">
        <f t="shared" si="120"/>
        <v>Normal</v>
      </c>
      <c r="V235" s="1" t="str">
        <f t="shared" si="121"/>
        <v>Normal</v>
      </c>
      <c r="W235" s="18">
        <f t="shared" si="122"/>
        <v>0</v>
      </c>
      <c r="X235" s="18">
        <f t="shared" si="123"/>
        <v>0</v>
      </c>
    </row>
    <row r="236" spans="1:24">
      <c r="A236" s="21">
        <v>45617</v>
      </c>
      <c r="B236" s="16">
        <f>IF(YEAR(Table6[[#This Row],[Date]]) = 2024, WEEKNUM(Table6[[#This Row],[Date]])-13, WEEKNUM(Table6[[#This Row],[Date]])+40)</f>
        <v>34</v>
      </c>
      <c r="C236" s="31"/>
      <c r="D236" s="31"/>
      <c r="E236" s="1"/>
      <c r="F236" s="1"/>
      <c r="G236" s="76"/>
      <c r="H236" s="76"/>
      <c r="I236" s="1"/>
      <c r="J236" s="1"/>
      <c r="K236" s="1"/>
      <c r="L236" s="1"/>
      <c r="M236" s="17"/>
      <c r="N236" s="17"/>
      <c r="O236" s="17"/>
      <c r="P236" s="17"/>
      <c r="Q236" s="17"/>
      <c r="R236" s="39"/>
      <c r="S236" s="139"/>
      <c r="T236" s="285"/>
      <c r="U236" s="1" t="str">
        <f t="shared" si="120"/>
        <v>Normal</v>
      </c>
      <c r="V236" s="1" t="str">
        <f t="shared" si="121"/>
        <v>Normal</v>
      </c>
      <c r="W236" s="18">
        <f t="shared" si="122"/>
        <v>0</v>
      </c>
      <c r="X236" s="18">
        <f t="shared" si="123"/>
        <v>0</v>
      </c>
    </row>
    <row r="237" spans="1:24">
      <c r="A237" s="21">
        <v>45618</v>
      </c>
      <c r="B237" s="16">
        <f>IF(YEAR(Table6[[#This Row],[Date]]) = 2024, WEEKNUM(Table6[[#This Row],[Date]])-13, WEEKNUM(Table6[[#This Row],[Date]])+40)</f>
        <v>34</v>
      </c>
      <c r="C237" s="31"/>
      <c r="D237" s="31"/>
      <c r="E237" s="1"/>
      <c r="F237" s="1"/>
      <c r="G237" s="76"/>
      <c r="H237" s="76"/>
      <c r="I237" s="1"/>
      <c r="J237" s="1"/>
      <c r="K237" s="1"/>
      <c r="L237" s="1"/>
      <c r="M237" s="17"/>
      <c r="N237" s="17"/>
      <c r="O237" s="17"/>
      <c r="P237" s="17"/>
      <c r="Q237" s="17"/>
      <c r="R237" s="39"/>
      <c r="S237" s="139"/>
      <c r="T237" s="285"/>
      <c r="U237" s="1" t="str">
        <f t="shared" si="120"/>
        <v>Normal</v>
      </c>
      <c r="V237" s="1" t="str">
        <f t="shared" si="121"/>
        <v>Normal</v>
      </c>
      <c r="W237" s="18">
        <f t="shared" si="122"/>
        <v>0</v>
      </c>
      <c r="X237" s="18">
        <f t="shared" si="123"/>
        <v>0</v>
      </c>
    </row>
    <row r="238" spans="1:24">
      <c r="A238" s="21">
        <v>45619</v>
      </c>
      <c r="B238" s="16">
        <f>IF(YEAR(Table6[[#This Row],[Date]]) = 2024, WEEKNUM(Table6[[#This Row],[Date]])-13, WEEKNUM(Table6[[#This Row],[Date]])+40)</f>
        <v>34</v>
      </c>
      <c r="C238" s="31"/>
      <c r="D238" s="31"/>
      <c r="E238" s="1"/>
      <c r="F238" s="1"/>
      <c r="G238" s="76"/>
      <c r="H238" s="76"/>
      <c r="I238" s="1"/>
      <c r="J238" s="1"/>
      <c r="K238" s="1"/>
      <c r="L238" s="1"/>
      <c r="M238" s="17"/>
      <c r="N238" s="17"/>
      <c r="O238" s="17"/>
      <c r="P238" s="17"/>
      <c r="Q238" s="17"/>
      <c r="R238" s="39"/>
      <c r="S238" s="139"/>
      <c r="T238" s="285"/>
      <c r="U238" s="1" t="str">
        <f t="shared" si="120"/>
        <v>Normal</v>
      </c>
      <c r="V238" s="1" t="str">
        <f t="shared" si="121"/>
        <v>Normal</v>
      </c>
      <c r="W238" s="18">
        <f t="shared" si="122"/>
        <v>0</v>
      </c>
      <c r="X238" s="18">
        <f t="shared" si="123"/>
        <v>0</v>
      </c>
    </row>
    <row r="239" spans="1:24">
      <c r="A239" s="21">
        <v>45620</v>
      </c>
      <c r="B239" s="16">
        <f>IF(YEAR(Table6[[#This Row],[Date]]) = 2024, WEEKNUM(Table6[[#This Row],[Date]])-13, WEEKNUM(Table6[[#This Row],[Date]])+40)</f>
        <v>35</v>
      </c>
      <c r="C239" s="31"/>
      <c r="D239" s="31"/>
      <c r="E239" s="1"/>
      <c r="F239" s="1"/>
      <c r="G239" s="76"/>
      <c r="H239" s="76"/>
      <c r="I239" s="1"/>
      <c r="J239" s="1"/>
      <c r="K239" s="1"/>
      <c r="L239" s="1"/>
      <c r="M239" s="17"/>
      <c r="N239" s="17"/>
      <c r="O239" s="17"/>
      <c r="P239" s="17"/>
      <c r="Q239" s="17"/>
      <c r="R239" s="39"/>
      <c r="S239" s="139"/>
      <c r="T239" s="285"/>
      <c r="U239" s="1" t="str">
        <f t="shared" si="120"/>
        <v>Normal</v>
      </c>
      <c r="V239" s="1" t="str">
        <f t="shared" si="121"/>
        <v>Normal</v>
      </c>
      <c r="W239" s="18">
        <f t="shared" si="122"/>
        <v>0</v>
      </c>
      <c r="X239" s="18">
        <f t="shared" si="123"/>
        <v>0</v>
      </c>
    </row>
    <row r="240" spans="1:24">
      <c r="A240" s="21">
        <v>45621</v>
      </c>
      <c r="B240" s="16">
        <f>IF(YEAR(Table6[[#This Row],[Date]]) = 2024, WEEKNUM(Table6[[#This Row],[Date]])-13, WEEKNUM(Table6[[#This Row],[Date]])+40)</f>
        <v>35</v>
      </c>
      <c r="C240" s="31"/>
      <c r="D240" s="31"/>
      <c r="E240" s="1"/>
      <c r="F240" s="1"/>
      <c r="G240" s="76"/>
      <c r="H240" s="76"/>
      <c r="I240" s="1"/>
      <c r="J240" s="1"/>
      <c r="K240" s="1"/>
      <c r="L240" s="1"/>
      <c r="M240" s="17"/>
      <c r="N240" s="17"/>
      <c r="O240" s="17"/>
      <c r="P240" s="17"/>
      <c r="Q240" s="17"/>
      <c r="R240" s="39"/>
      <c r="S240" s="139"/>
      <c r="T240" s="285"/>
      <c r="U240" s="1" t="str">
        <f t="shared" si="120"/>
        <v>Normal</v>
      </c>
      <c r="V240" s="1" t="str">
        <f t="shared" si="121"/>
        <v>Normal</v>
      </c>
      <c r="W240" s="18">
        <f t="shared" si="122"/>
        <v>0</v>
      </c>
      <c r="X240" s="18">
        <f t="shared" si="123"/>
        <v>0</v>
      </c>
    </row>
    <row r="241" spans="1:24">
      <c r="A241" s="21">
        <v>45622</v>
      </c>
      <c r="B241" s="16">
        <f>IF(YEAR(Table6[[#This Row],[Date]]) = 2024, WEEKNUM(Table6[[#This Row],[Date]])-13, WEEKNUM(Table6[[#This Row],[Date]])+40)</f>
        <v>35</v>
      </c>
      <c r="C241" s="31"/>
      <c r="D241" s="31"/>
      <c r="E241" s="1"/>
      <c r="F241" s="1"/>
      <c r="G241" s="76"/>
      <c r="H241" s="76"/>
      <c r="I241" s="1"/>
      <c r="J241" s="1"/>
      <c r="K241" s="1"/>
      <c r="L241" s="1"/>
      <c r="M241" s="17"/>
      <c r="N241" s="17"/>
      <c r="O241" s="17"/>
      <c r="P241" s="17"/>
      <c r="Q241" s="17"/>
      <c r="R241" s="39"/>
      <c r="S241" s="139"/>
      <c r="T241" s="285"/>
      <c r="U241" s="1" t="str">
        <f t="shared" si="120"/>
        <v>Normal</v>
      </c>
      <c r="V241" s="1" t="str">
        <f t="shared" si="121"/>
        <v>Normal</v>
      </c>
      <c r="W241" s="18">
        <f t="shared" si="122"/>
        <v>0</v>
      </c>
      <c r="X241" s="18">
        <f t="shared" si="123"/>
        <v>0</v>
      </c>
    </row>
    <row r="242" spans="1:24">
      <c r="A242" s="21">
        <v>45623</v>
      </c>
      <c r="B242" s="16">
        <f>IF(YEAR(Table6[[#This Row],[Date]]) = 2024, WEEKNUM(Table6[[#This Row],[Date]])-13, WEEKNUM(Table6[[#This Row],[Date]])+40)</f>
        <v>35</v>
      </c>
      <c r="C242" s="31"/>
      <c r="D242" s="31"/>
      <c r="E242" s="1"/>
      <c r="F242" s="1"/>
      <c r="G242" s="76"/>
      <c r="H242" s="76"/>
      <c r="I242" s="1"/>
      <c r="J242" s="1"/>
      <c r="K242" s="1"/>
      <c r="L242" s="1"/>
      <c r="M242" s="17"/>
      <c r="N242" s="17"/>
      <c r="O242" s="17"/>
      <c r="P242" s="17"/>
      <c r="Q242" s="17"/>
      <c r="R242" s="39"/>
      <c r="S242" s="139"/>
      <c r="T242" s="285"/>
      <c r="U242" s="1" t="str">
        <f t="shared" si="120"/>
        <v>Normal</v>
      </c>
      <c r="V242" s="1" t="str">
        <f t="shared" si="121"/>
        <v>Normal</v>
      </c>
      <c r="W242" s="18">
        <f t="shared" si="122"/>
        <v>0</v>
      </c>
      <c r="X242" s="18">
        <f t="shared" si="123"/>
        <v>0</v>
      </c>
    </row>
    <row r="243" spans="1:24">
      <c r="A243" s="21">
        <v>45624</v>
      </c>
      <c r="B243" s="16">
        <f>IF(YEAR(Table6[[#This Row],[Date]]) = 2024, WEEKNUM(Table6[[#This Row],[Date]])-13, WEEKNUM(Table6[[#This Row],[Date]])+40)</f>
        <v>35</v>
      </c>
      <c r="C243" s="31"/>
      <c r="D243" s="31"/>
      <c r="E243" s="1"/>
      <c r="F243" s="1"/>
      <c r="G243" s="76"/>
      <c r="H243" s="76"/>
      <c r="I243" s="1"/>
      <c r="J243" s="1"/>
      <c r="K243" s="1"/>
      <c r="L243" s="1"/>
      <c r="M243" s="17"/>
      <c r="N243" s="17"/>
      <c r="O243" s="17"/>
      <c r="P243" s="17"/>
      <c r="Q243" s="17"/>
      <c r="R243" s="39"/>
      <c r="S243" s="139"/>
      <c r="T243" s="285"/>
      <c r="U243" s="1" t="str">
        <f t="shared" si="120"/>
        <v>Normal</v>
      </c>
      <c r="V243" s="1" t="str">
        <f t="shared" si="121"/>
        <v>Normal</v>
      </c>
      <c r="W243" s="18">
        <f t="shared" si="122"/>
        <v>0</v>
      </c>
      <c r="X243" s="18">
        <f t="shared" si="123"/>
        <v>0</v>
      </c>
    </row>
    <row r="244" spans="1:24">
      <c r="A244" s="21">
        <v>45625</v>
      </c>
      <c r="B244" s="16">
        <f>IF(YEAR(Table6[[#This Row],[Date]]) = 2024, WEEKNUM(Table6[[#This Row],[Date]])-13, WEEKNUM(Table6[[#This Row],[Date]])+40)</f>
        <v>35</v>
      </c>
      <c r="C244" s="31"/>
      <c r="D244" s="31"/>
      <c r="E244" s="1"/>
      <c r="F244" s="1"/>
      <c r="G244" s="76"/>
      <c r="H244" s="76"/>
      <c r="I244" s="1"/>
      <c r="J244" s="1"/>
      <c r="K244" s="1"/>
      <c r="L244" s="1"/>
      <c r="M244" s="17"/>
      <c r="N244" s="17"/>
      <c r="O244" s="17"/>
      <c r="P244" s="17"/>
      <c r="Q244" s="17"/>
      <c r="R244" s="39"/>
      <c r="S244" s="139"/>
      <c r="T244" s="285"/>
      <c r="U244" s="1" t="str">
        <f t="shared" si="120"/>
        <v>Normal</v>
      </c>
      <c r="V244" s="1" t="str">
        <f t="shared" si="121"/>
        <v>Normal</v>
      </c>
      <c r="W244" s="18">
        <f t="shared" si="122"/>
        <v>0</v>
      </c>
      <c r="X244" s="18">
        <f t="shared" si="123"/>
        <v>0</v>
      </c>
    </row>
    <row r="245" spans="1:24">
      <c r="A245" s="21">
        <v>45626</v>
      </c>
      <c r="B245" s="16">
        <f>IF(YEAR(Table6[[#This Row],[Date]]) = 2024, WEEKNUM(Table6[[#This Row],[Date]])-13, WEEKNUM(Table6[[#This Row],[Date]])+40)</f>
        <v>35</v>
      </c>
      <c r="C245" s="31"/>
      <c r="D245" s="31"/>
      <c r="E245" s="1"/>
      <c r="F245" s="1"/>
      <c r="G245" s="76"/>
      <c r="H245" s="76"/>
      <c r="I245" s="1"/>
      <c r="J245" s="1"/>
      <c r="K245" s="1"/>
      <c r="L245" s="1"/>
      <c r="M245" s="17"/>
      <c r="N245" s="17"/>
      <c r="O245" s="17"/>
      <c r="P245" s="17"/>
      <c r="Q245" s="17"/>
      <c r="R245" s="39"/>
      <c r="S245" s="139"/>
      <c r="T245" s="285"/>
      <c r="U245" s="1" t="str">
        <f t="shared" si="120"/>
        <v>Normal</v>
      </c>
      <c r="V245" s="1" t="str">
        <f t="shared" si="121"/>
        <v>Normal</v>
      </c>
      <c r="W245" s="18">
        <f t="shared" si="122"/>
        <v>0</v>
      </c>
      <c r="X245" s="18">
        <f t="shared" si="123"/>
        <v>0</v>
      </c>
    </row>
    <row r="246" spans="1:24" s="45" customFormat="1">
      <c r="A246" s="21">
        <v>45627</v>
      </c>
      <c r="B246" s="16">
        <f>IF(YEAR(Table6[[#This Row],[Date]]) = 2024, WEEKNUM(Table6[[#This Row],[Date]])-13, WEEKNUM(Table6[[#This Row],[Date]])+40)</f>
        <v>36</v>
      </c>
      <c r="C246" s="46"/>
      <c r="D246" s="31"/>
      <c r="E246" s="1"/>
      <c r="F246" s="1"/>
      <c r="G246" s="76"/>
      <c r="H246" s="76"/>
      <c r="I246" s="1"/>
      <c r="J246" s="1"/>
      <c r="K246" s="1"/>
      <c r="L246" s="1"/>
      <c r="M246" s="17"/>
      <c r="N246" s="17"/>
      <c r="O246" s="17"/>
      <c r="P246" s="17"/>
      <c r="Q246" s="17"/>
      <c r="R246" s="39"/>
      <c r="S246" s="139"/>
      <c r="T246" s="285"/>
      <c r="U246" s="1" t="str">
        <f t="shared" si="120"/>
        <v>Normal</v>
      </c>
      <c r="V246" s="1" t="str">
        <f t="shared" si="121"/>
        <v>Normal</v>
      </c>
      <c r="W246" s="18">
        <f t="shared" si="122"/>
        <v>0</v>
      </c>
      <c r="X246" s="18">
        <f t="shared" si="123"/>
        <v>0</v>
      </c>
    </row>
    <row r="247" spans="1:24">
      <c r="A247" s="21">
        <v>45628</v>
      </c>
      <c r="B247" s="16">
        <f>IF(YEAR(Table6[[#This Row],[Date]]) = 2024, WEEKNUM(Table6[[#This Row],[Date]])-13, WEEKNUM(Table6[[#This Row],[Date]])+40)</f>
        <v>36</v>
      </c>
      <c r="C247" s="31"/>
      <c r="D247" s="31"/>
      <c r="E247" s="1"/>
      <c r="F247" s="1"/>
      <c r="G247" s="76"/>
      <c r="H247" s="76"/>
      <c r="I247" s="1"/>
      <c r="J247" s="1"/>
      <c r="K247" s="1"/>
      <c r="L247" s="1"/>
      <c r="M247" s="17"/>
      <c r="N247" s="17"/>
      <c r="O247" s="17"/>
      <c r="P247" s="17"/>
      <c r="Q247" s="17"/>
      <c r="R247" s="39"/>
      <c r="S247" s="139"/>
      <c r="T247" s="285"/>
      <c r="U247" s="1" t="str">
        <f t="shared" si="120"/>
        <v>Normal</v>
      </c>
      <c r="V247" s="1" t="str">
        <f t="shared" si="121"/>
        <v>Normal</v>
      </c>
      <c r="W247" s="18">
        <f t="shared" si="122"/>
        <v>0</v>
      </c>
      <c r="X247" s="18">
        <f t="shared" si="123"/>
        <v>0</v>
      </c>
    </row>
    <row r="248" spans="1:24">
      <c r="A248" s="21">
        <v>45629</v>
      </c>
      <c r="B248" s="16">
        <f>IF(YEAR(Table6[[#This Row],[Date]]) = 2024, WEEKNUM(Table6[[#This Row],[Date]])-13, WEEKNUM(Table6[[#This Row],[Date]])+40)</f>
        <v>36</v>
      </c>
      <c r="C248" s="31"/>
      <c r="D248" s="31"/>
      <c r="E248" s="1"/>
      <c r="F248" s="1"/>
      <c r="G248" s="76"/>
      <c r="H248" s="76"/>
      <c r="I248" s="1"/>
      <c r="J248" s="1"/>
      <c r="K248" s="1"/>
      <c r="L248" s="1"/>
      <c r="M248" s="17"/>
      <c r="N248" s="17"/>
      <c r="O248" s="17"/>
      <c r="P248" s="17"/>
      <c r="Q248" s="17"/>
      <c r="R248" s="39"/>
      <c r="S248" s="139"/>
      <c r="T248" s="285"/>
      <c r="U248" s="1" t="str">
        <f t="shared" si="120"/>
        <v>Normal</v>
      </c>
      <c r="V248" s="1" t="str">
        <f t="shared" si="121"/>
        <v>Normal</v>
      </c>
      <c r="W248" s="18">
        <f t="shared" si="122"/>
        <v>0</v>
      </c>
      <c r="X248" s="18">
        <f t="shared" si="123"/>
        <v>0</v>
      </c>
    </row>
    <row r="249" spans="1:24">
      <c r="A249" s="21">
        <v>45630</v>
      </c>
      <c r="B249" s="16">
        <f>IF(YEAR(Table6[[#This Row],[Date]]) = 2024, WEEKNUM(Table6[[#This Row],[Date]])-13, WEEKNUM(Table6[[#This Row],[Date]])+40)</f>
        <v>36</v>
      </c>
      <c r="C249" s="31"/>
      <c r="D249" s="31"/>
      <c r="E249" s="1"/>
      <c r="F249" s="1"/>
      <c r="G249" s="76"/>
      <c r="H249" s="76"/>
      <c r="I249" s="1"/>
      <c r="J249" s="1"/>
      <c r="K249" s="1"/>
      <c r="L249" s="1"/>
      <c r="M249" s="17"/>
      <c r="N249" s="17"/>
      <c r="O249" s="17"/>
      <c r="P249" s="17"/>
      <c r="Q249" s="17"/>
      <c r="R249" s="39"/>
      <c r="S249" s="139"/>
      <c r="T249" s="285"/>
      <c r="U249" s="1" t="str">
        <f t="shared" si="120"/>
        <v>Normal</v>
      </c>
      <c r="V249" s="1" t="str">
        <f t="shared" si="121"/>
        <v>Normal</v>
      </c>
      <c r="W249" s="18">
        <f t="shared" si="122"/>
        <v>0</v>
      </c>
      <c r="X249" s="18">
        <f t="shared" si="123"/>
        <v>0</v>
      </c>
    </row>
    <row r="250" spans="1:24">
      <c r="A250" s="21">
        <v>45631</v>
      </c>
      <c r="B250" s="16">
        <f>IF(YEAR(Table6[[#This Row],[Date]]) = 2024, WEEKNUM(Table6[[#This Row],[Date]])-13, WEEKNUM(Table6[[#This Row],[Date]])+40)</f>
        <v>36</v>
      </c>
      <c r="C250" s="31"/>
      <c r="D250" s="31"/>
      <c r="E250" s="1"/>
      <c r="F250" s="1"/>
      <c r="G250" s="76"/>
      <c r="H250" s="76"/>
      <c r="I250" s="1"/>
      <c r="J250" s="1"/>
      <c r="K250" s="1"/>
      <c r="L250" s="1"/>
      <c r="M250" s="17"/>
      <c r="N250" s="17"/>
      <c r="O250" s="17"/>
      <c r="P250" s="17"/>
      <c r="Q250" s="17"/>
      <c r="R250" s="39"/>
      <c r="S250" s="139"/>
      <c r="T250" s="285"/>
      <c r="U250" s="1" t="str">
        <f t="shared" si="120"/>
        <v>Normal</v>
      </c>
      <c r="V250" s="1" t="str">
        <f t="shared" si="121"/>
        <v>Normal</v>
      </c>
      <c r="W250" s="18">
        <f t="shared" si="122"/>
        <v>0</v>
      </c>
      <c r="X250" s="18">
        <f t="shared" si="123"/>
        <v>0</v>
      </c>
    </row>
    <row r="251" spans="1:24">
      <c r="A251" s="21">
        <v>45632</v>
      </c>
      <c r="B251" s="16">
        <f>IF(YEAR(Table6[[#This Row],[Date]]) = 2024, WEEKNUM(Table6[[#This Row],[Date]])-13, WEEKNUM(Table6[[#This Row],[Date]])+40)</f>
        <v>36</v>
      </c>
      <c r="C251" s="31"/>
      <c r="D251" s="31"/>
      <c r="E251" s="1"/>
      <c r="F251" s="1"/>
      <c r="G251" s="76"/>
      <c r="H251" s="76"/>
      <c r="I251" s="1"/>
      <c r="J251" s="1"/>
      <c r="K251" s="1"/>
      <c r="L251" s="1"/>
      <c r="M251" s="17"/>
      <c r="N251" s="17"/>
      <c r="O251" s="17"/>
      <c r="P251" s="17"/>
      <c r="Q251" s="17"/>
      <c r="R251" s="39"/>
      <c r="S251" s="139"/>
      <c r="T251" s="285"/>
      <c r="U251" s="1" t="str">
        <f t="shared" si="120"/>
        <v>Normal</v>
      </c>
      <c r="V251" s="1" t="str">
        <f t="shared" si="121"/>
        <v>Normal</v>
      </c>
      <c r="W251" s="18">
        <f t="shared" si="122"/>
        <v>0</v>
      </c>
      <c r="X251" s="18">
        <f t="shared" si="123"/>
        <v>0</v>
      </c>
    </row>
    <row r="252" spans="1:24">
      <c r="A252" s="21">
        <v>45633</v>
      </c>
      <c r="B252" s="16">
        <f>IF(YEAR(Table6[[#This Row],[Date]]) = 2024, WEEKNUM(Table6[[#This Row],[Date]])-13, WEEKNUM(Table6[[#This Row],[Date]])+40)</f>
        <v>36</v>
      </c>
      <c r="C252" s="31"/>
      <c r="D252" s="31"/>
      <c r="E252" s="1"/>
      <c r="F252" s="1"/>
      <c r="G252" s="76"/>
      <c r="H252" s="76"/>
      <c r="I252" s="1"/>
      <c r="J252" s="1"/>
      <c r="K252" s="1"/>
      <c r="L252" s="1"/>
      <c r="M252" s="17"/>
      <c r="N252" s="17"/>
      <c r="O252" s="17"/>
      <c r="P252" s="17"/>
      <c r="Q252" s="17"/>
      <c r="R252" s="39"/>
      <c r="S252" s="139"/>
      <c r="T252" s="285"/>
      <c r="U252" s="1" t="str">
        <f t="shared" si="120"/>
        <v>Normal</v>
      </c>
      <c r="V252" s="1" t="str">
        <f t="shared" si="121"/>
        <v>Normal</v>
      </c>
      <c r="W252" s="18">
        <f t="shared" si="122"/>
        <v>0</v>
      </c>
      <c r="X252" s="18">
        <f t="shared" si="123"/>
        <v>0</v>
      </c>
    </row>
    <row r="253" spans="1:24">
      <c r="A253" s="21">
        <v>45634</v>
      </c>
      <c r="B253" s="16">
        <f>IF(YEAR(Table6[[#This Row],[Date]]) = 2024, WEEKNUM(Table6[[#This Row],[Date]])-13, WEEKNUM(Table6[[#This Row],[Date]])+40)</f>
        <v>37</v>
      </c>
      <c r="C253" s="31"/>
      <c r="D253" s="31"/>
      <c r="E253" s="1"/>
      <c r="F253" s="1"/>
      <c r="G253" s="76"/>
      <c r="H253" s="76"/>
      <c r="I253" s="1"/>
      <c r="J253" s="1"/>
      <c r="K253" s="1"/>
      <c r="L253" s="1"/>
      <c r="M253" s="17"/>
      <c r="N253" s="17"/>
      <c r="O253" s="17"/>
      <c r="P253" s="17"/>
      <c r="Q253" s="17"/>
      <c r="R253" s="39"/>
      <c r="S253" s="139"/>
      <c r="T253" s="285"/>
      <c r="U253" s="1" t="str">
        <f t="shared" si="120"/>
        <v>Normal</v>
      </c>
      <c r="V253" s="1" t="str">
        <f t="shared" si="121"/>
        <v>Normal</v>
      </c>
      <c r="W253" s="18">
        <f t="shared" si="122"/>
        <v>0</v>
      </c>
      <c r="X253" s="18">
        <f t="shared" si="123"/>
        <v>0</v>
      </c>
    </row>
    <row r="254" spans="1:24">
      <c r="A254" s="21">
        <v>45635</v>
      </c>
      <c r="B254" s="16">
        <f>IF(YEAR(Table6[[#This Row],[Date]]) = 2024, WEEKNUM(Table6[[#This Row],[Date]])-13, WEEKNUM(Table6[[#This Row],[Date]])+40)</f>
        <v>37</v>
      </c>
      <c r="C254" s="31"/>
      <c r="D254" s="31"/>
      <c r="E254" s="1"/>
      <c r="F254" s="1"/>
      <c r="G254" s="76"/>
      <c r="H254" s="76"/>
      <c r="I254" s="1"/>
      <c r="J254" s="1"/>
      <c r="K254" s="1"/>
      <c r="L254" s="1"/>
      <c r="M254" s="17"/>
      <c r="N254" s="17"/>
      <c r="O254" s="17"/>
      <c r="P254" s="17"/>
      <c r="Q254" s="17"/>
      <c r="R254" s="39"/>
      <c r="S254" s="139"/>
      <c r="T254" s="285"/>
      <c r="U254" s="1" t="str">
        <f t="shared" si="120"/>
        <v>Normal</v>
      </c>
      <c r="V254" s="1" t="str">
        <f t="shared" si="121"/>
        <v>Normal</v>
      </c>
      <c r="W254" s="18">
        <f t="shared" si="122"/>
        <v>0</v>
      </c>
      <c r="X254" s="18">
        <f t="shared" si="123"/>
        <v>0</v>
      </c>
    </row>
    <row r="255" spans="1:24">
      <c r="A255" s="21">
        <v>45636</v>
      </c>
      <c r="B255" s="16">
        <f>IF(YEAR(Table6[[#This Row],[Date]]) = 2024, WEEKNUM(Table6[[#This Row],[Date]])-13, WEEKNUM(Table6[[#This Row],[Date]])+40)</f>
        <v>37</v>
      </c>
      <c r="C255" s="31"/>
      <c r="D255" s="31"/>
      <c r="E255" s="1"/>
      <c r="F255" s="1"/>
      <c r="G255" s="76"/>
      <c r="H255" s="76"/>
      <c r="I255" s="1"/>
      <c r="J255" s="1"/>
      <c r="K255" s="1"/>
      <c r="L255" s="1"/>
      <c r="M255" s="17"/>
      <c r="N255" s="17"/>
      <c r="O255" s="17"/>
      <c r="P255" s="17"/>
      <c r="Q255" s="17"/>
      <c r="R255" s="39"/>
      <c r="S255" s="139"/>
      <c r="T255" s="285"/>
      <c r="U255" s="1" t="str">
        <f t="shared" si="120"/>
        <v>Normal</v>
      </c>
      <c r="V255" s="1" t="str">
        <f t="shared" si="121"/>
        <v>Normal</v>
      </c>
      <c r="W255" s="18">
        <f t="shared" si="122"/>
        <v>0</v>
      </c>
      <c r="X255" s="18">
        <f t="shared" si="123"/>
        <v>0</v>
      </c>
    </row>
    <row r="256" spans="1:24">
      <c r="A256" s="21">
        <v>45637</v>
      </c>
      <c r="B256" s="16">
        <f>IF(YEAR(Table6[[#This Row],[Date]]) = 2024, WEEKNUM(Table6[[#This Row],[Date]])-13, WEEKNUM(Table6[[#This Row],[Date]])+40)</f>
        <v>37</v>
      </c>
      <c r="C256" s="31"/>
      <c r="D256" s="31"/>
      <c r="E256" s="1"/>
      <c r="F256" s="1"/>
      <c r="G256" s="76"/>
      <c r="H256" s="76"/>
      <c r="I256" s="1"/>
      <c r="J256" s="1"/>
      <c r="K256" s="1"/>
      <c r="L256" s="1"/>
      <c r="M256" s="17"/>
      <c r="N256" s="17"/>
      <c r="O256" s="17"/>
      <c r="P256" s="17"/>
      <c r="Q256" s="17"/>
      <c r="R256" s="39"/>
      <c r="S256" s="139"/>
      <c r="T256" s="285"/>
      <c r="U256" s="1" t="str">
        <f t="shared" si="120"/>
        <v>Normal</v>
      </c>
      <c r="V256" s="1" t="str">
        <f t="shared" si="121"/>
        <v>Normal</v>
      </c>
      <c r="W256" s="18">
        <f t="shared" si="122"/>
        <v>0</v>
      </c>
      <c r="X256" s="18">
        <f t="shared" si="123"/>
        <v>0</v>
      </c>
    </row>
    <row r="257" spans="1:24">
      <c r="A257" s="21">
        <v>45638</v>
      </c>
      <c r="B257" s="16">
        <f>IF(YEAR(Table6[[#This Row],[Date]]) = 2024, WEEKNUM(Table6[[#This Row],[Date]])-13, WEEKNUM(Table6[[#This Row],[Date]])+40)</f>
        <v>37</v>
      </c>
      <c r="C257" s="31"/>
      <c r="D257" s="31"/>
      <c r="E257" s="1"/>
      <c r="F257" s="1"/>
      <c r="G257" s="76"/>
      <c r="H257" s="76"/>
      <c r="I257" s="1"/>
      <c r="J257" s="1"/>
      <c r="K257" s="1"/>
      <c r="L257" s="1"/>
      <c r="M257" s="17"/>
      <c r="N257" s="17"/>
      <c r="O257" s="17"/>
      <c r="P257" s="17"/>
      <c r="Q257" s="17"/>
      <c r="R257" s="39"/>
      <c r="S257" s="139"/>
      <c r="T257" s="285"/>
      <c r="U257" s="1" t="str">
        <f t="shared" si="120"/>
        <v>Normal</v>
      </c>
      <c r="V257" s="1" t="str">
        <f t="shared" si="121"/>
        <v>Normal</v>
      </c>
      <c r="W257" s="18">
        <f t="shared" si="122"/>
        <v>0</v>
      </c>
      <c r="X257" s="18">
        <f t="shared" si="123"/>
        <v>0</v>
      </c>
    </row>
    <row r="258" spans="1:24">
      <c r="A258" s="21">
        <v>45639</v>
      </c>
      <c r="B258" s="16">
        <f>IF(YEAR(Table6[[#This Row],[Date]]) = 2024, WEEKNUM(Table6[[#This Row],[Date]])-13, WEEKNUM(Table6[[#This Row],[Date]])+40)</f>
        <v>37</v>
      </c>
      <c r="C258" s="31"/>
      <c r="D258" s="31"/>
      <c r="E258" s="1"/>
      <c r="F258" s="1"/>
      <c r="G258" s="76"/>
      <c r="H258" s="76"/>
      <c r="I258" s="1"/>
      <c r="J258" s="1"/>
      <c r="K258" s="1"/>
      <c r="L258" s="1"/>
      <c r="M258" s="17"/>
      <c r="N258" s="17"/>
      <c r="O258" s="17"/>
      <c r="P258" s="17"/>
      <c r="Q258" s="17"/>
      <c r="R258" s="39"/>
      <c r="S258" s="139"/>
      <c r="T258" s="285"/>
      <c r="U258" s="1" t="str">
        <f t="shared" si="120"/>
        <v>Normal</v>
      </c>
      <c r="V258" s="1" t="str">
        <f t="shared" si="121"/>
        <v>Normal</v>
      </c>
      <c r="W258" s="18">
        <f t="shared" si="122"/>
        <v>0</v>
      </c>
      <c r="X258" s="18">
        <f t="shared" si="123"/>
        <v>0</v>
      </c>
    </row>
    <row r="259" spans="1:24">
      <c r="A259" s="21">
        <v>45640</v>
      </c>
      <c r="B259" s="16">
        <f>IF(YEAR(Table6[[#This Row],[Date]]) = 2024, WEEKNUM(Table6[[#This Row],[Date]])-13, WEEKNUM(Table6[[#This Row],[Date]])+40)</f>
        <v>37</v>
      </c>
      <c r="C259" s="31"/>
      <c r="D259" s="31"/>
      <c r="E259" s="1"/>
      <c r="F259" s="1"/>
      <c r="G259" s="76"/>
      <c r="H259" s="76"/>
      <c r="I259" s="1"/>
      <c r="J259" s="1"/>
      <c r="K259" s="1"/>
      <c r="L259" s="1"/>
      <c r="M259" s="17"/>
      <c r="N259" s="17"/>
      <c r="O259" s="17"/>
      <c r="P259" s="17"/>
      <c r="Q259" s="17"/>
      <c r="R259" s="39"/>
      <c r="S259" s="139"/>
      <c r="T259" s="285"/>
      <c r="U259" s="1" t="str">
        <f t="shared" ref="U259:U322" si="124">IF(OR(G259&lt;$AB$5,G259&gt;$AC$5), "Outlier", "Normal")</f>
        <v>Normal</v>
      </c>
      <c r="V259" s="1" t="str">
        <f t="shared" ref="V259:V322" si="125">IF(OR(H259&lt;$AB$6,H259&gt;$AC$6), "Outlier", "Normal")</f>
        <v>Normal</v>
      </c>
      <c r="W259" s="18">
        <f t="shared" ref="W259:W322" si="126">IF(U259="Normal",$G259,IF($G259&lt;250%, $G259, $AB$9))</f>
        <v>0</v>
      </c>
      <c r="X259" s="18">
        <f t="shared" ref="X259:X322" si="127">IF(V259="Normal",$H259,IF($H259&lt;250%, $H259, $AF$9))</f>
        <v>0</v>
      </c>
    </row>
    <row r="260" spans="1:24">
      <c r="A260" s="21">
        <v>45641</v>
      </c>
      <c r="B260" s="16">
        <f>IF(YEAR(Table6[[#This Row],[Date]]) = 2024, WEEKNUM(Table6[[#This Row],[Date]])-13, WEEKNUM(Table6[[#This Row],[Date]])+40)</f>
        <v>38</v>
      </c>
      <c r="C260" s="31"/>
      <c r="D260" s="31"/>
      <c r="E260" s="1"/>
      <c r="F260" s="1"/>
      <c r="G260" s="76"/>
      <c r="H260" s="76"/>
      <c r="I260" s="1"/>
      <c r="J260" s="1"/>
      <c r="K260" s="1"/>
      <c r="L260" s="1"/>
      <c r="M260" s="17"/>
      <c r="N260" s="17"/>
      <c r="O260" s="17"/>
      <c r="P260" s="17"/>
      <c r="Q260" s="17"/>
      <c r="R260" s="39"/>
      <c r="S260" s="139"/>
      <c r="T260" s="285"/>
      <c r="U260" s="1" t="str">
        <f t="shared" si="124"/>
        <v>Normal</v>
      </c>
      <c r="V260" s="1" t="str">
        <f t="shared" si="125"/>
        <v>Normal</v>
      </c>
      <c r="W260" s="18">
        <f t="shared" si="126"/>
        <v>0</v>
      </c>
      <c r="X260" s="18">
        <f t="shared" si="127"/>
        <v>0</v>
      </c>
    </row>
    <row r="261" spans="1:24">
      <c r="A261" s="21">
        <v>45642</v>
      </c>
      <c r="B261" s="16">
        <f>IF(YEAR(Table6[[#This Row],[Date]]) = 2024, WEEKNUM(Table6[[#This Row],[Date]])-13, WEEKNUM(Table6[[#This Row],[Date]])+40)</f>
        <v>38</v>
      </c>
      <c r="C261" s="31"/>
      <c r="D261" s="31"/>
      <c r="E261" s="1"/>
      <c r="F261" s="1"/>
      <c r="G261" s="76"/>
      <c r="H261" s="76"/>
      <c r="I261" s="1"/>
      <c r="J261" s="1"/>
      <c r="K261" s="1"/>
      <c r="L261" s="1"/>
      <c r="M261" s="17"/>
      <c r="N261" s="17"/>
      <c r="O261" s="17"/>
      <c r="P261" s="17"/>
      <c r="Q261" s="17"/>
      <c r="R261" s="39"/>
      <c r="S261" s="139"/>
      <c r="T261" s="285"/>
      <c r="U261" s="1" t="str">
        <f t="shared" si="124"/>
        <v>Normal</v>
      </c>
      <c r="V261" s="1" t="str">
        <f t="shared" si="125"/>
        <v>Normal</v>
      </c>
      <c r="W261" s="18">
        <f t="shared" si="126"/>
        <v>0</v>
      </c>
      <c r="X261" s="18">
        <f t="shared" si="127"/>
        <v>0</v>
      </c>
    </row>
    <row r="262" spans="1:24">
      <c r="A262" s="21">
        <v>45643</v>
      </c>
      <c r="B262" s="16">
        <f>IF(YEAR(Table6[[#This Row],[Date]]) = 2024, WEEKNUM(Table6[[#This Row],[Date]])-13, WEEKNUM(Table6[[#This Row],[Date]])+40)</f>
        <v>38</v>
      </c>
      <c r="C262" s="31"/>
      <c r="D262" s="31"/>
      <c r="E262" s="1"/>
      <c r="F262" s="1"/>
      <c r="G262" s="76"/>
      <c r="H262" s="76"/>
      <c r="I262" s="1"/>
      <c r="J262" s="1"/>
      <c r="K262" s="1"/>
      <c r="L262" s="1"/>
      <c r="M262" s="17"/>
      <c r="N262" s="17"/>
      <c r="O262" s="17"/>
      <c r="P262" s="17"/>
      <c r="Q262" s="17"/>
      <c r="R262" s="39"/>
      <c r="S262" s="139"/>
      <c r="T262" s="285"/>
      <c r="U262" s="1" t="str">
        <f t="shared" si="124"/>
        <v>Normal</v>
      </c>
      <c r="V262" s="1" t="str">
        <f t="shared" si="125"/>
        <v>Normal</v>
      </c>
      <c r="W262" s="18">
        <f t="shared" si="126"/>
        <v>0</v>
      </c>
      <c r="X262" s="18">
        <f t="shared" si="127"/>
        <v>0</v>
      </c>
    </row>
    <row r="263" spans="1:24">
      <c r="A263" s="21">
        <v>45644</v>
      </c>
      <c r="B263" s="16">
        <f>IF(YEAR(Table6[[#This Row],[Date]]) = 2024, WEEKNUM(Table6[[#This Row],[Date]])-13, WEEKNUM(Table6[[#This Row],[Date]])+40)</f>
        <v>38</v>
      </c>
      <c r="C263" s="31"/>
      <c r="D263" s="31"/>
      <c r="E263" s="1"/>
      <c r="F263" s="1"/>
      <c r="G263" s="76"/>
      <c r="H263" s="76"/>
      <c r="I263" s="1"/>
      <c r="J263" s="1"/>
      <c r="K263" s="1"/>
      <c r="L263" s="1"/>
      <c r="M263" s="17"/>
      <c r="N263" s="17"/>
      <c r="O263" s="17"/>
      <c r="P263" s="17"/>
      <c r="Q263" s="17"/>
      <c r="R263" s="39"/>
      <c r="S263" s="139"/>
      <c r="T263" s="285"/>
      <c r="U263" s="1" t="str">
        <f t="shared" si="124"/>
        <v>Normal</v>
      </c>
      <c r="V263" s="1" t="str">
        <f t="shared" si="125"/>
        <v>Normal</v>
      </c>
      <c r="W263" s="18">
        <f t="shared" si="126"/>
        <v>0</v>
      </c>
      <c r="X263" s="18">
        <f t="shared" si="127"/>
        <v>0</v>
      </c>
    </row>
    <row r="264" spans="1:24">
      <c r="A264" s="21">
        <v>45645</v>
      </c>
      <c r="B264" s="16">
        <f>IF(YEAR(Table6[[#This Row],[Date]]) = 2024, WEEKNUM(Table6[[#This Row],[Date]])-13, WEEKNUM(Table6[[#This Row],[Date]])+40)</f>
        <v>38</v>
      </c>
      <c r="C264" s="31"/>
      <c r="D264" s="31"/>
      <c r="E264" s="1"/>
      <c r="F264" s="1"/>
      <c r="G264" s="76"/>
      <c r="H264" s="76"/>
      <c r="I264" s="1"/>
      <c r="J264" s="1"/>
      <c r="K264" s="1"/>
      <c r="L264" s="1"/>
      <c r="M264" s="17"/>
      <c r="N264" s="17"/>
      <c r="O264" s="17"/>
      <c r="P264" s="17"/>
      <c r="Q264" s="17"/>
      <c r="R264" s="39"/>
      <c r="S264" s="139"/>
      <c r="T264" s="285"/>
      <c r="U264" s="1" t="str">
        <f t="shared" si="124"/>
        <v>Normal</v>
      </c>
      <c r="V264" s="1" t="str">
        <f t="shared" si="125"/>
        <v>Normal</v>
      </c>
      <c r="W264" s="18">
        <f t="shared" si="126"/>
        <v>0</v>
      </c>
      <c r="X264" s="18">
        <f t="shared" si="127"/>
        <v>0</v>
      </c>
    </row>
    <row r="265" spans="1:24">
      <c r="A265" s="21">
        <v>45646</v>
      </c>
      <c r="B265" s="16">
        <f>IF(YEAR(Table6[[#This Row],[Date]]) = 2024, WEEKNUM(Table6[[#This Row],[Date]])-13, WEEKNUM(Table6[[#This Row],[Date]])+40)</f>
        <v>38</v>
      </c>
      <c r="C265" s="31"/>
      <c r="D265" s="31"/>
      <c r="E265" s="1"/>
      <c r="F265" s="1"/>
      <c r="G265" s="76"/>
      <c r="H265" s="76"/>
      <c r="I265" s="1"/>
      <c r="J265" s="1"/>
      <c r="K265" s="1"/>
      <c r="L265" s="1"/>
      <c r="M265" s="17"/>
      <c r="N265" s="17"/>
      <c r="O265" s="17"/>
      <c r="P265" s="17"/>
      <c r="Q265" s="17"/>
      <c r="R265" s="39"/>
      <c r="S265" s="139"/>
      <c r="T265" s="285"/>
      <c r="U265" s="1" t="str">
        <f t="shared" si="124"/>
        <v>Normal</v>
      </c>
      <c r="V265" s="1" t="str">
        <f t="shared" si="125"/>
        <v>Normal</v>
      </c>
      <c r="W265" s="18">
        <f t="shared" si="126"/>
        <v>0</v>
      </c>
      <c r="X265" s="18">
        <f t="shared" si="127"/>
        <v>0</v>
      </c>
    </row>
    <row r="266" spans="1:24">
      <c r="A266" s="21">
        <v>45647</v>
      </c>
      <c r="B266" s="16">
        <f>IF(YEAR(Table6[[#This Row],[Date]]) = 2024, WEEKNUM(Table6[[#This Row],[Date]])-13, WEEKNUM(Table6[[#This Row],[Date]])+40)</f>
        <v>38</v>
      </c>
      <c r="C266" s="31"/>
      <c r="D266" s="31"/>
      <c r="E266" s="1"/>
      <c r="F266" s="1"/>
      <c r="G266" s="76"/>
      <c r="H266" s="76"/>
      <c r="I266" s="1"/>
      <c r="J266" s="1"/>
      <c r="K266" s="1"/>
      <c r="L266" s="1"/>
      <c r="M266" s="17"/>
      <c r="N266" s="17"/>
      <c r="O266" s="17"/>
      <c r="P266" s="17"/>
      <c r="Q266" s="17"/>
      <c r="R266" s="39"/>
      <c r="S266" s="139"/>
      <c r="T266" s="285"/>
      <c r="U266" s="1" t="str">
        <f t="shared" si="124"/>
        <v>Normal</v>
      </c>
      <c r="V266" s="1" t="str">
        <f t="shared" si="125"/>
        <v>Normal</v>
      </c>
      <c r="W266" s="18">
        <f t="shared" si="126"/>
        <v>0</v>
      </c>
      <c r="X266" s="18">
        <f t="shared" si="127"/>
        <v>0</v>
      </c>
    </row>
    <row r="267" spans="1:24">
      <c r="A267" s="21">
        <v>45648</v>
      </c>
      <c r="B267" s="16">
        <f>IF(YEAR(Table6[[#This Row],[Date]]) = 2024, WEEKNUM(Table6[[#This Row],[Date]])-13, WEEKNUM(Table6[[#This Row],[Date]])+40)</f>
        <v>39</v>
      </c>
      <c r="C267" s="31"/>
      <c r="D267" s="31"/>
      <c r="E267" s="1"/>
      <c r="F267" s="1"/>
      <c r="G267" s="76"/>
      <c r="H267" s="76"/>
      <c r="I267" s="1"/>
      <c r="J267" s="1"/>
      <c r="K267" s="1"/>
      <c r="L267" s="1"/>
      <c r="M267" s="17"/>
      <c r="N267" s="17"/>
      <c r="O267" s="17"/>
      <c r="P267" s="17"/>
      <c r="Q267" s="17"/>
      <c r="R267" s="39"/>
      <c r="S267" s="139"/>
      <c r="T267" s="285"/>
      <c r="U267" s="1" t="str">
        <f t="shared" si="124"/>
        <v>Normal</v>
      </c>
      <c r="V267" s="1" t="str">
        <f t="shared" si="125"/>
        <v>Normal</v>
      </c>
      <c r="W267" s="18">
        <f t="shared" si="126"/>
        <v>0</v>
      </c>
      <c r="X267" s="18">
        <f t="shared" si="127"/>
        <v>0</v>
      </c>
    </row>
    <row r="268" spans="1:24">
      <c r="A268" s="21">
        <v>45649</v>
      </c>
      <c r="B268" s="16">
        <f>IF(YEAR(Table6[[#This Row],[Date]]) = 2024, WEEKNUM(Table6[[#This Row],[Date]])-13, WEEKNUM(Table6[[#This Row],[Date]])+40)</f>
        <v>39</v>
      </c>
      <c r="C268" s="31"/>
      <c r="D268" s="31"/>
      <c r="E268" s="1"/>
      <c r="F268" s="1"/>
      <c r="G268" s="76"/>
      <c r="H268" s="76"/>
      <c r="I268" s="1"/>
      <c r="J268" s="1"/>
      <c r="K268" s="1"/>
      <c r="L268" s="1"/>
      <c r="M268" s="17"/>
      <c r="N268" s="17"/>
      <c r="O268" s="17"/>
      <c r="P268" s="17"/>
      <c r="Q268" s="17"/>
      <c r="R268" s="39"/>
      <c r="S268" s="139"/>
      <c r="T268" s="285"/>
      <c r="U268" s="1" t="str">
        <f t="shared" si="124"/>
        <v>Normal</v>
      </c>
      <c r="V268" s="1" t="str">
        <f t="shared" si="125"/>
        <v>Normal</v>
      </c>
      <c r="W268" s="18">
        <f t="shared" si="126"/>
        <v>0</v>
      </c>
      <c r="X268" s="18">
        <f t="shared" si="127"/>
        <v>0</v>
      </c>
    </row>
    <row r="269" spans="1:24">
      <c r="A269" s="21">
        <v>45650</v>
      </c>
      <c r="B269" s="16">
        <f>IF(YEAR(Table6[[#This Row],[Date]]) = 2024, WEEKNUM(Table6[[#This Row],[Date]])-13, WEEKNUM(Table6[[#This Row],[Date]])+40)</f>
        <v>39</v>
      </c>
      <c r="C269" s="31"/>
      <c r="D269" s="31"/>
      <c r="E269" s="1"/>
      <c r="F269" s="1"/>
      <c r="G269" s="76"/>
      <c r="H269" s="76"/>
      <c r="I269" s="1"/>
      <c r="J269" s="1"/>
      <c r="K269" s="1"/>
      <c r="L269" s="1"/>
      <c r="M269" s="17"/>
      <c r="N269" s="17"/>
      <c r="O269" s="17"/>
      <c r="P269" s="17"/>
      <c r="Q269" s="17"/>
      <c r="R269" s="39"/>
      <c r="S269" s="139"/>
      <c r="T269" s="285"/>
      <c r="U269" s="1" t="str">
        <f t="shared" si="124"/>
        <v>Normal</v>
      </c>
      <c r="V269" s="1" t="str">
        <f t="shared" si="125"/>
        <v>Normal</v>
      </c>
      <c r="W269" s="18">
        <f t="shared" si="126"/>
        <v>0</v>
      </c>
      <c r="X269" s="18">
        <f t="shared" si="127"/>
        <v>0</v>
      </c>
    </row>
    <row r="270" spans="1:24">
      <c r="A270" s="21">
        <v>45651</v>
      </c>
      <c r="B270" s="16">
        <f>IF(YEAR(Table6[[#This Row],[Date]]) = 2024, WEEKNUM(Table6[[#This Row],[Date]])-13, WEEKNUM(Table6[[#This Row],[Date]])+40)</f>
        <v>39</v>
      </c>
      <c r="C270" s="31"/>
      <c r="D270" s="31"/>
      <c r="E270" s="1"/>
      <c r="F270" s="1"/>
      <c r="G270" s="76"/>
      <c r="H270" s="76"/>
      <c r="I270" s="1"/>
      <c r="J270" s="1"/>
      <c r="K270" s="1"/>
      <c r="L270" s="1"/>
      <c r="M270" s="17"/>
      <c r="N270" s="17"/>
      <c r="O270" s="17"/>
      <c r="P270" s="17"/>
      <c r="Q270" s="17"/>
      <c r="R270" s="39"/>
      <c r="S270" s="139"/>
      <c r="T270" s="285"/>
      <c r="U270" s="1" t="str">
        <f t="shared" si="124"/>
        <v>Normal</v>
      </c>
      <c r="V270" s="1" t="str">
        <f t="shared" si="125"/>
        <v>Normal</v>
      </c>
      <c r="W270" s="18">
        <f t="shared" si="126"/>
        <v>0</v>
      </c>
      <c r="X270" s="18">
        <f t="shared" si="127"/>
        <v>0</v>
      </c>
    </row>
    <row r="271" spans="1:24">
      <c r="A271" s="21">
        <v>45652</v>
      </c>
      <c r="B271" s="16">
        <f>IF(YEAR(Table6[[#This Row],[Date]]) = 2024, WEEKNUM(Table6[[#This Row],[Date]])-13, WEEKNUM(Table6[[#This Row],[Date]])+40)</f>
        <v>39</v>
      </c>
      <c r="C271" s="31"/>
      <c r="D271" s="31"/>
      <c r="E271" s="1"/>
      <c r="F271" s="1"/>
      <c r="G271" s="76"/>
      <c r="H271" s="76"/>
      <c r="I271" s="1"/>
      <c r="J271" s="1"/>
      <c r="K271" s="1"/>
      <c r="L271" s="1"/>
      <c r="M271" s="17"/>
      <c r="N271" s="17"/>
      <c r="O271" s="17"/>
      <c r="P271" s="17"/>
      <c r="Q271" s="17"/>
      <c r="R271" s="39"/>
      <c r="S271" s="139"/>
      <c r="T271" s="285"/>
      <c r="U271" s="1" t="str">
        <f t="shared" si="124"/>
        <v>Normal</v>
      </c>
      <c r="V271" s="1" t="str">
        <f t="shared" si="125"/>
        <v>Normal</v>
      </c>
      <c r="W271" s="18">
        <f t="shared" si="126"/>
        <v>0</v>
      </c>
      <c r="X271" s="18">
        <f t="shared" si="127"/>
        <v>0</v>
      </c>
    </row>
    <row r="272" spans="1:24">
      <c r="A272" s="21">
        <v>45653</v>
      </c>
      <c r="B272" s="16">
        <f>IF(YEAR(Table6[[#This Row],[Date]]) = 2024, WEEKNUM(Table6[[#This Row],[Date]])-13, WEEKNUM(Table6[[#This Row],[Date]])+40)</f>
        <v>39</v>
      </c>
      <c r="C272" s="31"/>
      <c r="D272" s="31"/>
      <c r="E272" s="1"/>
      <c r="F272" s="1"/>
      <c r="G272" s="76"/>
      <c r="H272" s="76"/>
      <c r="I272" s="1"/>
      <c r="J272" s="1"/>
      <c r="K272" s="1"/>
      <c r="L272" s="1"/>
      <c r="M272" s="17"/>
      <c r="N272" s="17"/>
      <c r="O272" s="17"/>
      <c r="P272" s="17"/>
      <c r="Q272" s="17"/>
      <c r="R272" s="39"/>
      <c r="S272" s="139"/>
      <c r="T272" s="285"/>
      <c r="U272" s="1" t="str">
        <f t="shared" si="124"/>
        <v>Normal</v>
      </c>
      <c r="V272" s="1" t="str">
        <f t="shared" si="125"/>
        <v>Normal</v>
      </c>
      <c r="W272" s="18">
        <f t="shared" si="126"/>
        <v>0</v>
      </c>
      <c r="X272" s="18">
        <f t="shared" si="127"/>
        <v>0</v>
      </c>
    </row>
    <row r="273" spans="1:24">
      <c r="A273" s="21">
        <v>45654</v>
      </c>
      <c r="B273" s="16">
        <f>IF(YEAR(Table6[[#This Row],[Date]]) = 2024, WEEKNUM(Table6[[#This Row],[Date]])-13, WEEKNUM(Table6[[#This Row],[Date]])+40)</f>
        <v>39</v>
      </c>
      <c r="C273" s="31"/>
      <c r="D273" s="31"/>
      <c r="E273" s="1"/>
      <c r="F273" s="1"/>
      <c r="G273" s="76"/>
      <c r="H273" s="76"/>
      <c r="I273" s="1"/>
      <c r="J273" s="1"/>
      <c r="K273" s="1"/>
      <c r="L273" s="1"/>
      <c r="M273" s="17"/>
      <c r="N273" s="17"/>
      <c r="O273" s="17"/>
      <c r="P273" s="17"/>
      <c r="Q273" s="17"/>
      <c r="R273" s="39"/>
      <c r="S273" s="139"/>
      <c r="T273" s="285"/>
      <c r="U273" s="1" t="str">
        <f t="shared" si="124"/>
        <v>Normal</v>
      </c>
      <c r="V273" s="1" t="str">
        <f t="shared" si="125"/>
        <v>Normal</v>
      </c>
      <c r="W273" s="18">
        <f t="shared" si="126"/>
        <v>0</v>
      </c>
      <c r="X273" s="18">
        <f t="shared" si="127"/>
        <v>0</v>
      </c>
    </row>
    <row r="274" spans="1:24">
      <c r="A274" s="21">
        <v>45655</v>
      </c>
      <c r="B274" s="16">
        <f>IF(YEAR(Table6[[#This Row],[Date]]) = 2024, WEEKNUM(Table6[[#This Row],[Date]])-13, WEEKNUM(Table6[[#This Row],[Date]])+40)</f>
        <v>40</v>
      </c>
      <c r="C274" s="31"/>
      <c r="D274" s="31"/>
      <c r="E274" s="1"/>
      <c r="F274" s="1"/>
      <c r="G274" s="76"/>
      <c r="H274" s="76"/>
      <c r="I274" s="1"/>
      <c r="J274" s="1"/>
      <c r="K274" s="1"/>
      <c r="L274" s="1"/>
      <c r="M274" s="17"/>
      <c r="N274" s="17"/>
      <c r="O274" s="17"/>
      <c r="P274" s="17"/>
      <c r="Q274" s="17"/>
      <c r="R274" s="39"/>
      <c r="S274" s="139"/>
      <c r="T274" s="285"/>
      <c r="U274" s="1" t="str">
        <f t="shared" si="124"/>
        <v>Normal</v>
      </c>
      <c r="V274" s="1" t="str">
        <f t="shared" si="125"/>
        <v>Normal</v>
      </c>
      <c r="W274" s="18">
        <f t="shared" si="126"/>
        <v>0</v>
      </c>
      <c r="X274" s="18">
        <f t="shared" si="127"/>
        <v>0</v>
      </c>
    </row>
    <row r="275" spans="1:24">
      <c r="A275" s="21">
        <v>45656</v>
      </c>
      <c r="B275" s="16">
        <f>IF(YEAR(Table6[[#This Row],[Date]]) = 2024, WEEKNUM(Table6[[#This Row],[Date]])-13, WEEKNUM(Table6[[#This Row],[Date]])+40)</f>
        <v>40</v>
      </c>
      <c r="C275" s="31"/>
      <c r="D275" s="31"/>
      <c r="E275" s="1"/>
      <c r="F275" s="1"/>
      <c r="G275" s="76"/>
      <c r="H275" s="76"/>
      <c r="I275" s="1"/>
      <c r="J275" s="1"/>
      <c r="K275" s="1"/>
      <c r="L275" s="1"/>
      <c r="M275" s="17"/>
      <c r="N275" s="17"/>
      <c r="O275" s="17"/>
      <c r="P275" s="17"/>
      <c r="Q275" s="17"/>
      <c r="R275" s="39"/>
      <c r="S275" s="139"/>
      <c r="T275" s="285"/>
      <c r="U275" s="1" t="str">
        <f t="shared" si="124"/>
        <v>Normal</v>
      </c>
      <c r="V275" s="1" t="str">
        <f t="shared" si="125"/>
        <v>Normal</v>
      </c>
      <c r="W275" s="18">
        <f t="shared" si="126"/>
        <v>0</v>
      </c>
      <c r="X275" s="18">
        <f t="shared" si="127"/>
        <v>0</v>
      </c>
    </row>
    <row r="276" spans="1:24">
      <c r="A276" s="21">
        <v>45657</v>
      </c>
      <c r="B276" s="16">
        <f>IF(YEAR(Table6[[#This Row],[Date]]) = 2024, WEEKNUM(Table6[[#This Row],[Date]])-13, WEEKNUM(Table6[[#This Row],[Date]])+40)</f>
        <v>40</v>
      </c>
      <c r="C276" s="31"/>
      <c r="D276" s="31"/>
      <c r="E276" s="1"/>
      <c r="F276" s="1"/>
      <c r="G276" s="76"/>
      <c r="H276" s="76"/>
      <c r="I276" s="1"/>
      <c r="J276" s="1"/>
      <c r="K276" s="1"/>
      <c r="L276" s="1"/>
      <c r="M276" s="17"/>
      <c r="N276" s="17"/>
      <c r="O276" s="17"/>
      <c r="P276" s="17"/>
      <c r="Q276" s="17"/>
      <c r="R276" s="39"/>
      <c r="S276" s="139"/>
      <c r="T276" s="285"/>
      <c r="U276" s="1" t="str">
        <f t="shared" si="124"/>
        <v>Normal</v>
      </c>
      <c r="V276" s="1" t="str">
        <f t="shared" si="125"/>
        <v>Normal</v>
      </c>
      <c r="W276" s="18">
        <f t="shared" si="126"/>
        <v>0</v>
      </c>
      <c r="X276" s="18">
        <f t="shared" si="127"/>
        <v>0</v>
      </c>
    </row>
    <row r="277" spans="1:24" s="45" customFormat="1">
      <c r="A277" s="21">
        <v>45658</v>
      </c>
      <c r="B277" s="16">
        <f>IF(YEAR(Table6[[#This Row],[Date]]) = 2024, WEEKNUM(Table6[[#This Row],[Date]])-13, WEEKNUM(Table6[[#This Row],[Date]])+40)</f>
        <v>41</v>
      </c>
      <c r="C277" s="72"/>
      <c r="D277" s="72"/>
      <c r="E277" s="62"/>
      <c r="F277" s="62"/>
      <c r="G277" s="76"/>
      <c r="H277" s="76"/>
      <c r="I277" s="62"/>
      <c r="J277" s="62"/>
      <c r="K277" s="62"/>
      <c r="L277" s="62"/>
      <c r="M277" s="2"/>
      <c r="N277" s="2"/>
      <c r="O277" s="2"/>
      <c r="P277" s="2"/>
      <c r="Q277" s="2"/>
      <c r="R277" s="39"/>
      <c r="S277" s="147"/>
      <c r="T277" s="286"/>
      <c r="U277" s="1" t="str">
        <f t="shared" si="124"/>
        <v>Normal</v>
      </c>
      <c r="V277" s="1" t="str">
        <f t="shared" si="125"/>
        <v>Normal</v>
      </c>
      <c r="W277" s="18">
        <f t="shared" si="126"/>
        <v>0</v>
      </c>
      <c r="X277" s="18">
        <f t="shared" si="127"/>
        <v>0</v>
      </c>
    </row>
    <row r="278" spans="1:24">
      <c r="A278" s="21">
        <v>45659</v>
      </c>
      <c r="B278" s="16">
        <f>IF(YEAR(Table6[[#This Row],[Date]]) = 2024, WEEKNUM(Table6[[#This Row],[Date]])-13, WEEKNUM(Table6[[#This Row],[Date]])+40)</f>
        <v>41</v>
      </c>
      <c r="C278" s="31"/>
      <c r="D278" s="31"/>
      <c r="E278" s="1"/>
      <c r="F278" s="1"/>
      <c r="G278" s="76"/>
      <c r="H278" s="76"/>
      <c r="I278" s="1"/>
      <c r="J278" s="1"/>
      <c r="K278" s="1"/>
      <c r="L278" s="1"/>
      <c r="M278" s="17"/>
      <c r="N278" s="17"/>
      <c r="O278" s="17"/>
      <c r="P278" s="17"/>
      <c r="Q278" s="17"/>
      <c r="R278" s="39"/>
      <c r="S278" s="139"/>
      <c r="T278" s="285"/>
      <c r="U278" s="1" t="str">
        <f t="shared" si="124"/>
        <v>Normal</v>
      </c>
      <c r="V278" s="1" t="str">
        <f t="shared" si="125"/>
        <v>Normal</v>
      </c>
      <c r="W278" s="18">
        <f t="shared" si="126"/>
        <v>0</v>
      </c>
      <c r="X278" s="18">
        <f t="shared" si="127"/>
        <v>0</v>
      </c>
    </row>
    <row r="279" spans="1:24">
      <c r="A279" s="21">
        <v>45660</v>
      </c>
      <c r="B279" s="16">
        <f>IF(YEAR(Table6[[#This Row],[Date]]) = 2024, WEEKNUM(Table6[[#This Row],[Date]])-13, WEEKNUM(Table6[[#This Row],[Date]])+40)</f>
        <v>41</v>
      </c>
      <c r="C279" s="31"/>
      <c r="D279" s="31"/>
      <c r="E279" s="1"/>
      <c r="F279" s="1"/>
      <c r="G279" s="76"/>
      <c r="H279" s="76"/>
      <c r="I279" s="1"/>
      <c r="J279" s="1"/>
      <c r="K279" s="1"/>
      <c r="L279" s="1"/>
      <c r="M279" s="17"/>
      <c r="N279" s="17"/>
      <c r="O279" s="17"/>
      <c r="P279" s="17"/>
      <c r="Q279" s="17"/>
      <c r="R279" s="39"/>
      <c r="S279" s="139"/>
      <c r="T279" s="285"/>
      <c r="U279" s="1" t="str">
        <f t="shared" si="124"/>
        <v>Normal</v>
      </c>
      <c r="V279" s="1" t="str">
        <f t="shared" si="125"/>
        <v>Normal</v>
      </c>
      <c r="W279" s="18">
        <f t="shared" si="126"/>
        <v>0</v>
      </c>
      <c r="X279" s="18">
        <f t="shared" si="127"/>
        <v>0</v>
      </c>
    </row>
    <row r="280" spans="1:24">
      <c r="A280" s="21">
        <v>45661</v>
      </c>
      <c r="B280" s="16">
        <f>IF(YEAR(Table6[[#This Row],[Date]]) = 2024, WEEKNUM(Table6[[#This Row],[Date]])-13, WEEKNUM(Table6[[#This Row],[Date]])+40)</f>
        <v>41</v>
      </c>
      <c r="C280" s="31"/>
      <c r="D280" s="31"/>
      <c r="E280" s="1"/>
      <c r="F280" s="1"/>
      <c r="G280" s="76"/>
      <c r="H280" s="76"/>
      <c r="I280" s="1"/>
      <c r="J280" s="1"/>
      <c r="K280" s="1"/>
      <c r="L280" s="1"/>
      <c r="M280" s="17"/>
      <c r="N280" s="17"/>
      <c r="O280" s="17"/>
      <c r="P280" s="17"/>
      <c r="Q280" s="17"/>
      <c r="R280" s="39"/>
      <c r="S280" s="139"/>
      <c r="T280" s="285"/>
      <c r="U280" s="1" t="str">
        <f t="shared" si="124"/>
        <v>Normal</v>
      </c>
      <c r="V280" s="1" t="str">
        <f t="shared" si="125"/>
        <v>Normal</v>
      </c>
      <c r="W280" s="18">
        <f t="shared" si="126"/>
        <v>0</v>
      </c>
      <c r="X280" s="18">
        <f t="shared" si="127"/>
        <v>0</v>
      </c>
    </row>
    <row r="281" spans="1:24">
      <c r="A281" s="21">
        <v>45662</v>
      </c>
      <c r="B281" s="16">
        <f>IF(YEAR(Table6[[#This Row],[Date]]) = 2024, WEEKNUM(Table6[[#This Row],[Date]])-13, WEEKNUM(Table6[[#This Row],[Date]])+40)</f>
        <v>42</v>
      </c>
      <c r="C281" s="31"/>
      <c r="D281" s="31"/>
      <c r="E281" s="1"/>
      <c r="F281" s="1"/>
      <c r="G281" s="76"/>
      <c r="H281" s="76"/>
      <c r="I281" s="1"/>
      <c r="J281" s="1"/>
      <c r="K281" s="1"/>
      <c r="L281" s="1"/>
      <c r="M281" s="17"/>
      <c r="N281" s="17"/>
      <c r="O281" s="17"/>
      <c r="P281" s="17"/>
      <c r="Q281" s="17"/>
      <c r="R281" s="39"/>
      <c r="S281" s="139"/>
      <c r="T281" s="285"/>
      <c r="U281" s="1" t="str">
        <f t="shared" si="124"/>
        <v>Normal</v>
      </c>
      <c r="V281" s="1" t="str">
        <f t="shared" si="125"/>
        <v>Normal</v>
      </c>
      <c r="W281" s="18">
        <f t="shared" si="126"/>
        <v>0</v>
      </c>
      <c r="X281" s="18">
        <f t="shared" si="127"/>
        <v>0</v>
      </c>
    </row>
    <row r="282" spans="1:24">
      <c r="A282" s="21">
        <v>45663</v>
      </c>
      <c r="B282" s="16">
        <f>IF(YEAR(Table6[[#This Row],[Date]]) = 2024, WEEKNUM(Table6[[#This Row],[Date]])-13, WEEKNUM(Table6[[#This Row],[Date]])+40)</f>
        <v>42</v>
      </c>
      <c r="C282" s="31"/>
      <c r="D282" s="31"/>
      <c r="E282" s="1"/>
      <c r="F282" s="1"/>
      <c r="G282" s="76"/>
      <c r="H282" s="76"/>
      <c r="I282" s="1"/>
      <c r="J282" s="1"/>
      <c r="K282" s="1"/>
      <c r="L282" s="1"/>
      <c r="M282" s="17"/>
      <c r="N282" s="17"/>
      <c r="O282" s="17"/>
      <c r="P282" s="17"/>
      <c r="Q282" s="17"/>
      <c r="R282" s="39"/>
      <c r="S282" s="139"/>
      <c r="T282" s="285"/>
      <c r="U282" s="1" t="str">
        <f t="shared" si="124"/>
        <v>Normal</v>
      </c>
      <c r="V282" s="1" t="str">
        <f t="shared" si="125"/>
        <v>Normal</v>
      </c>
      <c r="W282" s="18">
        <f t="shared" si="126"/>
        <v>0</v>
      </c>
      <c r="X282" s="18">
        <f t="shared" si="127"/>
        <v>0</v>
      </c>
    </row>
    <row r="283" spans="1:24">
      <c r="A283" s="21">
        <v>45664</v>
      </c>
      <c r="B283" s="16">
        <f>IF(YEAR(Table6[[#This Row],[Date]]) = 2024, WEEKNUM(Table6[[#This Row],[Date]])-13, WEEKNUM(Table6[[#This Row],[Date]])+40)</f>
        <v>42</v>
      </c>
      <c r="C283" s="31"/>
      <c r="D283" s="31"/>
      <c r="E283" s="1"/>
      <c r="F283" s="1"/>
      <c r="G283" s="76"/>
      <c r="H283" s="76"/>
      <c r="I283" s="1"/>
      <c r="J283" s="1"/>
      <c r="K283" s="1"/>
      <c r="L283" s="1"/>
      <c r="M283" s="17"/>
      <c r="N283" s="17"/>
      <c r="O283" s="17"/>
      <c r="P283" s="17"/>
      <c r="Q283" s="17"/>
      <c r="R283" s="39"/>
      <c r="S283" s="139"/>
      <c r="T283" s="285"/>
      <c r="U283" s="1" t="str">
        <f t="shared" si="124"/>
        <v>Normal</v>
      </c>
      <c r="V283" s="1" t="str">
        <f t="shared" si="125"/>
        <v>Normal</v>
      </c>
      <c r="W283" s="18">
        <f t="shared" si="126"/>
        <v>0</v>
      </c>
      <c r="X283" s="18">
        <f t="shared" si="127"/>
        <v>0</v>
      </c>
    </row>
    <row r="284" spans="1:24">
      <c r="A284" s="21">
        <v>45665</v>
      </c>
      <c r="B284" s="16">
        <f>IF(YEAR(Table6[[#This Row],[Date]]) = 2024, WEEKNUM(Table6[[#This Row],[Date]])-13, WEEKNUM(Table6[[#This Row],[Date]])+40)</f>
        <v>42</v>
      </c>
      <c r="C284" s="31"/>
      <c r="D284" s="31"/>
      <c r="E284" s="1"/>
      <c r="F284" s="1"/>
      <c r="G284" s="76"/>
      <c r="H284" s="76"/>
      <c r="I284" s="1"/>
      <c r="J284" s="1"/>
      <c r="K284" s="1"/>
      <c r="L284" s="1"/>
      <c r="M284" s="17"/>
      <c r="N284" s="17"/>
      <c r="O284" s="17"/>
      <c r="P284" s="17"/>
      <c r="Q284" s="17"/>
      <c r="R284" s="39"/>
      <c r="S284" s="139"/>
      <c r="T284" s="285"/>
      <c r="U284" s="1" t="str">
        <f t="shared" si="124"/>
        <v>Normal</v>
      </c>
      <c r="V284" s="1" t="str">
        <f t="shared" si="125"/>
        <v>Normal</v>
      </c>
      <c r="W284" s="18">
        <f t="shared" si="126"/>
        <v>0</v>
      </c>
      <c r="X284" s="18">
        <f t="shared" si="127"/>
        <v>0</v>
      </c>
    </row>
    <row r="285" spans="1:24">
      <c r="A285" s="21">
        <v>45666</v>
      </c>
      <c r="B285" s="16">
        <f>IF(YEAR(Table6[[#This Row],[Date]]) = 2024, WEEKNUM(Table6[[#This Row],[Date]])-13, WEEKNUM(Table6[[#This Row],[Date]])+40)</f>
        <v>42</v>
      </c>
      <c r="C285" s="31"/>
      <c r="D285" s="31"/>
      <c r="E285" s="1"/>
      <c r="F285" s="1"/>
      <c r="G285" s="76"/>
      <c r="H285" s="76"/>
      <c r="I285" s="1"/>
      <c r="J285" s="1"/>
      <c r="K285" s="1"/>
      <c r="L285" s="1"/>
      <c r="M285" s="17"/>
      <c r="N285" s="17"/>
      <c r="O285" s="17"/>
      <c r="P285" s="17"/>
      <c r="Q285" s="17"/>
      <c r="R285" s="39"/>
      <c r="S285" s="139"/>
      <c r="T285" s="285"/>
      <c r="U285" s="1" t="str">
        <f t="shared" si="124"/>
        <v>Normal</v>
      </c>
      <c r="V285" s="1" t="str">
        <f t="shared" si="125"/>
        <v>Normal</v>
      </c>
      <c r="W285" s="18">
        <f t="shared" si="126"/>
        <v>0</v>
      </c>
      <c r="X285" s="18">
        <f t="shared" si="127"/>
        <v>0</v>
      </c>
    </row>
    <row r="286" spans="1:24">
      <c r="A286" s="21">
        <v>45667</v>
      </c>
      <c r="B286" s="16">
        <f>IF(YEAR(Table6[[#This Row],[Date]]) = 2024, WEEKNUM(Table6[[#This Row],[Date]])-13, WEEKNUM(Table6[[#This Row],[Date]])+40)</f>
        <v>42</v>
      </c>
      <c r="C286" s="31"/>
      <c r="D286" s="31"/>
      <c r="E286" s="1"/>
      <c r="F286" s="1"/>
      <c r="G286" s="76"/>
      <c r="H286" s="76"/>
      <c r="I286" s="1"/>
      <c r="J286" s="1"/>
      <c r="K286" s="1"/>
      <c r="L286" s="1"/>
      <c r="M286" s="17"/>
      <c r="N286" s="17"/>
      <c r="O286" s="17"/>
      <c r="P286" s="17"/>
      <c r="Q286" s="17"/>
      <c r="R286" s="39"/>
      <c r="S286" s="139"/>
      <c r="T286" s="285"/>
      <c r="U286" s="1" t="str">
        <f t="shared" si="124"/>
        <v>Normal</v>
      </c>
      <c r="V286" s="1" t="str">
        <f t="shared" si="125"/>
        <v>Normal</v>
      </c>
      <c r="W286" s="18">
        <f t="shared" si="126"/>
        <v>0</v>
      </c>
      <c r="X286" s="18">
        <f t="shared" si="127"/>
        <v>0</v>
      </c>
    </row>
    <row r="287" spans="1:24">
      <c r="A287" s="21">
        <v>45668</v>
      </c>
      <c r="B287" s="16">
        <f>IF(YEAR(Table6[[#This Row],[Date]]) = 2024, WEEKNUM(Table6[[#This Row],[Date]])-13, WEEKNUM(Table6[[#This Row],[Date]])+40)</f>
        <v>42</v>
      </c>
      <c r="C287" s="31"/>
      <c r="D287" s="31"/>
      <c r="E287" s="1"/>
      <c r="F287" s="1"/>
      <c r="G287" s="76"/>
      <c r="H287" s="76"/>
      <c r="I287" s="1"/>
      <c r="J287" s="1"/>
      <c r="K287" s="1"/>
      <c r="L287" s="1"/>
      <c r="M287" s="17"/>
      <c r="N287" s="17"/>
      <c r="O287" s="17"/>
      <c r="P287" s="17"/>
      <c r="Q287" s="17"/>
      <c r="R287" s="39"/>
      <c r="S287" s="139"/>
      <c r="T287" s="285"/>
      <c r="U287" s="1" t="str">
        <f t="shared" si="124"/>
        <v>Normal</v>
      </c>
      <c r="V287" s="1" t="str">
        <f t="shared" si="125"/>
        <v>Normal</v>
      </c>
      <c r="W287" s="18">
        <f t="shared" si="126"/>
        <v>0</v>
      </c>
      <c r="X287" s="18">
        <f t="shared" si="127"/>
        <v>0</v>
      </c>
    </row>
    <row r="288" spans="1:24">
      <c r="A288" s="21">
        <v>45669</v>
      </c>
      <c r="B288" s="16">
        <f>IF(YEAR(Table6[[#This Row],[Date]]) = 2024, WEEKNUM(Table6[[#This Row],[Date]])-13, WEEKNUM(Table6[[#This Row],[Date]])+40)</f>
        <v>43</v>
      </c>
      <c r="C288" s="31"/>
      <c r="D288" s="31"/>
      <c r="E288" s="1"/>
      <c r="F288" s="1"/>
      <c r="G288" s="76"/>
      <c r="H288" s="76"/>
      <c r="I288" s="1"/>
      <c r="J288" s="1"/>
      <c r="K288" s="1"/>
      <c r="L288" s="1"/>
      <c r="M288" s="17"/>
      <c r="N288" s="17"/>
      <c r="O288" s="17"/>
      <c r="P288" s="17"/>
      <c r="Q288" s="17"/>
      <c r="R288" s="39"/>
      <c r="S288" s="139"/>
      <c r="T288" s="285"/>
      <c r="U288" s="1" t="str">
        <f t="shared" si="124"/>
        <v>Normal</v>
      </c>
      <c r="V288" s="1" t="str">
        <f t="shared" si="125"/>
        <v>Normal</v>
      </c>
      <c r="W288" s="18">
        <f t="shared" si="126"/>
        <v>0</v>
      </c>
      <c r="X288" s="18">
        <f t="shared" si="127"/>
        <v>0</v>
      </c>
    </row>
    <row r="289" spans="1:24">
      <c r="A289" s="21">
        <v>45670</v>
      </c>
      <c r="B289" s="16">
        <f>IF(YEAR(Table6[[#This Row],[Date]]) = 2024, WEEKNUM(Table6[[#This Row],[Date]])-13, WEEKNUM(Table6[[#This Row],[Date]])+40)</f>
        <v>43</v>
      </c>
      <c r="C289" s="31"/>
      <c r="D289" s="31"/>
      <c r="E289" s="1"/>
      <c r="F289" s="1"/>
      <c r="G289" s="76"/>
      <c r="H289" s="76"/>
      <c r="I289" s="1"/>
      <c r="J289" s="1"/>
      <c r="K289" s="1"/>
      <c r="L289" s="1"/>
      <c r="M289" s="17"/>
      <c r="N289" s="17"/>
      <c r="O289" s="17"/>
      <c r="P289" s="17"/>
      <c r="Q289" s="17"/>
      <c r="R289" s="39"/>
      <c r="S289" s="139"/>
      <c r="T289" s="285"/>
      <c r="U289" s="1" t="str">
        <f t="shared" si="124"/>
        <v>Normal</v>
      </c>
      <c r="V289" s="1" t="str">
        <f t="shared" si="125"/>
        <v>Normal</v>
      </c>
      <c r="W289" s="18">
        <f t="shared" si="126"/>
        <v>0</v>
      </c>
      <c r="X289" s="18">
        <f t="shared" si="127"/>
        <v>0</v>
      </c>
    </row>
    <row r="290" spans="1:24">
      <c r="A290" s="21">
        <v>45671</v>
      </c>
      <c r="B290" s="16">
        <f>IF(YEAR(Table6[[#This Row],[Date]]) = 2024, WEEKNUM(Table6[[#This Row],[Date]])-13, WEEKNUM(Table6[[#This Row],[Date]])+40)</f>
        <v>43</v>
      </c>
      <c r="C290" s="31"/>
      <c r="D290" s="31"/>
      <c r="E290" s="1"/>
      <c r="F290" s="1"/>
      <c r="G290" s="76"/>
      <c r="H290" s="76"/>
      <c r="I290" s="1"/>
      <c r="J290" s="1"/>
      <c r="K290" s="1"/>
      <c r="L290" s="1"/>
      <c r="M290" s="17"/>
      <c r="N290" s="17"/>
      <c r="O290" s="17"/>
      <c r="P290" s="17"/>
      <c r="Q290" s="17"/>
      <c r="R290" s="39"/>
      <c r="S290" s="139"/>
      <c r="T290" s="285"/>
      <c r="U290" s="1" t="str">
        <f t="shared" si="124"/>
        <v>Normal</v>
      </c>
      <c r="V290" s="1" t="str">
        <f t="shared" si="125"/>
        <v>Normal</v>
      </c>
      <c r="W290" s="18">
        <f t="shared" si="126"/>
        <v>0</v>
      </c>
      <c r="X290" s="18">
        <f t="shared" si="127"/>
        <v>0</v>
      </c>
    </row>
    <row r="291" spans="1:24">
      <c r="A291" s="21">
        <v>45672</v>
      </c>
      <c r="B291" s="16">
        <f>IF(YEAR(Table6[[#This Row],[Date]]) = 2024, WEEKNUM(Table6[[#This Row],[Date]])-13, WEEKNUM(Table6[[#This Row],[Date]])+40)</f>
        <v>43</v>
      </c>
      <c r="C291" s="31"/>
      <c r="D291" s="31"/>
      <c r="E291" s="1"/>
      <c r="F291" s="1"/>
      <c r="G291" s="76"/>
      <c r="H291" s="76"/>
      <c r="I291" s="1"/>
      <c r="J291" s="1"/>
      <c r="K291" s="1"/>
      <c r="L291" s="1"/>
      <c r="M291" s="17"/>
      <c r="N291" s="17"/>
      <c r="O291" s="17"/>
      <c r="P291" s="17"/>
      <c r="Q291" s="17"/>
      <c r="R291" s="39"/>
      <c r="S291" s="139"/>
      <c r="T291" s="285"/>
      <c r="U291" s="1" t="str">
        <f t="shared" si="124"/>
        <v>Normal</v>
      </c>
      <c r="V291" s="1" t="str">
        <f t="shared" si="125"/>
        <v>Normal</v>
      </c>
      <c r="W291" s="18">
        <f t="shared" si="126"/>
        <v>0</v>
      </c>
      <c r="X291" s="18">
        <f t="shared" si="127"/>
        <v>0</v>
      </c>
    </row>
    <row r="292" spans="1:24">
      <c r="A292" s="21">
        <v>45673</v>
      </c>
      <c r="B292" s="16">
        <f>IF(YEAR(Table6[[#This Row],[Date]]) = 2024, WEEKNUM(Table6[[#This Row],[Date]])-13, WEEKNUM(Table6[[#This Row],[Date]])+40)</f>
        <v>43</v>
      </c>
      <c r="C292" s="31"/>
      <c r="D292" s="31"/>
      <c r="E292" s="1"/>
      <c r="F292" s="1"/>
      <c r="G292" s="76"/>
      <c r="H292" s="76"/>
      <c r="I292" s="1"/>
      <c r="J292" s="1"/>
      <c r="K292" s="1"/>
      <c r="L292" s="1"/>
      <c r="M292" s="17"/>
      <c r="N292" s="17"/>
      <c r="O292" s="17"/>
      <c r="P292" s="17"/>
      <c r="Q292" s="17"/>
      <c r="R292" s="39"/>
      <c r="S292" s="139"/>
      <c r="T292" s="285"/>
      <c r="U292" s="1" t="str">
        <f t="shared" si="124"/>
        <v>Normal</v>
      </c>
      <c r="V292" s="1" t="str">
        <f t="shared" si="125"/>
        <v>Normal</v>
      </c>
      <c r="W292" s="18">
        <f t="shared" si="126"/>
        <v>0</v>
      </c>
      <c r="X292" s="18">
        <f t="shared" si="127"/>
        <v>0</v>
      </c>
    </row>
    <row r="293" spans="1:24">
      <c r="A293" s="21">
        <v>45674</v>
      </c>
      <c r="B293" s="16">
        <f>IF(YEAR(Table6[[#This Row],[Date]]) = 2024, WEEKNUM(Table6[[#This Row],[Date]])-13, WEEKNUM(Table6[[#This Row],[Date]])+40)</f>
        <v>43</v>
      </c>
      <c r="C293" s="31"/>
      <c r="D293" s="31"/>
      <c r="E293" s="1"/>
      <c r="F293" s="1"/>
      <c r="G293" s="76"/>
      <c r="H293" s="76"/>
      <c r="I293" s="1"/>
      <c r="J293" s="1"/>
      <c r="K293" s="1"/>
      <c r="L293" s="1"/>
      <c r="M293" s="17"/>
      <c r="N293" s="17"/>
      <c r="O293" s="17"/>
      <c r="P293" s="17"/>
      <c r="Q293" s="17"/>
      <c r="R293" s="39"/>
      <c r="S293" s="139"/>
      <c r="T293" s="285"/>
      <c r="U293" s="1" t="str">
        <f t="shared" si="124"/>
        <v>Normal</v>
      </c>
      <c r="V293" s="1" t="str">
        <f t="shared" si="125"/>
        <v>Normal</v>
      </c>
      <c r="W293" s="18">
        <f t="shared" si="126"/>
        <v>0</v>
      </c>
      <c r="X293" s="18">
        <f t="shared" si="127"/>
        <v>0</v>
      </c>
    </row>
    <row r="294" spans="1:24">
      <c r="A294" s="21">
        <v>45675</v>
      </c>
      <c r="B294" s="16">
        <f>IF(YEAR(Table6[[#This Row],[Date]]) = 2024, WEEKNUM(Table6[[#This Row],[Date]])-13, WEEKNUM(Table6[[#This Row],[Date]])+40)</f>
        <v>43</v>
      </c>
      <c r="C294" s="31"/>
      <c r="D294" s="31"/>
      <c r="E294" s="1"/>
      <c r="F294" s="1"/>
      <c r="G294" s="76"/>
      <c r="H294" s="76"/>
      <c r="I294" s="1"/>
      <c r="J294" s="1"/>
      <c r="K294" s="1"/>
      <c r="L294" s="1"/>
      <c r="M294" s="17"/>
      <c r="N294" s="17"/>
      <c r="O294" s="17"/>
      <c r="P294" s="17"/>
      <c r="Q294" s="17"/>
      <c r="R294" s="39"/>
      <c r="S294" s="139"/>
      <c r="T294" s="285"/>
      <c r="U294" s="1" t="str">
        <f t="shared" si="124"/>
        <v>Normal</v>
      </c>
      <c r="V294" s="1" t="str">
        <f t="shared" si="125"/>
        <v>Normal</v>
      </c>
      <c r="W294" s="18">
        <f t="shared" si="126"/>
        <v>0</v>
      </c>
      <c r="X294" s="18">
        <f t="shared" si="127"/>
        <v>0</v>
      </c>
    </row>
    <row r="295" spans="1:24">
      <c r="A295" s="21">
        <v>45676</v>
      </c>
      <c r="B295" s="16">
        <f>IF(YEAR(Table6[[#This Row],[Date]]) = 2024, WEEKNUM(Table6[[#This Row],[Date]])-13, WEEKNUM(Table6[[#This Row],[Date]])+40)</f>
        <v>44</v>
      </c>
      <c r="C295" s="31"/>
      <c r="D295" s="31"/>
      <c r="E295" s="1"/>
      <c r="F295" s="1"/>
      <c r="G295" s="76"/>
      <c r="H295" s="76"/>
      <c r="I295" s="1"/>
      <c r="J295" s="1"/>
      <c r="K295" s="1"/>
      <c r="L295" s="1"/>
      <c r="M295" s="17"/>
      <c r="N295" s="17"/>
      <c r="O295" s="17"/>
      <c r="P295" s="17"/>
      <c r="Q295" s="17"/>
      <c r="R295" s="39"/>
      <c r="S295" s="139"/>
      <c r="T295" s="285"/>
      <c r="U295" s="1" t="str">
        <f t="shared" si="124"/>
        <v>Normal</v>
      </c>
      <c r="V295" s="1" t="str">
        <f t="shared" si="125"/>
        <v>Normal</v>
      </c>
      <c r="W295" s="18">
        <f t="shared" si="126"/>
        <v>0</v>
      </c>
      <c r="X295" s="18">
        <f t="shared" si="127"/>
        <v>0</v>
      </c>
    </row>
    <row r="296" spans="1:24">
      <c r="A296" s="21">
        <v>45677</v>
      </c>
      <c r="B296" s="16">
        <f>IF(YEAR(Table6[[#This Row],[Date]]) = 2024, WEEKNUM(Table6[[#This Row],[Date]])-13, WEEKNUM(Table6[[#This Row],[Date]])+40)</f>
        <v>44</v>
      </c>
      <c r="C296" s="31"/>
      <c r="D296" s="31"/>
      <c r="E296" s="1"/>
      <c r="F296" s="1"/>
      <c r="G296" s="76"/>
      <c r="H296" s="76"/>
      <c r="I296" s="1"/>
      <c r="J296" s="1"/>
      <c r="K296" s="1"/>
      <c r="L296" s="1"/>
      <c r="M296" s="17"/>
      <c r="N296" s="17"/>
      <c r="O296" s="17"/>
      <c r="P296" s="17"/>
      <c r="Q296" s="17"/>
      <c r="R296" s="39"/>
      <c r="S296" s="139"/>
      <c r="T296" s="285"/>
      <c r="U296" s="1" t="str">
        <f t="shared" si="124"/>
        <v>Normal</v>
      </c>
      <c r="V296" s="1" t="str">
        <f t="shared" si="125"/>
        <v>Normal</v>
      </c>
      <c r="W296" s="18">
        <f t="shared" si="126"/>
        <v>0</v>
      </c>
      <c r="X296" s="18">
        <f t="shared" si="127"/>
        <v>0</v>
      </c>
    </row>
    <row r="297" spans="1:24">
      <c r="A297" s="21">
        <v>45678</v>
      </c>
      <c r="B297" s="16">
        <f>IF(YEAR(Table6[[#This Row],[Date]]) = 2024, WEEKNUM(Table6[[#This Row],[Date]])-13, WEEKNUM(Table6[[#This Row],[Date]])+40)</f>
        <v>44</v>
      </c>
      <c r="C297" s="31"/>
      <c r="D297" s="31"/>
      <c r="E297" s="1"/>
      <c r="F297" s="1"/>
      <c r="G297" s="76"/>
      <c r="H297" s="76"/>
      <c r="I297" s="1"/>
      <c r="J297" s="1"/>
      <c r="K297" s="1"/>
      <c r="L297" s="1"/>
      <c r="M297" s="17"/>
      <c r="N297" s="17"/>
      <c r="O297" s="17"/>
      <c r="P297" s="17"/>
      <c r="Q297" s="17"/>
      <c r="R297" s="39"/>
      <c r="S297" s="139"/>
      <c r="T297" s="285"/>
      <c r="U297" s="1" t="str">
        <f t="shared" si="124"/>
        <v>Normal</v>
      </c>
      <c r="V297" s="1" t="str">
        <f t="shared" si="125"/>
        <v>Normal</v>
      </c>
      <c r="W297" s="18">
        <f t="shared" si="126"/>
        <v>0</v>
      </c>
      <c r="X297" s="18">
        <f t="shared" si="127"/>
        <v>0</v>
      </c>
    </row>
    <row r="298" spans="1:24">
      <c r="A298" s="21">
        <v>45679</v>
      </c>
      <c r="B298" s="16">
        <f>IF(YEAR(Table6[[#This Row],[Date]]) = 2024, WEEKNUM(Table6[[#This Row],[Date]])-13, WEEKNUM(Table6[[#This Row],[Date]])+40)</f>
        <v>44</v>
      </c>
      <c r="C298" s="31"/>
      <c r="D298" s="31"/>
      <c r="E298" s="1"/>
      <c r="F298" s="1"/>
      <c r="G298" s="61"/>
      <c r="H298" s="61"/>
      <c r="I298" s="1"/>
      <c r="J298" s="1"/>
      <c r="K298" s="1"/>
      <c r="L298" s="1"/>
      <c r="M298" s="17"/>
      <c r="N298" s="17"/>
      <c r="O298" s="17"/>
      <c r="P298" s="17"/>
      <c r="Q298" s="17"/>
      <c r="R298" s="39"/>
      <c r="S298" s="139"/>
      <c r="T298" s="285"/>
      <c r="U298" s="1" t="str">
        <f t="shared" si="124"/>
        <v>Normal</v>
      </c>
      <c r="V298" s="1" t="str">
        <f t="shared" si="125"/>
        <v>Normal</v>
      </c>
      <c r="W298" s="18">
        <f t="shared" si="126"/>
        <v>0</v>
      </c>
      <c r="X298" s="18">
        <f t="shared" si="127"/>
        <v>0</v>
      </c>
    </row>
    <row r="299" spans="1:24">
      <c r="A299" s="21">
        <v>45680</v>
      </c>
      <c r="B299" s="16">
        <f>IF(YEAR(Table6[[#This Row],[Date]]) = 2024, WEEKNUM(Table6[[#This Row],[Date]])-13, WEEKNUM(Table6[[#This Row],[Date]])+40)</f>
        <v>44</v>
      </c>
      <c r="C299" s="31"/>
      <c r="D299" s="31"/>
      <c r="E299" s="1"/>
      <c r="F299" s="1"/>
      <c r="G299" s="61"/>
      <c r="H299" s="61"/>
      <c r="I299" s="1"/>
      <c r="J299" s="1"/>
      <c r="K299" s="1"/>
      <c r="L299" s="1"/>
      <c r="M299" s="17"/>
      <c r="N299" s="17"/>
      <c r="O299" s="17"/>
      <c r="P299" s="17"/>
      <c r="Q299" s="17"/>
      <c r="R299" s="39"/>
      <c r="S299" s="139"/>
      <c r="T299" s="285"/>
      <c r="U299" s="1" t="str">
        <f t="shared" si="124"/>
        <v>Normal</v>
      </c>
      <c r="V299" s="1" t="str">
        <f t="shared" si="125"/>
        <v>Normal</v>
      </c>
      <c r="W299" s="18">
        <f t="shared" si="126"/>
        <v>0</v>
      </c>
      <c r="X299" s="18">
        <f t="shared" si="127"/>
        <v>0</v>
      </c>
    </row>
    <row r="300" spans="1:24">
      <c r="A300" s="21">
        <v>45681</v>
      </c>
      <c r="B300" s="16">
        <f>IF(YEAR(Table6[[#This Row],[Date]]) = 2024, WEEKNUM(Table6[[#This Row],[Date]])-13, WEEKNUM(Table6[[#This Row],[Date]])+40)</f>
        <v>44</v>
      </c>
      <c r="C300" s="31"/>
      <c r="D300" s="31"/>
      <c r="E300" s="1"/>
      <c r="F300" s="1"/>
      <c r="G300" s="61"/>
      <c r="H300" s="61"/>
      <c r="I300" s="1"/>
      <c r="J300" s="1"/>
      <c r="K300" s="1"/>
      <c r="L300" s="1"/>
      <c r="M300" s="17"/>
      <c r="N300" s="17"/>
      <c r="O300" s="17"/>
      <c r="P300" s="17"/>
      <c r="Q300" s="17"/>
      <c r="R300" s="39"/>
      <c r="S300" s="139"/>
      <c r="T300" s="285"/>
      <c r="U300" s="1" t="str">
        <f t="shared" si="124"/>
        <v>Normal</v>
      </c>
      <c r="V300" s="1" t="str">
        <f t="shared" si="125"/>
        <v>Normal</v>
      </c>
      <c r="W300" s="18">
        <f t="shared" si="126"/>
        <v>0</v>
      </c>
      <c r="X300" s="18">
        <f t="shared" si="127"/>
        <v>0</v>
      </c>
    </row>
    <row r="301" spans="1:24">
      <c r="A301" s="21">
        <v>45682</v>
      </c>
      <c r="B301" s="16">
        <f>IF(YEAR(Table6[[#This Row],[Date]]) = 2024, WEEKNUM(Table6[[#This Row],[Date]])-13, WEEKNUM(Table6[[#This Row],[Date]])+40)</f>
        <v>44</v>
      </c>
      <c r="C301" s="31"/>
      <c r="D301" s="31"/>
      <c r="E301" s="1"/>
      <c r="F301" s="1"/>
      <c r="G301" s="61"/>
      <c r="H301" s="61"/>
      <c r="I301" s="1"/>
      <c r="J301" s="1"/>
      <c r="K301" s="1"/>
      <c r="L301" s="1"/>
      <c r="M301" s="17"/>
      <c r="N301" s="17"/>
      <c r="O301" s="17"/>
      <c r="P301" s="17"/>
      <c r="Q301" s="17"/>
      <c r="R301" s="39"/>
      <c r="S301" s="139"/>
      <c r="T301" s="285"/>
      <c r="U301" s="1" t="str">
        <f t="shared" si="124"/>
        <v>Normal</v>
      </c>
      <c r="V301" s="1" t="str">
        <f t="shared" si="125"/>
        <v>Normal</v>
      </c>
      <c r="W301" s="18">
        <f t="shared" si="126"/>
        <v>0</v>
      </c>
      <c r="X301" s="18">
        <f t="shared" si="127"/>
        <v>0</v>
      </c>
    </row>
    <row r="302" spans="1:24">
      <c r="A302" s="21">
        <v>45683</v>
      </c>
      <c r="B302" s="16">
        <f>IF(YEAR(Table6[[#This Row],[Date]]) = 2024, WEEKNUM(Table6[[#This Row],[Date]])-13, WEEKNUM(Table6[[#This Row],[Date]])+40)</f>
        <v>45</v>
      </c>
      <c r="C302" s="31"/>
      <c r="D302" s="31"/>
      <c r="E302" s="1"/>
      <c r="F302" s="1"/>
      <c r="G302" s="61"/>
      <c r="H302" s="61"/>
      <c r="I302" s="1"/>
      <c r="J302" s="1"/>
      <c r="K302" s="1"/>
      <c r="L302" s="1"/>
      <c r="M302" s="17"/>
      <c r="N302" s="17"/>
      <c r="O302" s="17"/>
      <c r="P302" s="17"/>
      <c r="Q302" s="17"/>
      <c r="R302" s="39"/>
      <c r="S302" s="139"/>
      <c r="T302" s="285"/>
      <c r="U302" s="1" t="str">
        <f t="shared" si="124"/>
        <v>Normal</v>
      </c>
      <c r="V302" s="1" t="str">
        <f t="shared" si="125"/>
        <v>Normal</v>
      </c>
      <c r="W302" s="18">
        <f t="shared" si="126"/>
        <v>0</v>
      </c>
      <c r="X302" s="18">
        <f t="shared" si="127"/>
        <v>0</v>
      </c>
    </row>
    <row r="303" spans="1:24">
      <c r="A303" s="21">
        <v>45684</v>
      </c>
      <c r="B303" s="16">
        <f>IF(YEAR(Table6[[#This Row],[Date]]) = 2024, WEEKNUM(Table6[[#This Row],[Date]])-13, WEEKNUM(Table6[[#This Row],[Date]])+40)</f>
        <v>45</v>
      </c>
      <c r="C303" s="31"/>
      <c r="D303" s="31"/>
      <c r="E303" s="1"/>
      <c r="F303" s="1"/>
      <c r="G303" s="61"/>
      <c r="H303" s="61"/>
      <c r="I303" s="1"/>
      <c r="J303" s="1"/>
      <c r="K303" s="1"/>
      <c r="L303" s="1"/>
      <c r="M303" s="17"/>
      <c r="N303" s="17"/>
      <c r="O303" s="17"/>
      <c r="P303" s="17"/>
      <c r="Q303" s="17"/>
      <c r="R303" s="39"/>
      <c r="S303" s="139"/>
      <c r="T303" s="285"/>
      <c r="U303" s="1" t="str">
        <f t="shared" si="124"/>
        <v>Normal</v>
      </c>
      <c r="V303" s="1" t="str">
        <f t="shared" si="125"/>
        <v>Normal</v>
      </c>
      <c r="W303" s="18">
        <f t="shared" si="126"/>
        <v>0</v>
      </c>
      <c r="X303" s="18">
        <f t="shared" si="127"/>
        <v>0</v>
      </c>
    </row>
    <row r="304" spans="1:24">
      <c r="A304" s="21">
        <v>45685</v>
      </c>
      <c r="B304" s="16">
        <f>IF(YEAR(Table6[[#This Row],[Date]]) = 2024, WEEKNUM(Table6[[#This Row],[Date]])-13, WEEKNUM(Table6[[#This Row],[Date]])+40)</f>
        <v>45</v>
      </c>
      <c r="C304" s="30"/>
      <c r="D304" s="31"/>
      <c r="E304" s="1"/>
      <c r="F304" s="1"/>
      <c r="G304" s="61"/>
      <c r="H304" s="61"/>
      <c r="I304" s="1"/>
      <c r="J304" s="1"/>
      <c r="K304" s="1"/>
      <c r="L304" s="1"/>
      <c r="M304" s="17"/>
      <c r="N304" s="17"/>
      <c r="O304" s="17"/>
      <c r="P304" s="17"/>
      <c r="Q304" s="17"/>
      <c r="R304" s="39"/>
      <c r="S304" s="139"/>
      <c r="T304" s="285"/>
      <c r="U304" s="1" t="str">
        <f t="shared" si="124"/>
        <v>Normal</v>
      </c>
      <c r="V304" s="1" t="str">
        <f t="shared" si="125"/>
        <v>Normal</v>
      </c>
      <c r="W304" s="18">
        <f t="shared" si="126"/>
        <v>0</v>
      </c>
      <c r="X304" s="18">
        <f t="shared" si="127"/>
        <v>0</v>
      </c>
    </row>
    <row r="305" spans="1:24">
      <c r="A305" s="21">
        <v>45686</v>
      </c>
      <c r="B305" s="16">
        <f>IF(YEAR(Table6[[#This Row],[Date]]) = 2024, WEEKNUM(Table6[[#This Row],[Date]])-13, WEEKNUM(Table6[[#This Row],[Date]])+40)</f>
        <v>45</v>
      </c>
      <c r="C305" s="31"/>
      <c r="D305" s="31"/>
      <c r="E305" s="1"/>
      <c r="F305" s="1"/>
      <c r="G305" s="61"/>
      <c r="H305" s="61"/>
      <c r="I305" s="1"/>
      <c r="J305" s="1"/>
      <c r="K305" s="1"/>
      <c r="L305" s="1"/>
      <c r="M305" s="17"/>
      <c r="N305" s="17"/>
      <c r="O305" s="17"/>
      <c r="P305" s="17"/>
      <c r="Q305" s="17"/>
      <c r="R305" s="39"/>
      <c r="S305" s="139"/>
      <c r="T305" s="285"/>
      <c r="U305" s="1" t="str">
        <f t="shared" si="124"/>
        <v>Normal</v>
      </c>
      <c r="V305" s="1" t="str">
        <f t="shared" si="125"/>
        <v>Normal</v>
      </c>
      <c r="W305" s="18">
        <f t="shared" si="126"/>
        <v>0</v>
      </c>
      <c r="X305" s="18">
        <f t="shared" si="127"/>
        <v>0</v>
      </c>
    </row>
    <row r="306" spans="1:24">
      <c r="A306" s="21">
        <v>45687</v>
      </c>
      <c r="B306" s="16">
        <f>IF(YEAR(Table6[[#This Row],[Date]]) = 2024, WEEKNUM(Table6[[#This Row],[Date]])-13, WEEKNUM(Table6[[#This Row],[Date]])+40)</f>
        <v>45</v>
      </c>
      <c r="C306" s="31"/>
      <c r="D306" s="31"/>
      <c r="E306" s="1"/>
      <c r="F306" s="1"/>
      <c r="G306" s="61"/>
      <c r="H306" s="61"/>
      <c r="I306" s="1"/>
      <c r="J306" s="1"/>
      <c r="K306" s="1"/>
      <c r="L306" s="1"/>
      <c r="M306" s="17"/>
      <c r="N306" s="17"/>
      <c r="O306" s="17"/>
      <c r="P306" s="17"/>
      <c r="Q306" s="17"/>
      <c r="R306" s="39"/>
      <c r="S306" s="139"/>
      <c r="T306" s="285"/>
      <c r="U306" s="1" t="str">
        <f t="shared" si="124"/>
        <v>Normal</v>
      </c>
      <c r="V306" s="1" t="str">
        <f t="shared" si="125"/>
        <v>Normal</v>
      </c>
      <c r="W306" s="18">
        <f t="shared" si="126"/>
        <v>0</v>
      </c>
      <c r="X306" s="18">
        <f t="shared" si="127"/>
        <v>0</v>
      </c>
    </row>
    <row r="307" spans="1:24">
      <c r="A307" s="21">
        <v>45688</v>
      </c>
      <c r="B307" s="16">
        <f>IF(YEAR(Table6[[#This Row],[Date]]) = 2024, WEEKNUM(Table6[[#This Row],[Date]])-13, WEEKNUM(Table6[[#This Row],[Date]])+40)</f>
        <v>45</v>
      </c>
      <c r="C307" s="31"/>
      <c r="D307" s="31"/>
      <c r="E307" s="1"/>
      <c r="F307" s="1"/>
      <c r="G307" s="61"/>
      <c r="H307" s="61"/>
      <c r="I307" s="1"/>
      <c r="J307" s="1"/>
      <c r="K307" s="1"/>
      <c r="L307" s="1"/>
      <c r="M307" s="17"/>
      <c r="N307" s="17"/>
      <c r="O307" s="17"/>
      <c r="P307" s="17"/>
      <c r="Q307" s="17"/>
      <c r="R307" s="39"/>
      <c r="S307" s="139"/>
      <c r="T307" s="285"/>
      <c r="U307" s="1" t="str">
        <f t="shared" si="124"/>
        <v>Normal</v>
      </c>
      <c r="V307" s="1" t="str">
        <f t="shared" si="125"/>
        <v>Normal</v>
      </c>
      <c r="W307" s="18">
        <f t="shared" si="126"/>
        <v>0</v>
      </c>
      <c r="X307" s="18">
        <f t="shared" si="127"/>
        <v>0</v>
      </c>
    </row>
    <row r="308" spans="1:24">
      <c r="A308" s="21">
        <v>45689</v>
      </c>
      <c r="B308" s="16">
        <f>IF(YEAR(Table6[[#This Row],[Date]]) = 2024, WEEKNUM(Table6[[#This Row],[Date]])-13, WEEKNUM(Table6[[#This Row],[Date]])+40)</f>
        <v>45</v>
      </c>
      <c r="C308" s="30"/>
      <c r="D308" s="31"/>
      <c r="E308" s="1"/>
      <c r="F308" s="1"/>
      <c r="G308" s="61"/>
      <c r="H308" s="61"/>
      <c r="I308" s="1"/>
      <c r="J308" s="1"/>
      <c r="K308" s="1"/>
      <c r="L308" s="1"/>
      <c r="M308" s="17"/>
      <c r="N308" s="17"/>
      <c r="O308" s="17"/>
      <c r="P308" s="17"/>
      <c r="Q308" s="17"/>
      <c r="R308" s="39"/>
      <c r="S308" s="139"/>
      <c r="T308" s="285"/>
      <c r="U308" s="1" t="str">
        <f t="shared" si="124"/>
        <v>Normal</v>
      </c>
      <c r="V308" s="1" t="str">
        <f t="shared" si="125"/>
        <v>Normal</v>
      </c>
      <c r="W308" s="18">
        <f t="shared" si="126"/>
        <v>0</v>
      </c>
      <c r="X308" s="18">
        <f t="shared" si="127"/>
        <v>0</v>
      </c>
    </row>
    <row r="309" spans="1:24">
      <c r="A309" s="21">
        <v>45690</v>
      </c>
      <c r="B309" s="16">
        <f>IF(YEAR(Table6[[#This Row],[Date]]) = 2024, WEEKNUM(Table6[[#This Row],[Date]])-13, WEEKNUM(Table6[[#This Row],[Date]])+40)</f>
        <v>46</v>
      </c>
      <c r="C309" s="31"/>
      <c r="D309" s="31"/>
      <c r="E309" s="1"/>
      <c r="F309" s="1"/>
      <c r="G309" s="61"/>
      <c r="H309" s="61"/>
      <c r="I309" s="1"/>
      <c r="J309" s="1"/>
      <c r="K309" s="1"/>
      <c r="L309" s="1"/>
      <c r="M309" s="17"/>
      <c r="N309" s="17"/>
      <c r="O309" s="17"/>
      <c r="P309" s="17"/>
      <c r="Q309" s="17"/>
      <c r="R309" s="39"/>
      <c r="S309" s="139"/>
      <c r="T309" s="285"/>
      <c r="U309" s="1" t="str">
        <f t="shared" si="124"/>
        <v>Normal</v>
      </c>
      <c r="V309" s="1" t="str">
        <f t="shared" si="125"/>
        <v>Normal</v>
      </c>
      <c r="W309" s="18">
        <f t="shared" si="126"/>
        <v>0</v>
      </c>
      <c r="X309" s="18">
        <f t="shared" si="127"/>
        <v>0</v>
      </c>
    </row>
    <row r="310" spans="1:24">
      <c r="A310" s="21">
        <v>45691</v>
      </c>
      <c r="B310" s="16">
        <f>IF(YEAR(Table6[[#This Row],[Date]]) = 2024, WEEKNUM(Table6[[#This Row],[Date]])-13, WEEKNUM(Table6[[#This Row],[Date]])+40)</f>
        <v>46</v>
      </c>
      <c r="C310" s="31"/>
      <c r="D310" s="31"/>
      <c r="E310" s="1"/>
      <c r="F310" s="1"/>
      <c r="G310" s="61"/>
      <c r="H310" s="61"/>
      <c r="I310" s="1"/>
      <c r="J310" s="1"/>
      <c r="K310" s="1"/>
      <c r="L310" s="1"/>
      <c r="M310" s="17"/>
      <c r="N310" s="17"/>
      <c r="O310" s="17"/>
      <c r="P310" s="17"/>
      <c r="Q310" s="17"/>
      <c r="R310" s="39"/>
      <c r="S310" s="139"/>
      <c r="T310" s="285"/>
      <c r="U310" s="1" t="str">
        <f t="shared" si="124"/>
        <v>Normal</v>
      </c>
      <c r="V310" s="1" t="str">
        <f t="shared" si="125"/>
        <v>Normal</v>
      </c>
      <c r="W310" s="18">
        <f t="shared" si="126"/>
        <v>0</v>
      </c>
      <c r="X310" s="18">
        <f t="shared" si="127"/>
        <v>0</v>
      </c>
    </row>
    <row r="311" spans="1:24">
      <c r="A311" s="21">
        <v>45692</v>
      </c>
      <c r="B311" s="16">
        <f>IF(YEAR(Table6[[#This Row],[Date]]) = 2024, WEEKNUM(Table6[[#This Row],[Date]])-13, WEEKNUM(Table6[[#This Row],[Date]])+40)</f>
        <v>46</v>
      </c>
      <c r="C311" s="31"/>
      <c r="D311" s="31"/>
      <c r="E311" s="1"/>
      <c r="F311" s="1"/>
      <c r="G311" s="61"/>
      <c r="H311" s="61"/>
      <c r="I311" s="1"/>
      <c r="J311" s="1"/>
      <c r="K311" s="1"/>
      <c r="L311" s="1"/>
      <c r="M311" s="17"/>
      <c r="N311" s="17"/>
      <c r="O311" s="17"/>
      <c r="P311" s="17"/>
      <c r="Q311" s="17"/>
      <c r="R311" s="39"/>
      <c r="S311" s="139"/>
      <c r="T311" s="285"/>
      <c r="U311" s="1" t="str">
        <f t="shared" si="124"/>
        <v>Normal</v>
      </c>
      <c r="V311" s="1" t="str">
        <f t="shared" si="125"/>
        <v>Normal</v>
      </c>
      <c r="W311" s="18">
        <f t="shared" si="126"/>
        <v>0</v>
      </c>
      <c r="X311" s="18">
        <f t="shared" si="127"/>
        <v>0</v>
      </c>
    </row>
    <row r="312" spans="1:24">
      <c r="A312" s="21">
        <v>45693</v>
      </c>
      <c r="B312" s="16">
        <f>IF(YEAR(Table6[[#This Row],[Date]]) = 2024, WEEKNUM(Table6[[#This Row],[Date]])-13, WEEKNUM(Table6[[#This Row],[Date]])+40)</f>
        <v>46</v>
      </c>
      <c r="C312" s="31"/>
      <c r="D312" s="31"/>
      <c r="E312" s="1"/>
      <c r="F312" s="1"/>
      <c r="G312" s="61"/>
      <c r="H312" s="61"/>
      <c r="I312" s="1"/>
      <c r="J312" s="1"/>
      <c r="K312" s="1"/>
      <c r="L312" s="1"/>
      <c r="M312" s="17"/>
      <c r="N312" s="17"/>
      <c r="O312" s="17"/>
      <c r="P312" s="17"/>
      <c r="Q312" s="17"/>
      <c r="R312" s="39"/>
      <c r="S312" s="139"/>
      <c r="T312" s="285"/>
      <c r="U312" s="1" t="str">
        <f t="shared" si="124"/>
        <v>Normal</v>
      </c>
      <c r="V312" s="1" t="str">
        <f t="shared" si="125"/>
        <v>Normal</v>
      </c>
      <c r="W312" s="18">
        <f t="shared" si="126"/>
        <v>0</v>
      </c>
      <c r="X312" s="18">
        <f t="shared" si="127"/>
        <v>0</v>
      </c>
    </row>
    <row r="313" spans="1:24">
      <c r="A313" s="21">
        <v>45694</v>
      </c>
      <c r="B313" s="16">
        <f>IF(YEAR(Table6[[#This Row],[Date]]) = 2024, WEEKNUM(Table6[[#This Row],[Date]])-13, WEEKNUM(Table6[[#This Row],[Date]])+40)</f>
        <v>46</v>
      </c>
      <c r="C313" s="31"/>
      <c r="D313" s="31"/>
      <c r="E313" s="1"/>
      <c r="F313" s="1"/>
      <c r="G313" s="61"/>
      <c r="H313" s="61"/>
      <c r="I313" s="1"/>
      <c r="J313" s="1"/>
      <c r="K313" s="1"/>
      <c r="L313" s="1"/>
      <c r="M313" s="17"/>
      <c r="N313" s="17"/>
      <c r="O313" s="17"/>
      <c r="P313" s="17"/>
      <c r="Q313" s="17"/>
      <c r="R313" s="39"/>
      <c r="S313" s="139"/>
      <c r="T313" s="285"/>
      <c r="U313" s="1" t="str">
        <f t="shared" si="124"/>
        <v>Normal</v>
      </c>
      <c r="V313" s="1" t="str">
        <f t="shared" si="125"/>
        <v>Normal</v>
      </c>
      <c r="W313" s="18">
        <f t="shared" si="126"/>
        <v>0</v>
      </c>
      <c r="X313" s="18">
        <f t="shared" si="127"/>
        <v>0</v>
      </c>
    </row>
    <row r="314" spans="1:24">
      <c r="A314" s="21">
        <v>45695</v>
      </c>
      <c r="B314" s="16">
        <f>IF(YEAR(Table6[[#This Row],[Date]]) = 2024, WEEKNUM(Table6[[#This Row],[Date]])-13, WEEKNUM(Table6[[#This Row],[Date]])+40)</f>
        <v>46</v>
      </c>
      <c r="C314" s="31"/>
      <c r="D314" s="31"/>
      <c r="E314" s="1"/>
      <c r="F314" s="1"/>
      <c r="G314" s="61"/>
      <c r="H314" s="61"/>
      <c r="I314" s="1"/>
      <c r="J314" s="1"/>
      <c r="K314" s="1"/>
      <c r="L314" s="1"/>
      <c r="M314" s="17"/>
      <c r="N314" s="17"/>
      <c r="O314" s="17"/>
      <c r="P314" s="17"/>
      <c r="Q314" s="17"/>
      <c r="R314" s="39"/>
      <c r="S314" s="139"/>
      <c r="T314" s="285"/>
      <c r="U314" s="1" t="str">
        <f t="shared" si="124"/>
        <v>Normal</v>
      </c>
      <c r="V314" s="1" t="str">
        <f t="shared" si="125"/>
        <v>Normal</v>
      </c>
      <c r="W314" s="18">
        <f t="shared" si="126"/>
        <v>0</v>
      </c>
      <c r="X314" s="18">
        <f t="shared" si="127"/>
        <v>0</v>
      </c>
    </row>
    <row r="315" spans="1:24">
      <c r="A315" s="21">
        <v>45696</v>
      </c>
      <c r="B315" s="16">
        <f>IF(YEAR(Table6[[#This Row],[Date]]) = 2024, WEEKNUM(Table6[[#This Row],[Date]])-13, WEEKNUM(Table6[[#This Row],[Date]])+40)</f>
        <v>46</v>
      </c>
      <c r="C315" s="31"/>
      <c r="D315" s="31"/>
      <c r="E315" s="1"/>
      <c r="F315" s="1"/>
      <c r="G315" s="61"/>
      <c r="H315" s="61"/>
      <c r="I315" s="1"/>
      <c r="J315" s="1"/>
      <c r="K315" s="1"/>
      <c r="L315" s="1"/>
      <c r="M315" s="17"/>
      <c r="N315" s="17"/>
      <c r="O315" s="17"/>
      <c r="P315" s="17"/>
      <c r="Q315" s="17"/>
      <c r="R315" s="39"/>
      <c r="S315" s="139"/>
      <c r="T315" s="285"/>
      <c r="U315" s="1" t="str">
        <f t="shared" si="124"/>
        <v>Normal</v>
      </c>
      <c r="V315" s="1" t="str">
        <f t="shared" si="125"/>
        <v>Normal</v>
      </c>
      <c r="W315" s="18">
        <f t="shared" si="126"/>
        <v>0</v>
      </c>
      <c r="X315" s="18">
        <f t="shared" si="127"/>
        <v>0</v>
      </c>
    </row>
    <row r="316" spans="1:24">
      <c r="A316" s="21">
        <v>45697</v>
      </c>
      <c r="B316" s="16">
        <f>IF(YEAR(Table6[[#This Row],[Date]]) = 2024, WEEKNUM(Table6[[#This Row],[Date]])-13, WEEKNUM(Table6[[#This Row],[Date]])+40)</f>
        <v>47</v>
      </c>
      <c r="C316" s="31"/>
      <c r="D316" s="31"/>
      <c r="E316" s="1"/>
      <c r="F316" s="1"/>
      <c r="G316" s="61"/>
      <c r="H316" s="61"/>
      <c r="I316" s="1"/>
      <c r="J316" s="1"/>
      <c r="K316" s="1"/>
      <c r="L316" s="1"/>
      <c r="M316" s="17"/>
      <c r="N316" s="17"/>
      <c r="O316" s="17"/>
      <c r="P316" s="17"/>
      <c r="Q316" s="17"/>
      <c r="R316" s="39"/>
      <c r="S316" s="139"/>
      <c r="T316" s="285"/>
      <c r="U316" s="1" t="str">
        <f t="shared" si="124"/>
        <v>Normal</v>
      </c>
      <c r="V316" s="1" t="str">
        <f t="shared" si="125"/>
        <v>Normal</v>
      </c>
      <c r="W316" s="18">
        <f t="shared" si="126"/>
        <v>0</v>
      </c>
      <c r="X316" s="18">
        <f t="shared" si="127"/>
        <v>0</v>
      </c>
    </row>
    <row r="317" spans="1:24">
      <c r="A317" s="21">
        <v>45698</v>
      </c>
      <c r="B317" s="16">
        <f>IF(YEAR(Table6[[#This Row],[Date]]) = 2024, WEEKNUM(Table6[[#This Row],[Date]])-13, WEEKNUM(Table6[[#This Row],[Date]])+40)</f>
        <v>47</v>
      </c>
      <c r="C317" s="31"/>
      <c r="D317" s="31"/>
      <c r="E317" s="1"/>
      <c r="F317" s="1"/>
      <c r="G317" s="61"/>
      <c r="H317" s="61"/>
      <c r="I317" s="1"/>
      <c r="J317" s="1"/>
      <c r="K317" s="1"/>
      <c r="L317" s="1"/>
      <c r="M317" s="17"/>
      <c r="N317" s="17"/>
      <c r="O317" s="17"/>
      <c r="P317" s="17"/>
      <c r="Q317" s="17"/>
      <c r="R317" s="39"/>
      <c r="S317" s="139"/>
      <c r="T317" s="285"/>
      <c r="U317" s="1" t="str">
        <f t="shared" si="124"/>
        <v>Normal</v>
      </c>
      <c r="V317" s="1" t="str">
        <f t="shared" si="125"/>
        <v>Normal</v>
      </c>
      <c r="W317" s="18">
        <f t="shared" si="126"/>
        <v>0</v>
      </c>
      <c r="X317" s="18">
        <f t="shared" si="127"/>
        <v>0</v>
      </c>
    </row>
    <row r="318" spans="1:24">
      <c r="A318" s="21">
        <v>45699</v>
      </c>
      <c r="B318" s="16">
        <f>IF(YEAR(Table6[[#This Row],[Date]]) = 2024, WEEKNUM(Table6[[#This Row],[Date]])-13, WEEKNUM(Table6[[#This Row],[Date]])+40)</f>
        <v>47</v>
      </c>
      <c r="C318" s="31"/>
      <c r="D318" s="31"/>
      <c r="E318" s="1"/>
      <c r="F318" s="1"/>
      <c r="G318" s="61"/>
      <c r="H318" s="61"/>
      <c r="I318" s="1"/>
      <c r="J318" s="1"/>
      <c r="K318" s="1"/>
      <c r="L318" s="1"/>
      <c r="M318" s="17"/>
      <c r="N318" s="17"/>
      <c r="O318" s="17"/>
      <c r="P318" s="17"/>
      <c r="Q318" s="17"/>
      <c r="R318" s="39"/>
      <c r="S318" s="139"/>
      <c r="T318" s="285"/>
      <c r="U318" s="1" t="str">
        <f t="shared" si="124"/>
        <v>Normal</v>
      </c>
      <c r="V318" s="1" t="str">
        <f t="shared" si="125"/>
        <v>Normal</v>
      </c>
      <c r="W318" s="18">
        <f t="shared" si="126"/>
        <v>0</v>
      </c>
      <c r="X318" s="18">
        <f t="shared" si="127"/>
        <v>0</v>
      </c>
    </row>
    <row r="319" spans="1:24">
      <c r="A319" s="21">
        <v>45700</v>
      </c>
      <c r="B319" s="16">
        <f>IF(YEAR(Table6[[#This Row],[Date]]) = 2024, WEEKNUM(Table6[[#This Row],[Date]])-13, WEEKNUM(Table6[[#This Row],[Date]])+40)</f>
        <v>47</v>
      </c>
      <c r="C319" s="31"/>
      <c r="D319" s="31"/>
      <c r="E319" s="1"/>
      <c r="F319" s="1"/>
      <c r="G319" s="61"/>
      <c r="H319" s="61"/>
      <c r="I319" s="1"/>
      <c r="J319" s="1"/>
      <c r="K319" s="1"/>
      <c r="L319" s="1"/>
      <c r="M319" s="17"/>
      <c r="N319" s="17"/>
      <c r="O319" s="17"/>
      <c r="P319" s="17"/>
      <c r="Q319" s="17"/>
      <c r="R319" s="39"/>
      <c r="S319" s="139"/>
      <c r="T319" s="285"/>
      <c r="U319" s="1" t="str">
        <f t="shared" si="124"/>
        <v>Normal</v>
      </c>
      <c r="V319" s="1" t="str">
        <f t="shared" si="125"/>
        <v>Normal</v>
      </c>
      <c r="W319" s="18">
        <f t="shared" si="126"/>
        <v>0</v>
      </c>
      <c r="X319" s="18">
        <f t="shared" si="127"/>
        <v>0</v>
      </c>
    </row>
    <row r="320" spans="1:24">
      <c r="A320" s="21">
        <v>45701</v>
      </c>
      <c r="B320" s="16">
        <f>IF(YEAR(Table6[[#This Row],[Date]]) = 2024, WEEKNUM(Table6[[#This Row],[Date]])-13, WEEKNUM(Table6[[#This Row],[Date]])+40)</f>
        <v>47</v>
      </c>
      <c r="C320" s="31"/>
      <c r="D320" s="31"/>
      <c r="E320" s="1"/>
      <c r="F320" s="1"/>
      <c r="G320" s="61"/>
      <c r="H320" s="61"/>
      <c r="I320" s="1"/>
      <c r="J320" s="1"/>
      <c r="K320" s="1"/>
      <c r="L320" s="1"/>
      <c r="M320" s="17"/>
      <c r="N320" s="17"/>
      <c r="O320" s="17"/>
      <c r="P320" s="17"/>
      <c r="Q320" s="17"/>
      <c r="R320" s="39"/>
      <c r="S320" s="139"/>
      <c r="T320" s="285"/>
      <c r="U320" s="1" t="str">
        <f t="shared" si="124"/>
        <v>Normal</v>
      </c>
      <c r="V320" s="1" t="str">
        <f t="shared" si="125"/>
        <v>Normal</v>
      </c>
      <c r="W320" s="18">
        <f t="shared" si="126"/>
        <v>0</v>
      </c>
      <c r="X320" s="18">
        <f t="shared" si="127"/>
        <v>0</v>
      </c>
    </row>
    <row r="321" spans="1:24">
      <c r="A321" s="21">
        <v>45702</v>
      </c>
      <c r="B321" s="16">
        <f>IF(YEAR(Table6[[#This Row],[Date]]) = 2024, WEEKNUM(Table6[[#This Row],[Date]])-13, WEEKNUM(Table6[[#This Row],[Date]])+40)</f>
        <v>47</v>
      </c>
      <c r="C321" s="31"/>
      <c r="D321" s="31"/>
      <c r="E321" s="1"/>
      <c r="F321" s="1"/>
      <c r="G321" s="61"/>
      <c r="H321" s="61"/>
      <c r="I321" s="1"/>
      <c r="J321" s="1"/>
      <c r="K321" s="1"/>
      <c r="L321" s="1"/>
      <c r="M321" s="17"/>
      <c r="N321" s="17"/>
      <c r="O321" s="17"/>
      <c r="P321" s="17"/>
      <c r="Q321" s="17"/>
      <c r="R321" s="39"/>
      <c r="S321" s="139"/>
      <c r="T321" s="285"/>
      <c r="U321" s="1" t="str">
        <f t="shared" si="124"/>
        <v>Normal</v>
      </c>
      <c r="V321" s="1" t="str">
        <f t="shared" si="125"/>
        <v>Normal</v>
      </c>
      <c r="W321" s="18">
        <f t="shared" si="126"/>
        <v>0</v>
      </c>
      <c r="X321" s="18">
        <f t="shared" si="127"/>
        <v>0</v>
      </c>
    </row>
    <row r="322" spans="1:24">
      <c r="A322" s="21">
        <v>45703</v>
      </c>
      <c r="B322" s="16">
        <f>IF(YEAR(Table6[[#This Row],[Date]]) = 2024, WEEKNUM(Table6[[#This Row],[Date]])-13, WEEKNUM(Table6[[#This Row],[Date]])+40)</f>
        <v>47</v>
      </c>
      <c r="C322" s="31"/>
      <c r="D322" s="31"/>
      <c r="E322" s="1"/>
      <c r="F322" s="1"/>
      <c r="G322" s="61"/>
      <c r="H322" s="61"/>
      <c r="I322" s="1"/>
      <c r="J322" s="1"/>
      <c r="K322" s="1"/>
      <c r="L322" s="1"/>
      <c r="M322" s="17"/>
      <c r="N322" s="17"/>
      <c r="O322" s="17"/>
      <c r="P322" s="17"/>
      <c r="Q322" s="17"/>
      <c r="R322" s="39"/>
      <c r="S322" s="139"/>
      <c r="T322" s="285"/>
      <c r="U322" s="1" t="str">
        <f t="shared" si="124"/>
        <v>Normal</v>
      </c>
      <c r="V322" s="1" t="str">
        <f t="shared" si="125"/>
        <v>Normal</v>
      </c>
      <c r="W322" s="18">
        <f t="shared" si="126"/>
        <v>0</v>
      </c>
      <c r="X322" s="18">
        <f t="shared" si="127"/>
        <v>0</v>
      </c>
    </row>
    <row r="323" spans="1:24">
      <c r="A323" s="21">
        <v>45704</v>
      </c>
      <c r="B323" s="16">
        <f>IF(YEAR(Table6[[#This Row],[Date]]) = 2024, WEEKNUM(Table6[[#This Row],[Date]])-13, WEEKNUM(Table6[[#This Row],[Date]])+40)</f>
        <v>48</v>
      </c>
      <c r="C323" s="31"/>
      <c r="D323" s="31"/>
      <c r="E323" s="1"/>
      <c r="F323" s="1"/>
      <c r="G323" s="61"/>
      <c r="H323" s="61"/>
      <c r="I323" s="1"/>
      <c r="J323" s="1"/>
      <c r="K323" s="1"/>
      <c r="L323" s="1"/>
      <c r="M323" s="17"/>
      <c r="N323" s="17"/>
      <c r="O323" s="17"/>
      <c r="P323" s="17"/>
      <c r="Q323" s="17"/>
      <c r="R323" s="39"/>
      <c r="S323" s="139"/>
      <c r="T323" s="285"/>
      <c r="U323" s="1" t="str">
        <f t="shared" ref="U323:U366" si="128">IF(OR(G323&lt;$AB$5,G323&gt;$AC$5), "Outlier", "Normal")</f>
        <v>Normal</v>
      </c>
      <c r="V323" s="1" t="str">
        <f t="shared" ref="V323:V366" si="129">IF(OR(H323&lt;$AB$6,H323&gt;$AC$6), "Outlier", "Normal")</f>
        <v>Normal</v>
      </c>
      <c r="W323" s="18">
        <f t="shared" ref="W323:W366" si="130">IF(U323="Normal",$G323,IF($G323&lt;250%, $G323, $AB$9))</f>
        <v>0</v>
      </c>
      <c r="X323" s="18">
        <f t="shared" ref="X323:X366" si="131">IF(V323="Normal",$H323,IF($H323&lt;250%, $H323, $AF$9))</f>
        <v>0</v>
      </c>
    </row>
    <row r="324" spans="1:24">
      <c r="A324" s="21">
        <v>45705</v>
      </c>
      <c r="B324" s="16">
        <f>IF(YEAR(Table6[[#This Row],[Date]]) = 2024, WEEKNUM(Table6[[#This Row],[Date]])-13, WEEKNUM(Table6[[#This Row],[Date]])+40)</f>
        <v>48</v>
      </c>
      <c r="C324" s="31"/>
      <c r="D324" s="31"/>
      <c r="E324" s="1"/>
      <c r="F324" s="1"/>
      <c r="G324" s="61"/>
      <c r="H324" s="61"/>
      <c r="I324" s="1"/>
      <c r="J324" s="1"/>
      <c r="K324" s="1"/>
      <c r="L324" s="1"/>
      <c r="M324" s="17"/>
      <c r="N324" s="17"/>
      <c r="O324" s="17"/>
      <c r="P324" s="17"/>
      <c r="Q324" s="17"/>
      <c r="R324" s="39"/>
      <c r="S324" s="139"/>
      <c r="T324" s="285"/>
      <c r="U324" s="1" t="str">
        <f t="shared" si="128"/>
        <v>Normal</v>
      </c>
      <c r="V324" s="1" t="str">
        <f t="shared" si="129"/>
        <v>Normal</v>
      </c>
      <c r="W324" s="18">
        <f t="shared" si="130"/>
        <v>0</v>
      </c>
      <c r="X324" s="18">
        <f t="shared" si="131"/>
        <v>0</v>
      </c>
    </row>
    <row r="325" spans="1:24">
      <c r="A325" s="21">
        <v>45706</v>
      </c>
      <c r="B325" s="16">
        <f>IF(YEAR(Table6[[#This Row],[Date]]) = 2024, WEEKNUM(Table6[[#This Row],[Date]])-13, WEEKNUM(Table6[[#This Row],[Date]])+40)</f>
        <v>48</v>
      </c>
      <c r="C325" s="31"/>
      <c r="D325" s="31"/>
      <c r="E325" s="1"/>
      <c r="F325" s="1"/>
      <c r="G325" s="61"/>
      <c r="H325" s="61"/>
      <c r="I325" s="1"/>
      <c r="J325" s="1"/>
      <c r="K325" s="1"/>
      <c r="L325" s="1"/>
      <c r="M325" s="17"/>
      <c r="N325" s="17"/>
      <c r="O325" s="17"/>
      <c r="P325" s="17"/>
      <c r="Q325" s="17"/>
      <c r="R325" s="39"/>
      <c r="S325" s="139"/>
      <c r="T325" s="285"/>
      <c r="U325" s="1" t="str">
        <f t="shared" si="128"/>
        <v>Normal</v>
      </c>
      <c r="V325" s="1" t="str">
        <f t="shared" si="129"/>
        <v>Normal</v>
      </c>
      <c r="W325" s="18">
        <f t="shared" si="130"/>
        <v>0</v>
      </c>
      <c r="X325" s="18">
        <f t="shared" si="131"/>
        <v>0</v>
      </c>
    </row>
    <row r="326" spans="1:24">
      <c r="A326" s="21">
        <v>45707</v>
      </c>
      <c r="B326" s="16">
        <f>IF(YEAR(Table6[[#This Row],[Date]]) = 2024, WEEKNUM(Table6[[#This Row],[Date]])-13, WEEKNUM(Table6[[#This Row],[Date]])+40)</f>
        <v>48</v>
      </c>
      <c r="C326" s="31"/>
      <c r="D326" s="31"/>
      <c r="E326" s="1"/>
      <c r="F326" s="1"/>
      <c r="G326" s="61"/>
      <c r="H326" s="61"/>
      <c r="I326" s="1"/>
      <c r="J326" s="1"/>
      <c r="K326" s="1"/>
      <c r="L326" s="1"/>
      <c r="M326" s="17"/>
      <c r="N326" s="17"/>
      <c r="O326" s="17"/>
      <c r="P326" s="17"/>
      <c r="Q326" s="17"/>
      <c r="R326" s="39"/>
      <c r="S326" s="139"/>
      <c r="T326" s="285"/>
      <c r="U326" s="1" t="str">
        <f t="shared" si="128"/>
        <v>Normal</v>
      </c>
      <c r="V326" s="1" t="str">
        <f t="shared" si="129"/>
        <v>Normal</v>
      </c>
      <c r="W326" s="18">
        <f t="shared" si="130"/>
        <v>0</v>
      </c>
      <c r="X326" s="18">
        <f t="shared" si="131"/>
        <v>0</v>
      </c>
    </row>
    <row r="327" spans="1:24">
      <c r="A327" s="21">
        <v>45708</v>
      </c>
      <c r="B327" s="16">
        <f>IF(YEAR(Table6[[#This Row],[Date]]) = 2024, WEEKNUM(Table6[[#This Row],[Date]])-13, WEEKNUM(Table6[[#This Row],[Date]])+40)</f>
        <v>48</v>
      </c>
      <c r="C327" s="31"/>
      <c r="D327" s="31"/>
      <c r="E327" s="1"/>
      <c r="F327" s="1"/>
      <c r="G327" s="61"/>
      <c r="H327" s="61"/>
      <c r="I327" s="1"/>
      <c r="J327" s="1"/>
      <c r="K327" s="1"/>
      <c r="L327" s="1"/>
      <c r="M327" s="17"/>
      <c r="N327" s="17"/>
      <c r="O327" s="17"/>
      <c r="P327" s="17"/>
      <c r="Q327" s="17"/>
      <c r="R327" s="39"/>
      <c r="S327" s="139"/>
      <c r="T327" s="285"/>
      <c r="U327" s="1" t="str">
        <f t="shared" si="128"/>
        <v>Normal</v>
      </c>
      <c r="V327" s="1" t="str">
        <f t="shared" si="129"/>
        <v>Normal</v>
      </c>
      <c r="W327" s="18">
        <f t="shared" si="130"/>
        <v>0</v>
      </c>
      <c r="X327" s="18">
        <f t="shared" si="131"/>
        <v>0</v>
      </c>
    </row>
    <row r="328" spans="1:24">
      <c r="A328" s="21">
        <v>45709</v>
      </c>
      <c r="B328" s="16">
        <f>IF(YEAR(Table6[[#This Row],[Date]]) = 2024, WEEKNUM(Table6[[#This Row],[Date]])-13, WEEKNUM(Table6[[#This Row],[Date]])+40)</f>
        <v>48</v>
      </c>
      <c r="C328" s="31"/>
      <c r="D328" s="31"/>
      <c r="E328" s="1"/>
      <c r="F328" s="1"/>
      <c r="G328" s="61"/>
      <c r="H328" s="61"/>
      <c r="I328" s="1"/>
      <c r="J328" s="1"/>
      <c r="K328" s="1"/>
      <c r="L328" s="1"/>
      <c r="M328" s="17"/>
      <c r="N328" s="17"/>
      <c r="O328" s="17"/>
      <c r="P328" s="17"/>
      <c r="Q328" s="17"/>
      <c r="R328" s="39"/>
      <c r="S328" s="139"/>
      <c r="T328" s="285"/>
      <c r="U328" s="1" t="str">
        <f t="shared" si="128"/>
        <v>Normal</v>
      </c>
      <c r="V328" s="1" t="str">
        <f t="shared" si="129"/>
        <v>Normal</v>
      </c>
      <c r="W328" s="18">
        <f t="shared" si="130"/>
        <v>0</v>
      </c>
      <c r="X328" s="18">
        <f t="shared" si="131"/>
        <v>0</v>
      </c>
    </row>
    <row r="329" spans="1:24">
      <c r="A329" s="21">
        <v>45710</v>
      </c>
      <c r="B329" s="16">
        <f>IF(YEAR(Table6[[#This Row],[Date]]) = 2024, WEEKNUM(Table6[[#This Row],[Date]])-13, WEEKNUM(Table6[[#This Row],[Date]])+40)</f>
        <v>48</v>
      </c>
      <c r="C329" s="31"/>
      <c r="D329" s="31"/>
      <c r="E329" s="1"/>
      <c r="F329" s="1"/>
      <c r="G329" s="61"/>
      <c r="H329" s="61"/>
      <c r="I329" s="1"/>
      <c r="J329" s="1"/>
      <c r="K329" s="1"/>
      <c r="L329" s="1"/>
      <c r="M329" s="17"/>
      <c r="N329" s="17"/>
      <c r="O329" s="17"/>
      <c r="P329" s="17"/>
      <c r="Q329" s="17"/>
      <c r="R329" s="39"/>
      <c r="S329" s="139"/>
      <c r="T329" s="285"/>
      <c r="U329" s="1" t="str">
        <f t="shared" si="128"/>
        <v>Normal</v>
      </c>
      <c r="V329" s="1" t="str">
        <f t="shared" si="129"/>
        <v>Normal</v>
      </c>
      <c r="W329" s="18">
        <f t="shared" si="130"/>
        <v>0</v>
      </c>
      <c r="X329" s="18">
        <f t="shared" si="131"/>
        <v>0</v>
      </c>
    </row>
    <row r="330" spans="1:24">
      <c r="A330" s="21">
        <v>45711</v>
      </c>
      <c r="B330" s="16">
        <f>IF(YEAR(Table6[[#This Row],[Date]]) = 2024, WEEKNUM(Table6[[#This Row],[Date]])-13, WEEKNUM(Table6[[#This Row],[Date]])+40)</f>
        <v>49</v>
      </c>
      <c r="C330" s="31"/>
      <c r="D330" s="31"/>
      <c r="E330" s="1"/>
      <c r="F330" s="1"/>
      <c r="G330" s="61"/>
      <c r="H330" s="61"/>
      <c r="I330" s="1"/>
      <c r="J330" s="1"/>
      <c r="K330" s="1"/>
      <c r="L330" s="1"/>
      <c r="M330" s="17"/>
      <c r="N330" s="17"/>
      <c r="O330" s="17"/>
      <c r="P330" s="17"/>
      <c r="Q330" s="17"/>
      <c r="R330" s="39"/>
      <c r="S330" s="139"/>
      <c r="T330" s="285"/>
      <c r="U330" s="1" t="str">
        <f t="shared" si="128"/>
        <v>Normal</v>
      </c>
      <c r="V330" s="1" t="str">
        <f t="shared" si="129"/>
        <v>Normal</v>
      </c>
      <c r="W330" s="18">
        <f t="shared" si="130"/>
        <v>0</v>
      </c>
      <c r="X330" s="18">
        <f t="shared" si="131"/>
        <v>0</v>
      </c>
    </row>
    <row r="331" spans="1:24">
      <c r="A331" s="21">
        <v>45712</v>
      </c>
      <c r="B331" s="16">
        <f>IF(YEAR(Table6[[#This Row],[Date]]) = 2024, WEEKNUM(Table6[[#This Row],[Date]])-13, WEEKNUM(Table6[[#This Row],[Date]])+40)</f>
        <v>49</v>
      </c>
      <c r="C331" s="31"/>
      <c r="D331" s="31"/>
      <c r="E331" s="1"/>
      <c r="F331" s="1"/>
      <c r="G331" s="61"/>
      <c r="H331" s="61"/>
      <c r="I331" s="1"/>
      <c r="J331" s="1"/>
      <c r="K331" s="1"/>
      <c r="L331" s="1"/>
      <c r="M331" s="17"/>
      <c r="N331" s="17"/>
      <c r="O331" s="17"/>
      <c r="P331" s="17"/>
      <c r="Q331" s="17"/>
      <c r="R331" s="39"/>
      <c r="S331" s="139"/>
      <c r="T331" s="285"/>
      <c r="U331" s="1" t="str">
        <f t="shared" si="128"/>
        <v>Normal</v>
      </c>
      <c r="V331" s="1" t="str">
        <f t="shared" si="129"/>
        <v>Normal</v>
      </c>
      <c r="W331" s="18">
        <f t="shared" si="130"/>
        <v>0</v>
      </c>
      <c r="X331" s="18">
        <f t="shared" si="131"/>
        <v>0</v>
      </c>
    </row>
    <row r="332" spans="1:24">
      <c r="A332" s="21">
        <v>45713</v>
      </c>
      <c r="B332" s="16">
        <f>IF(YEAR(Table6[[#This Row],[Date]]) = 2024, WEEKNUM(Table6[[#This Row],[Date]])-13, WEEKNUM(Table6[[#This Row],[Date]])+40)</f>
        <v>49</v>
      </c>
      <c r="C332" s="31"/>
      <c r="D332" s="31"/>
      <c r="E332" s="1"/>
      <c r="F332" s="1"/>
      <c r="G332" s="61"/>
      <c r="H332" s="61"/>
      <c r="I332" s="1"/>
      <c r="J332" s="1"/>
      <c r="K332" s="1"/>
      <c r="L332" s="1"/>
      <c r="M332" s="17"/>
      <c r="N332" s="17"/>
      <c r="O332" s="17"/>
      <c r="P332" s="17"/>
      <c r="Q332" s="17"/>
      <c r="R332" s="39"/>
      <c r="S332" s="139"/>
      <c r="T332" s="285"/>
      <c r="U332" s="1" t="str">
        <f t="shared" si="128"/>
        <v>Normal</v>
      </c>
      <c r="V332" s="1" t="str">
        <f t="shared" si="129"/>
        <v>Normal</v>
      </c>
      <c r="W332" s="18">
        <f t="shared" si="130"/>
        <v>0</v>
      </c>
      <c r="X332" s="18">
        <f t="shared" si="131"/>
        <v>0</v>
      </c>
    </row>
    <row r="333" spans="1:24">
      <c r="A333" s="21">
        <v>45714</v>
      </c>
      <c r="B333" s="16">
        <f>IF(YEAR(Table6[[#This Row],[Date]]) = 2024, WEEKNUM(Table6[[#This Row],[Date]])-13, WEEKNUM(Table6[[#This Row],[Date]])+40)</f>
        <v>49</v>
      </c>
      <c r="C333" s="31"/>
      <c r="D333" s="31"/>
      <c r="E333" s="1"/>
      <c r="F333" s="1"/>
      <c r="G333" s="61"/>
      <c r="H333" s="61"/>
      <c r="I333" s="1"/>
      <c r="J333" s="1"/>
      <c r="K333" s="1"/>
      <c r="L333" s="1"/>
      <c r="M333" s="17"/>
      <c r="N333" s="17"/>
      <c r="O333" s="17"/>
      <c r="P333" s="17"/>
      <c r="Q333" s="17"/>
      <c r="R333" s="39"/>
      <c r="S333" s="139"/>
      <c r="T333" s="285"/>
      <c r="U333" s="1" t="str">
        <f t="shared" si="128"/>
        <v>Normal</v>
      </c>
      <c r="V333" s="1" t="str">
        <f t="shared" si="129"/>
        <v>Normal</v>
      </c>
      <c r="W333" s="18">
        <f t="shared" si="130"/>
        <v>0</v>
      </c>
      <c r="X333" s="18">
        <f t="shared" si="131"/>
        <v>0</v>
      </c>
    </row>
    <row r="334" spans="1:24">
      <c r="A334" s="21">
        <v>45715</v>
      </c>
      <c r="B334" s="16">
        <f>IF(YEAR(Table6[[#This Row],[Date]]) = 2024, WEEKNUM(Table6[[#This Row],[Date]])-13, WEEKNUM(Table6[[#This Row],[Date]])+40)</f>
        <v>49</v>
      </c>
      <c r="C334" s="31"/>
      <c r="D334" s="31"/>
      <c r="E334" s="1"/>
      <c r="F334" s="1"/>
      <c r="G334" s="61"/>
      <c r="H334" s="61"/>
      <c r="I334" s="1"/>
      <c r="J334" s="1"/>
      <c r="K334" s="1"/>
      <c r="L334" s="1"/>
      <c r="M334" s="17"/>
      <c r="N334" s="17"/>
      <c r="O334" s="17"/>
      <c r="P334" s="17"/>
      <c r="Q334" s="17"/>
      <c r="R334" s="39"/>
      <c r="S334" s="139"/>
      <c r="T334" s="285"/>
      <c r="U334" s="1" t="str">
        <f t="shared" si="128"/>
        <v>Normal</v>
      </c>
      <c r="V334" s="1" t="str">
        <f t="shared" si="129"/>
        <v>Normal</v>
      </c>
      <c r="W334" s="18">
        <f t="shared" si="130"/>
        <v>0</v>
      </c>
      <c r="X334" s="18">
        <f t="shared" si="131"/>
        <v>0</v>
      </c>
    </row>
    <row r="335" spans="1:24">
      <c r="A335" s="21">
        <v>45716</v>
      </c>
      <c r="B335" s="16">
        <f>IF(YEAR(Table6[[#This Row],[Date]]) = 2024, WEEKNUM(Table6[[#This Row],[Date]])-13, WEEKNUM(Table6[[#This Row],[Date]])+40)</f>
        <v>49</v>
      </c>
      <c r="C335" s="31"/>
      <c r="D335" s="31"/>
      <c r="E335" s="1"/>
      <c r="F335" s="1"/>
      <c r="G335" s="61"/>
      <c r="H335" s="61"/>
      <c r="I335" s="1"/>
      <c r="J335" s="1"/>
      <c r="K335" s="1"/>
      <c r="L335" s="1"/>
      <c r="M335" s="17"/>
      <c r="N335" s="17"/>
      <c r="O335" s="17"/>
      <c r="P335" s="17"/>
      <c r="Q335" s="17"/>
      <c r="R335" s="39"/>
      <c r="S335" s="139"/>
      <c r="T335" s="285"/>
      <c r="U335" s="1" t="str">
        <f t="shared" si="128"/>
        <v>Normal</v>
      </c>
      <c r="V335" s="1" t="str">
        <f t="shared" si="129"/>
        <v>Normal</v>
      </c>
      <c r="W335" s="18">
        <f t="shared" si="130"/>
        <v>0</v>
      </c>
      <c r="X335" s="18">
        <f t="shared" si="131"/>
        <v>0</v>
      </c>
    </row>
    <row r="336" spans="1:24" s="45" customFormat="1">
      <c r="A336" s="21">
        <v>45717</v>
      </c>
      <c r="B336" s="16">
        <f>IF(YEAR(Table6[[#This Row],[Date]]) = 2024, WEEKNUM(Table6[[#This Row],[Date]])-13, WEEKNUM(Table6[[#This Row],[Date]])+40)</f>
        <v>49</v>
      </c>
      <c r="C336" s="90"/>
      <c r="D336" s="31"/>
      <c r="E336" s="1"/>
      <c r="F336" s="1"/>
      <c r="G336" s="61"/>
      <c r="H336" s="61"/>
      <c r="I336" s="1"/>
      <c r="J336" s="1"/>
      <c r="K336" s="1"/>
      <c r="L336" s="1"/>
      <c r="M336" s="17"/>
      <c r="N336" s="17"/>
      <c r="O336" s="17"/>
      <c r="P336" s="17"/>
      <c r="Q336" s="17"/>
      <c r="R336" s="39"/>
      <c r="S336" s="139"/>
      <c r="T336" s="285"/>
      <c r="U336" s="1" t="str">
        <f t="shared" si="128"/>
        <v>Normal</v>
      </c>
      <c r="V336" s="1" t="str">
        <f t="shared" si="129"/>
        <v>Normal</v>
      </c>
      <c r="W336" s="18">
        <f t="shared" si="130"/>
        <v>0</v>
      </c>
      <c r="X336" s="18">
        <f t="shared" si="131"/>
        <v>0</v>
      </c>
    </row>
    <row r="337" spans="1:24">
      <c r="A337" s="21">
        <v>45718</v>
      </c>
      <c r="B337" s="16">
        <f>IF(YEAR(Table6[[#This Row],[Date]]) = 2024, WEEKNUM(Table6[[#This Row],[Date]])-13, WEEKNUM(Table6[[#This Row],[Date]])+40)</f>
        <v>50</v>
      </c>
      <c r="C337" s="31"/>
      <c r="D337" s="31"/>
      <c r="E337" s="1"/>
      <c r="F337" s="1"/>
      <c r="G337" s="61"/>
      <c r="H337" s="61"/>
      <c r="I337" s="1"/>
      <c r="J337" s="1"/>
      <c r="K337" s="1"/>
      <c r="L337" s="1"/>
      <c r="M337" s="17"/>
      <c r="N337" s="17"/>
      <c r="O337" s="17"/>
      <c r="P337" s="17"/>
      <c r="Q337" s="17"/>
      <c r="R337" s="39"/>
      <c r="S337" s="139"/>
      <c r="T337" s="285"/>
      <c r="U337" s="1" t="str">
        <f t="shared" si="128"/>
        <v>Normal</v>
      </c>
      <c r="V337" s="1" t="str">
        <f t="shared" si="129"/>
        <v>Normal</v>
      </c>
      <c r="W337" s="18">
        <f t="shared" si="130"/>
        <v>0</v>
      </c>
      <c r="X337" s="18">
        <f t="shared" si="131"/>
        <v>0</v>
      </c>
    </row>
    <row r="338" spans="1:24">
      <c r="A338" s="21">
        <v>45719</v>
      </c>
      <c r="B338" s="16">
        <f>IF(YEAR(Table6[[#This Row],[Date]]) = 2024, WEEKNUM(Table6[[#This Row],[Date]])-13, WEEKNUM(Table6[[#This Row],[Date]])+40)</f>
        <v>50</v>
      </c>
      <c r="C338" s="31"/>
      <c r="D338" s="31"/>
      <c r="E338" s="1"/>
      <c r="F338" s="1"/>
      <c r="G338" s="61"/>
      <c r="H338" s="61"/>
      <c r="I338" s="1"/>
      <c r="J338" s="1"/>
      <c r="K338" s="1"/>
      <c r="L338" s="1"/>
      <c r="M338" s="17"/>
      <c r="N338" s="17"/>
      <c r="O338" s="17"/>
      <c r="P338" s="17"/>
      <c r="Q338" s="17"/>
      <c r="R338" s="39"/>
      <c r="S338" s="139"/>
      <c r="T338" s="285"/>
      <c r="U338" s="1" t="str">
        <f t="shared" si="128"/>
        <v>Normal</v>
      </c>
      <c r="V338" s="1" t="str">
        <f t="shared" si="129"/>
        <v>Normal</v>
      </c>
      <c r="W338" s="18">
        <f t="shared" si="130"/>
        <v>0</v>
      </c>
      <c r="X338" s="18">
        <f t="shared" si="131"/>
        <v>0</v>
      </c>
    </row>
    <row r="339" spans="1:24">
      <c r="A339" s="21">
        <v>45720</v>
      </c>
      <c r="B339" s="16">
        <f>IF(YEAR(Table6[[#This Row],[Date]]) = 2024, WEEKNUM(Table6[[#This Row],[Date]])-13, WEEKNUM(Table6[[#This Row],[Date]])+40)</f>
        <v>50</v>
      </c>
      <c r="C339" s="31"/>
      <c r="D339" s="31"/>
      <c r="E339" s="1"/>
      <c r="F339" s="1"/>
      <c r="G339" s="61"/>
      <c r="H339" s="61"/>
      <c r="I339" s="1"/>
      <c r="J339" s="1"/>
      <c r="K339" s="1"/>
      <c r="L339" s="1"/>
      <c r="M339" s="17"/>
      <c r="N339" s="17"/>
      <c r="O339" s="17"/>
      <c r="P339" s="17"/>
      <c r="Q339" s="17"/>
      <c r="R339" s="39"/>
      <c r="S339" s="139"/>
      <c r="T339" s="285"/>
      <c r="U339" s="1" t="str">
        <f t="shared" si="128"/>
        <v>Normal</v>
      </c>
      <c r="V339" s="1" t="str">
        <f t="shared" si="129"/>
        <v>Normal</v>
      </c>
      <c r="W339" s="18">
        <f t="shared" si="130"/>
        <v>0</v>
      </c>
      <c r="X339" s="18">
        <f t="shared" si="131"/>
        <v>0</v>
      </c>
    </row>
    <row r="340" spans="1:24">
      <c r="A340" s="21">
        <v>45721</v>
      </c>
      <c r="B340" s="16">
        <f>IF(YEAR(Table6[[#This Row],[Date]]) = 2024, WEEKNUM(Table6[[#This Row],[Date]])-13, WEEKNUM(Table6[[#This Row],[Date]])+40)</f>
        <v>50</v>
      </c>
      <c r="C340" s="31"/>
      <c r="D340" s="31"/>
      <c r="E340" s="1"/>
      <c r="F340" s="1"/>
      <c r="G340" s="61"/>
      <c r="H340" s="61"/>
      <c r="I340" s="1"/>
      <c r="J340" s="1"/>
      <c r="K340" s="1"/>
      <c r="L340" s="1"/>
      <c r="M340" s="17"/>
      <c r="N340" s="17"/>
      <c r="O340" s="17"/>
      <c r="P340" s="17"/>
      <c r="Q340" s="17"/>
      <c r="R340" s="39"/>
      <c r="S340" s="139"/>
      <c r="T340" s="285"/>
      <c r="U340" s="1" t="str">
        <f t="shared" si="128"/>
        <v>Normal</v>
      </c>
      <c r="V340" s="1" t="str">
        <f t="shared" si="129"/>
        <v>Normal</v>
      </c>
      <c r="W340" s="18">
        <f t="shared" si="130"/>
        <v>0</v>
      </c>
      <c r="X340" s="18">
        <f t="shared" si="131"/>
        <v>0</v>
      </c>
    </row>
    <row r="341" spans="1:24">
      <c r="A341" s="21">
        <v>45722</v>
      </c>
      <c r="B341" s="16">
        <f>IF(YEAR(Table6[[#This Row],[Date]]) = 2024, WEEKNUM(Table6[[#This Row],[Date]])-13, WEEKNUM(Table6[[#This Row],[Date]])+40)</f>
        <v>50</v>
      </c>
      <c r="C341" s="31"/>
      <c r="D341" s="31"/>
      <c r="E341" s="1"/>
      <c r="F341" s="1"/>
      <c r="G341" s="61"/>
      <c r="H341" s="61"/>
      <c r="I341" s="1"/>
      <c r="J341" s="1"/>
      <c r="K341" s="1"/>
      <c r="L341" s="1"/>
      <c r="M341" s="17"/>
      <c r="N341" s="17"/>
      <c r="O341" s="17"/>
      <c r="P341" s="17"/>
      <c r="Q341" s="17"/>
      <c r="R341" s="39"/>
      <c r="S341" s="139"/>
      <c r="T341" s="285"/>
      <c r="U341" s="1" t="str">
        <f t="shared" si="128"/>
        <v>Normal</v>
      </c>
      <c r="V341" s="1" t="str">
        <f t="shared" si="129"/>
        <v>Normal</v>
      </c>
      <c r="W341" s="18">
        <f t="shared" si="130"/>
        <v>0</v>
      </c>
      <c r="X341" s="18">
        <f t="shared" si="131"/>
        <v>0</v>
      </c>
    </row>
    <row r="342" spans="1:24">
      <c r="A342" s="21">
        <v>45723</v>
      </c>
      <c r="B342" s="16">
        <f>IF(YEAR(Table6[[#This Row],[Date]]) = 2024, WEEKNUM(Table6[[#This Row],[Date]])-13, WEEKNUM(Table6[[#This Row],[Date]])+40)</f>
        <v>50</v>
      </c>
      <c r="C342" s="30"/>
      <c r="D342" s="31"/>
      <c r="E342" s="1"/>
      <c r="F342" s="1"/>
      <c r="G342" s="61"/>
      <c r="H342" s="61"/>
      <c r="I342" s="1"/>
      <c r="J342" s="1"/>
      <c r="K342" s="1"/>
      <c r="L342" s="1"/>
      <c r="M342" s="17"/>
      <c r="N342" s="17"/>
      <c r="O342" s="17"/>
      <c r="P342" s="17"/>
      <c r="Q342" s="17"/>
      <c r="R342" s="39"/>
      <c r="S342" s="139"/>
      <c r="T342" s="285"/>
      <c r="U342" s="1" t="str">
        <f t="shared" si="128"/>
        <v>Normal</v>
      </c>
      <c r="V342" s="1" t="str">
        <f t="shared" si="129"/>
        <v>Normal</v>
      </c>
      <c r="W342" s="18">
        <f t="shared" si="130"/>
        <v>0</v>
      </c>
      <c r="X342" s="18">
        <f t="shared" si="131"/>
        <v>0</v>
      </c>
    </row>
    <row r="343" spans="1:24">
      <c r="A343" s="21">
        <v>45724</v>
      </c>
      <c r="B343" s="16">
        <f>IF(YEAR(Table6[[#This Row],[Date]]) = 2024, WEEKNUM(Table6[[#This Row],[Date]])-13, WEEKNUM(Table6[[#This Row],[Date]])+40)</f>
        <v>50</v>
      </c>
      <c r="C343" s="31"/>
      <c r="D343" s="31"/>
      <c r="E343" s="1"/>
      <c r="F343" s="1"/>
      <c r="G343" s="61"/>
      <c r="H343" s="61"/>
      <c r="I343" s="1"/>
      <c r="J343" s="1"/>
      <c r="K343" s="1"/>
      <c r="L343" s="1"/>
      <c r="M343" s="17"/>
      <c r="N343" s="17"/>
      <c r="O343" s="17"/>
      <c r="P343" s="17"/>
      <c r="Q343" s="17"/>
      <c r="R343" s="39"/>
      <c r="S343" s="139"/>
      <c r="T343" s="285"/>
      <c r="U343" s="1" t="str">
        <f t="shared" si="128"/>
        <v>Normal</v>
      </c>
      <c r="V343" s="1" t="str">
        <f t="shared" si="129"/>
        <v>Normal</v>
      </c>
      <c r="W343" s="18">
        <f t="shared" si="130"/>
        <v>0</v>
      </c>
      <c r="X343" s="18">
        <f t="shared" si="131"/>
        <v>0</v>
      </c>
    </row>
    <row r="344" spans="1:24">
      <c r="A344" s="21">
        <v>45725</v>
      </c>
      <c r="B344" s="16">
        <f>IF(YEAR(Table6[[#This Row],[Date]]) = 2024, WEEKNUM(Table6[[#This Row],[Date]])-13, WEEKNUM(Table6[[#This Row],[Date]])+40)</f>
        <v>51</v>
      </c>
      <c r="C344" s="31"/>
      <c r="D344" s="31"/>
      <c r="E344" s="1"/>
      <c r="F344" s="1"/>
      <c r="G344" s="61"/>
      <c r="H344" s="61"/>
      <c r="I344" s="1"/>
      <c r="J344" s="1"/>
      <c r="K344" s="1"/>
      <c r="L344" s="1"/>
      <c r="M344" s="17"/>
      <c r="N344" s="17"/>
      <c r="O344" s="17"/>
      <c r="P344" s="17"/>
      <c r="Q344" s="17"/>
      <c r="R344" s="39"/>
      <c r="S344" s="139"/>
      <c r="T344" s="285"/>
      <c r="U344" s="1" t="str">
        <f t="shared" si="128"/>
        <v>Normal</v>
      </c>
      <c r="V344" s="1" t="str">
        <f t="shared" si="129"/>
        <v>Normal</v>
      </c>
      <c r="W344" s="18">
        <f t="shared" si="130"/>
        <v>0</v>
      </c>
      <c r="X344" s="18">
        <f t="shared" si="131"/>
        <v>0</v>
      </c>
    </row>
    <row r="345" spans="1:24">
      <c r="A345" s="21">
        <v>45726</v>
      </c>
      <c r="B345" s="16">
        <f>IF(YEAR(Table6[[#This Row],[Date]]) = 2024, WEEKNUM(Table6[[#This Row],[Date]])-13, WEEKNUM(Table6[[#This Row],[Date]])+40)</f>
        <v>51</v>
      </c>
      <c r="C345" s="31"/>
      <c r="D345" s="31"/>
      <c r="E345" s="1"/>
      <c r="F345" s="1"/>
      <c r="G345" s="61"/>
      <c r="H345" s="61"/>
      <c r="I345" s="1"/>
      <c r="J345" s="1"/>
      <c r="K345" s="1"/>
      <c r="L345" s="1"/>
      <c r="M345" s="17"/>
      <c r="N345" s="17"/>
      <c r="O345" s="17"/>
      <c r="P345" s="17"/>
      <c r="Q345" s="17"/>
      <c r="R345" s="39"/>
      <c r="S345" s="139"/>
      <c r="T345" s="285"/>
      <c r="U345" s="1" t="str">
        <f t="shared" si="128"/>
        <v>Normal</v>
      </c>
      <c r="V345" s="1" t="str">
        <f t="shared" si="129"/>
        <v>Normal</v>
      </c>
      <c r="W345" s="18">
        <f t="shared" si="130"/>
        <v>0</v>
      </c>
      <c r="X345" s="18">
        <f t="shared" si="131"/>
        <v>0</v>
      </c>
    </row>
    <row r="346" spans="1:24">
      <c r="A346" s="21">
        <v>45727</v>
      </c>
      <c r="B346" s="16">
        <f>IF(YEAR(Table6[[#This Row],[Date]]) = 2024, WEEKNUM(Table6[[#This Row],[Date]])-13, WEEKNUM(Table6[[#This Row],[Date]])+40)</f>
        <v>51</v>
      </c>
      <c r="C346" s="31"/>
      <c r="D346" s="31"/>
      <c r="E346" s="1"/>
      <c r="F346" s="1"/>
      <c r="G346" s="61"/>
      <c r="H346" s="61"/>
      <c r="I346" s="1"/>
      <c r="J346" s="1"/>
      <c r="K346" s="1"/>
      <c r="L346" s="1"/>
      <c r="M346" s="17"/>
      <c r="N346" s="17"/>
      <c r="O346" s="17"/>
      <c r="P346" s="17"/>
      <c r="Q346" s="17"/>
      <c r="R346" s="39"/>
      <c r="S346" s="139"/>
      <c r="T346" s="285"/>
      <c r="U346" s="1" t="str">
        <f t="shared" si="128"/>
        <v>Normal</v>
      </c>
      <c r="V346" s="1" t="str">
        <f t="shared" si="129"/>
        <v>Normal</v>
      </c>
      <c r="W346" s="18">
        <f t="shared" si="130"/>
        <v>0</v>
      </c>
      <c r="X346" s="18">
        <f t="shared" si="131"/>
        <v>0</v>
      </c>
    </row>
    <row r="347" spans="1:24">
      <c r="A347" s="21">
        <v>45728</v>
      </c>
      <c r="B347" s="16">
        <f>IF(YEAR(Table6[[#This Row],[Date]]) = 2024, WEEKNUM(Table6[[#This Row],[Date]])-13, WEEKNUM(Table6[[#This Row],[Date]])+40)</f>
        <v>51</v>
      </c>
      <c r="C347" s="31"/>
      <c r="D347" s="31"/>
      <c r="E347" s="1"/>
      <c r="F347" s="1"/>
      <c r="G347" s="61"/>
      <c r="H347" s="61"/>
      <c r="I347" s="1"/>
      <c r="J347" s="1"/>
      <c r="K347" s="1"/>
      <c r="L347" s="1"/>
      <c r="M347" s="17"/>
      <c r="N347" s="17"/>
      <c r="O347" s="17"/>
      <c r="P347" s="17"/>
      <c r="Q347" s="17"/>
      <c r="R347" s="39"/>
      <c r="S347" s="139"/>
      <c r="T347" s="285"/>
      <c r="U347" s="1" t="str">
        <f t="shared" si="128"/>
        <v>Normal</v>
      </c>
      <c r="V347" s="1" t="str">
        <f t="shared" si="129"/>
        <v>Normal</v>
      </c>
      <c r="W347" s="18">
        <f t="shared" si="130"/>
        <v>0</v>
      </c>
      <c r="X347" s="18">
        <f t="shared" si="131"/>
        <v>0</v>
      </c>
    </row>
    <row r="348" spans="1:24">
      <c r="A348" s="21">
        <v>45729</v>
      </c>
      <c r="B348" s="16">
        <f>IF(YEAR(Table6[[#This Row],[Date]]) = 2024, WEEKNUM(Table6[[#This Row],[Date]])-13, WEEKNUM(Table6[[#This Row],[Date]])+40)</f>
        <v>51</v>
      </c>
      <c r="C348" s="31"/>
      <c r="D348" s="31"/>
      <c r="E348" s="1"/>
      <c r="F348" s="1"/>
      <c r="G348" s="61"/>
      <c r="H348" s="61"/>
      <c r="I348" s="1"/>
      <c r="J348" s="1"/>
      <c r="K348" s="1"/>
      <c r="L348" s="1"/>
      <c r="M348" s="17"/>
      <c r="N348" s="17"/>
      <c r="O348" s="17"/>
      <c r="P348" s="17"/>
      <c r="Q348" s="17"/>
      <c r="R348" s="39"/>
      <c r="S348" s="139"/>
      <c r="T348" s="285"/>
      <c r="U348" s="1" t="str">
        <f t="shared" si="128"/>
        <v>Normal</v>
      </c>
      <c r="V348" s="1" t="str">
        <f t="shared" si="129"/>
        <v>Normal</v>
      </c>
      <c r="W348" s="18">
        <f t="shared" si="130"/>
        <v>0</v>
      </c>
      <c r="X348" s="18">
        <f t="shared" si="131"/>
        <v>0</v>
      </c>
    </row>
    <row r="349" spans="1:24">
      <c r="A349" s="21">
        <v>45730</v>
      </c>
      <c r="B349" s="16">
        <f>IF(YEAR(Table6[[#This Row],[Date]]) = 2024, WEEKNUM(Table6[[#This Row],[Date]])-13, WEEKNUM(Table6[[#This Row],[Date]])+40)</f>
        <v>51</v>
      </c>
      <c r="C349" s="31"/>
      <c r="D349" s="31"/>
      <c r="E349" s="1"/>
      <c r="F349" s="1"/>
      <c r="G349" s="61"/>
      <c r="H349" s="61"/>
      <c r="I349" s="1"/>
      <c r="J349" s="1"/>
      <c r="K349" s="1"/>
      <c r="L349" s="1"/>
      <c r="M349" s="17"/>
      <c r="N349" s="17"/>
      <c r="O349" s="17"/>
      <c r="P349" s="17"/>
      <c r="Q349" s="17"/>
      <c r="R349" s="39"/>
      <c r="S349" s="139"/>
      <c r="T349" s="285"/>
      <c r="U349" s="1" t="str">
        <f t="shared" si="128"/>
        <v>Normal</v>
      </c>
      <c r="V349" s="1" t="str">
        <f t="shared" si="129"/>
        <v>Normal</v>
      </c>
      <c r="W349" s="18">
        <f t="shared" si="130"/>
        <v>0</v>
      </c>
      <c r="X349" s="18">
        <f t="shared" si="131"/>
        <v>0</v>
      </c>
    </row>
    <row r="350" spans="1:24">
      <c r="A350" s="21">
        <v>45731</v>
      </c>
      <c r="B350" s="16">
        <f>IF(YEAR(Table6[[#This Row],[Date]]) = 2024, WEEKNUM(Table6[[#This Row],[Date]])-13, WEEKNUM(Table6[[#This Row],[Date]])+40)</f>
        <v>51</v>
      </c>
      <c r="C350" s="31"/>
      <c r="D350" s="31"/>
      <c r="E350" s="1"/>
      <c r="F350" s="1"/>
      <c r="G350" s="61"/>
      <c r="H350" s="61"/>
      <c r="I350" s="1"/>
      <c r="J350" s="1"/>
      <c r="K350" s="1"/>
      <c r="L350" s="1"/>
      <c r="M350" s="17"/>
      <c r="N350" s="17"/>
      <c r="O350" s="17"/>
      <c r="P350" s="17"/>
      <c r="Q350" s="17"/>
      <c r="R350" s="39"/>
      <c r="S350" s="139"/>
      <c r="T350" s="285"/>
      <c r="U350" s="1" t="str">
        <f t="shared" si="128"/>
        <v>Normal</v>
      </c>
      <c r="V350" s="1" t="str">
        <f t="shared" si="129"/>
        <v>Normal</v>
      </c>
      <c r="W350" s="18">
        <f t="shared" si="130"/>
        <v>0</v>
      </c>
      <c r="X350" s="18">
        <f t="shared" si="131"/>
        <v>0</v>
      </c>
    </row>
    <row r="351" spans="1:24">
      <c r="A351" s="21">
        <v>45732</v>
      </c>
      <c r="B351" s="16">
        <f>IF(YEAR(Table6[[#This Row],[Date]]) = 2024, WEEKNUM(Table6[[#This Row],[Date]])-13, WEEKNUM(Table6[[#This Row],[Date]])+40)</f>
        <v>52</v>
      </c>
      <c r="C351" s="31"/>
      <c r="D351" s="31"/>
      <c r="E351" s="1"/>
      <c r="F351" s="1"/>
      <c r="G351" s="61"/>
      <c r="H351" s="61"/>
      <c r="I351" s="1"/>
      <c r="J351" s="1"/>
      <c r="K351" s="1"/>
      <c r="L351" s="1"/>
      <c r="M351" s="17"/>
      <c r="N351" s="17"/>
      <c r="O351" s="17"/>
      <c r="P351" s="17"/>
      <c r="Q351" s="17"/>
      <c r="R351" s="39"/>
      <c r="S351" s="139"/>
      <c r="T351" s="285"/>
      <c r="U351" s="1" t="str">
        <f t="shared" si="128"/>
        <v>Normal</v>
      </c>
      <c r="V351" s="1" t="str">
        <f t="shared" si="129"/>
        <v>Normal</v>
      </c>
      <c r="W351" s="18">
        <f t="shared" si="130"/>
        <v>0</v>
      </c>
      <c r="X351" s="18">
        <f t="shared" si="131"/>
        <v>0</v>
      </c>
    </row>
    <row r="352" spans="1:24">
      <c r="A352" s="21">
        <v>45733</v>
      </c>
      <c r="B352" s="16">
        <f>IF(YEAR(Table6[[#This Row],[Date]]) = 2024, WEEKNUM(Table6[[#This Row],[Date]])-13, WEEKNUM(Table6[[#This Row],[Date]])+40)</f>
        <v>52</v>
      </c>
      <c r="C352" s="31"/>
      <c r="D352" s="31"/>
      <c r="E352" s="1"/>
      <c r="F352" s="1"/>
      <c r="G352" s="61"/>
      <c r="H352" s="61"/>
      <c r="I352" s="1"/>
      <c r="J352" s="1"/>
      <c r="K352" s="1"/>
      <c r="L352" s="1"/>
      <c r="M352" s="17"/>
      <c r="N352" s="17"/>
      <c r="O352" s="17"/>
      <c r="P352" s="17"/>
      <c r="Q352" s="17"/>
      <c r="R352" s="39"/>
      <c r="S352" s="139"/>
      <c r="T352" s="285"/>
      <c r="U352" s="1" t="str">
        <f t="shared" si="128"/>
        <v>Normal</v>
      </c>
      <c r="V352" s="1" t="str">
        <f t="shared" si="129"/>
        <v>Normal</v>
      </c>
      <c r="W352" s="18">
        <f t="shared" si="130"/>
        <v>0</v>
      </c>
      <c r="X352" s="18">
        <f t="shared" si="131"/>
        <v>0</v>
      </c>
    </row>
    <row r="353" spans="1:24">
      <c r="A353" s="21">
        <v>45734</v>
      </c>
      <c r="B353" s="16">
        <f>IF(YEAR(Table6[[#This Row],[Date]]) = 2024, WEEKNUM(Table6[[#This Row],[Date]])-13, WEEKNUM(Table6[[#This Row],[Date]])+40)</f>
        <v>52</v>
      </c>
      <c r="C353" s="31"/>
      <c r="D353" s="31"/>
      <c r="E353" s="1"/>
      <c r="F353" s="1"/>
      <c r="G353" s="61"/>
      <c r="H353" s="61"/>
      <c r="I353" s="1"/>
      <c r="J353" s="1"/>
      <c r="K353" s="1"/>
      <c r="L353" s="1"/>
      <c r="M353" s="17"/>
      <c r="N353" s="17"/>
      <c r="O353" s="17"/>
      <c r="P353" s="17"/>
      <c r="Q353" s="17"/>
      <c r="R353" s="39"/>
      <c r="S353" s="139"/>
      <c r="T353" s="285"/>
      <c r="U353" s="1" t="str">
        <f t="shared" si="128"/>
        <v>Normal</v>
      </c>
      <c r="V353" s="1" t="str">
        <f t="shared" si="129"/>
        <v>Normal</v>
      </c>
      <c r="W353" s="18">
        <f t="shared" si="130"/>
        <v>0</v>
      </c>
      <c r="X353" s="18">
        <f t="shared" si="131"/>
        <v>0</v>
      </c>
    </row>
    <row r="354" spans="1:24">
      <c r="A354" s="21">
        <v>45735</v>
      </c>
      <c r="B354" s="16">
        <f>IF(YEAR(Table6[[#This Row],[Date]]) = 2024, WEEKNUM(Table6[[#This Row],[Date]])-13, WEEKNUM(Table6[[#This Row],[Date]])+40)</f>
        <v>52</v>
      </c>
      <c r="C354" s="31"/>
      <c r="D354" s="31"/>
      <c r="E354" s="1"/>
      <c r="F354" s="1"/>
      <c r="G354" s="61"/>
      <c r="H354" s="61"/>
      <c r="I354" s="1"/>
      <c r="J354" s="1"/>
      <c r="K354" s="1"/>
      <c r="L354" s="1"/>
      <c r="M354" s="17"/>
      <c r="N354" s="17"/>
      <c r="O354" s="17"/>
      <c r="P354" s="17"/>
      <c r="Q354" s="17"/>
      <c r="R354" s="39"/>
      <c r="S354" s="139"/>
      <c r="T354" s="285"/>
      <c r="U354" s="1" t="str">
        <f t="shared" si="128"/>
        <v>Normal</v>
      </c>
      <c r="V354" s="1" t="str">
        <f t="shared" si="129"/>
        <v>Normal</v>
      </c>
      <c r="W354" s="18">
        <f t="shared" si="130"/>
        <v>0</v>
      </c>
      <c r="X354" s="18">
        <f t="shared" si="131"/>
        <v>0</v>
      </c>
    </row>
    <row r="355" spans="1:24">
      <c r="A355" s="21">
        <v>45736</v>
      </c>
      <c r="B355" s="16">
        <f>IF(YEAR(Table6[[#This Row],[Date]]) = 2024, WEEKNUM(Table6[[#This Row],[Date]])-13, WEEKNUM(Table6[[#This Row],[Date]])+40)</f>
        <v>52</v>
      </c>
      <c r="C355" s="31"/>
      <c r="D355" s="31"/>
      <c r="E355" s="1"/>
      <c r="F355" s="1"/>
      <c r="G355" s="61"/>
      <c r="H355" s="61"/>
      <c r="I355" s="1"/>
      <c r="J355" s="1"/>
      <c r="K355" s="1"/>
      <c r="L355" s="1"/>
      <c r="M355" s="17"/>
      <c r="N355" s="17"/>
      <c r="O355" s="17"/>
      <c r="P355" s="17"/>
      <c r="Q355" s="17"/>
      <c r="R355" s="39"/>
      <c r="S355" s="139"/>
      <c r="T355" s="285"/>
      <c r="U355" s="1" t="str">
        <f t="shared" si="128"/>
        <v>Normal</v>
      </c>
      <c r="V355" s="1" t="str">
        <f t="shared" si="129"/>
        <v>Normal</v>
      </c>
      <c r="W355" s="18">
        <f t="shared" si="130"/>
        <v>0</v>
      </c>
      <c r="X355" s="18">
        <f t="shared" si="131"/>
        <v>0</v>
      </c>
    </row>
    <row r="356" spans="1:24">
      <c r="A356" s="21">
        <v>45737</v>
      </c>
      <c r="B356" s="16">
        <f>IF(YEAR(Table6[[#This Row],[Date]]) = 2024, WEEKNUM(Table6[[#This Row],[Date]])-13, WEEKNUM(Table6[[#This Row],[Date]])+40)</f>
        <v>52</v>
      </c>
      <c r="C356" s="30"/>
      <c r="D356" s="31"/>
      <c r="E356" s="1"/>
      <c r="F356" s="1"/>
      <c r="G356" s="61"/>
      <c r="H356" s="61"/>
      <c r="I356" s="1"/>
      <c r="J356" s="1"/>
      <c r="K356" s="1"/>
      <c r="L356" s="1"/>
      <c r="M356" s="17"/>
      <c r="N356" s="17"/>
      <c r="O356" s="17"/>
      <c r="P356" s="17"/>
      <c r="Q356" s="17"/>
      <c r="R356" s="39"/>
      <c r="S356" s="139"/>
      <c r="T356" s="285"/>
      <c r="U356" s="1" t="str">
        <f t="shared" si="128"/>
        <v>Normal</v>
      </c>
      <c r="V356" s="1" t="str">
        <f t="shared" si="129"/>
        <v>Normal</v>
      </c>
      <c r="W356" s="18">
        <f t="shared" si="130"/>
        <v>0</v>
      </c>
      <c r="X356" s="18">
        <f t="shared" si="131"/>
        <v>0</v>
      </c>
    </row>
    <row r="357" spans="1:24">
      <c r="A357" s="21">
        <v>45738</v>
      </c>
      <c r="B357" s="16">
        <f>IF(YEAR(Table6[[#This Row],[Date]]) = 2024, WEEKNUM(Table6[[#This Row],[Date]])-13, WEEKNUM(Table6[[#This Row],[Date]])+40)</f>
        <v>52</v>
      </c>
      <c r="C357" s="31"/>
      <c r="D357" s="31"/>
      <c r="E357" s="1"/>
      <c r="F357" s="1"/>
      <c r="G357" s="61"/>
      <c r="H357" s="61"/>
      <c r="I357" s="1"/>
      <c r="J357" s="1"/>
      <c r="K357" s="1"/>
      <c r="L357" s="1"/>
      <c r="M357" s="17"/>
      <c r="N357" s="17"/>
      <c r="O357" s="17"/>
      <c r="P357" s="17"/>
      <c r="Q357" s="17"/>
      <c r="R357" s="39"/>
      <c r="S357" s="139"/>
      <c r="T357" s="285"/>
      <c r="U357" s="1" t="str">
        <f t="shared" si="128"/>
        <v>Normal</v>
      </c>
      <c r="V357" s="1" t="str">
        <f t="shared" si="129"/>
        <v>Normal</v>
      </c>
      <c r="W357" s="18">
        <f t="shared" si="130"/>
        <v>0</v>
      </c>
      <c r="X357" s="18">
        <f t="shared" si="131"/>
        <v>0</v>
      </c>
    </row>
    <row r="358" spans="1:24">
      <c r="A358" s="21">
        <v>45739</v>
      </c>
      <c r="B358" s="16">
        <f>IF(YEAR(Table6[[#This Row],[Date]]) = 2024, WEEKNUM(Table6[[#This Row],[Date]])-13, WEEKNUM(Table6[[#This Row],[Date]])+40)</f>
        <v>53</v>
      </c>
      <c r="C358" s="30"/>
      <c r="D358" s="31"/>
      <c r="E358" s="1"/>
      <c r="F358" s="1"/>
      <c r="G358" s="61"/>
      <c r="H358" s="61"/>
      <c r="I358" s="1"/>
      <c r="J358" s="1"/>
      <c r="K358" s="1"/>
      <c r="L358" s="1"/>
      <c r="M358" s="17"/>
      <c r="N358" s="17"/>
      <c r="O358" s="17"/>
      <c r="P358" s="17"/>
      <c r="Q358" s="17"/>
      <c r="R358" s="39"/>
      <c r="S358" s="139"/>
      <c r="T358" s="285"/>
      <c r="U358" s="1" t="str">
        <f t="shared" si="128"/>
        <v>Normal</v>
      </c>
      <c r="V358" s="1" t="str">
        <f t="shared" si="129"/>
        <v>Normal</v>
      </c>
      <c r="W358" s="18">
        <f t="shared" si="130"/>
        <v>0</v>
      </c>
      <c r="X358" s="18">
        <f t="shared" si="131"/>
        <v>0</v>
      </c>
    </row>
    <row r="359" spans="1:24">
      <c r="A359" s="21">
        <v>45740</v>
      </c>
      <c r="B359" s="16">
        <f>IF(YEAR(Table6[[#This Row],[Date]]) = 2024, WEEKNUM(Table6[[#This Row],[Date]])-13, WEEKNUM(Table6[[#This Row],[Date]])+40)</f>
        <v>53</v>
      </c>
      <c r="C359" s="31"/>
      <c r="D359" s="31"/>
      <c r="E359" s="1"/>
      <c r="F359" s="1"/>
      <c r="G359" s="61"/>
      <c r="H359" s="61"/>
      <c r="I359" s="1"/>
      <c r="J359" s="1"/>
      <c r="K359" s="1"/>
      <c r="L359" s="1"/>
      <c r="M359" s="17"/>
      <c r="N359" s="17"/>
      <c r="O359" s="17"/>
      <c r="P359" s="17"/>
      <c r="Q359" s="17"/>
      <c r="R359" s="39"/>
      <c r="S359" s="139"/>
      <c r="T359" s="285"/>
      <c r="U359" s="1" t="str">
        <f t="shared" si="128"/>
        <v>Normal</v>
      </c>
      <c r="V359" s="1" t="str">
        <f t="shared" si="129"/>
        <v>Normal</v>
      </c>
      <c r="W359" s="18">
        <f t="shared" si="130"/>
        <v>0</v>
      </c>
      <c r="X359" s="18">
        <f t="shared" si="131"/>
        <v>0</v>
      </c>
    </row>
    <row r="360" spans="1:24">
      <c r="A360" s="21">
        <v>45741</v>
      </c>
      <c r="B360" s="16">
        <f>IF(YEAR(Table6[[#This Row],[Date]]) = 2024, WEEKNUM(Table6[[#This Row],[Date]])-13, WEEKNUM(Table6[[#This Row],[Date]])+40)</f>
        <v>53</v>
      </c>
      <c r="C360" s="30"/>
      <c r="D360" s="31"/>
      <c r="E360" s="1"/>
      <c r="F360" s="1"/>
      <c r="G360" s="61"/>
      <c r="H360" s="61"/>
      <c r="I360" s="1"/>
      <c r="J360" s="1"/>
      <c r="K360" s="1"/>
      <c r="L360" s="1"/>
      <c r="M360" s="17"/>
      <c r="N360" s="17"/>
      <c r="O360" s="17"/>
      <c r="P360" s="17"/>
      <c r="Q360" s="17"/>
      <c r="R360" s="39"/>
      <c r="S360" s="139"/>
      <c r="T360" s="285"/>
      <c r="U360" s="1" t="str">
        <f t="shared" si="128"/>
        <v>Normal</v>
      </c>
      <c r="V360" s="1" t="str">
        <f t="shared" si="129"/>
        <v>Normal</v>
      </c>
      <c r="W360" s="18">
        <f t="shared" si="130"/>
        <v>0</v>
      </c>
      <c r="X360" s="18">
        <f t="shared" si="131"/>
        <v>0</v>
      </c>
    </row>
    <row r="361" spans="1:24">
      <c r="A361" s="21">
        <v>45742</v>
      </c>
      <c r="B361" s="16">
        <f>IF(YEAR(Table6[[#This Row],[Date]]) = 2024, WEEKNUM(Table6[[#This Row],[Date]])-13, WEEKNUM(Table6[[#This Row],[Date]])+40)</f>
        <v>53</v>
      </c>
      <c r="C361" s="31"/>
      <c r="D361" s="31"/>
      <c r="E361" s="1"/>
      <c r="F361" s="1"/>
      <c r="G361" s="61"/>
      <c r="H361" s="61"/>
      <c r="I361" s="1"/>
      <c r="J361" s="1"/>
      <c r="K361" s="1"/>
      <c r="L361" s="1"/>
      <c r="M361" s="17"/>
      <c r="N361" s="17"/>
      <c r="O361" s="17"/>
      <c r="P361" s="17"/>
      <c r="Q361" s="17"/>
      <c r="R361" s="39"/>
      <c r="S361" s="139"/>
      <c r="T361" s="285"/>
      <c r="U361" s="1" t="str">
        <f t="shared" si="128"/>
        <v>Normal</v>
      </c>
      <c r="V361" s="1" t="str">
        <f t="shared" si="129"/>
        <v>Normal</v>
      </c>
      <c r="W361" s="18">
        <f t="shared" si="130"/>
        <v>0</v>
      </c>
      <c r="X361" s="18">
        <f t="shared" si="131"/>
        <v>0</v>
      </c>
    </row>
    <row r="362" spans="1:24">
      <c r="A362" s="21">
        <v>45743</v>
      </c>
      <c r="B362" s="16">
        <f>IF(YEAR(Table6[[#This Row],[Date]]) = 2024, WEEKNUM(Table6[[#This Row],[Date]])-13, WEEKNUM(Table6[[#This Row],[Date]])+40)</f>
        <v>53</v>
      </c>
      <c r="C362" s="30"/>
      <c r="D362" s="31"/>
      <c r="E362" s="1"/>
      <c r="F362" s="1"/>
      <c r="G362" s="61"/>
      <c r="H362" s="61"/>
      <c r="I362" s="1"/>
      <c r="J362" s="1"/>
      <c r="K362" s="1"/>
      <c r="L362" s="1"/>
      <c r="M362" s="17"/>
      <c r="N362" s="17"/>
      <c r="O362" s="17"/>
      <c r="P362" s="17"/>
      <c r="Q362" s="17"/>
      <c r="R362" s="39"/>
      <c r="S362" s="139"/>
      <c r="T362" s="285"/>
      <c r="U362" s="1" t="str">
        <f t="shared" si="128"/>
        <v>Normal</v>
      </c>
      <c r="V362" s="1" t="str">
        <f t="shared" si="129"/>
        <v>Normal</v>
      </c>
      <c r="W362" s="18">
        <f t="shared" si="130"/>
        <v>0</v>
      </c>
      <c r="X362" s="18">
        <f t="shared" si="131"/>
        <v>0</v>
      </c>
    </row>
    <row r="363" spans="1:24">
      <c r="A363" s="21">
        <v>45744</v>
      </c>
      <c r="B363" s="16">
        <f>IF(YEAR(Table6[[#This Row],[Date]]) = 2024, WEEKNUM(Table6[[#This Row],[Date]])-13, WEEKNUM(Table6[[#This Row],[Date]])+40)</f>
        <v>53</v>
      </c>
      <c r="C363" s="31"/>
      <c r="D363" s="31"/>
      <c r="E363" s="1"/>
      <c r="F363" s="1"/>
      <c r="G363" s="61"/>
      <c r="H363" s="61"/>
      <c r="I363" s="1"/>
      <c r="J363" s="1"/>
      <c r="K363" s="1"/>
      <c r="L363" s="1"/>
      <c r="M363" s="17"/>
      <c r="N363" s="17"/>
      <c r="O363" s="17"/>
      <c r="P363" s="17"/>
      <c r="Q363" s="17"/>
      <c r="R363" s="39"/>
      <c r="S363" s="139"/>
      <c r="T363" s="285"/>
      <c r="U363" s="1" t="str">
        <f t="shared" si="128"/>
        <v>Normal</v>
      </c>
      <c r="V363" s="1" t="str">
        <f t="shared" si="129"/>
        <v>Normal</v>
      </c>
      <c r="W363" s="18">
        <f t="shared" si="130"/>
        <v>0</v>
      </c>
      <c r="X363" s="18">
        <f t="shared" si="131"/>
        <v>0</v>
      </c>
    </row>
    <row r="364" spans="1:24">
      <c r="A364" s="21">
        <v>45745</v>
      </c>
      <c r="B364" s="16">
        <f>IF(YEAR(Table6[[#This Row],[Date]]) = 2024, WEEKNUM(Table6[[#This Row],[Date]])-13, WEEKNUM(Table6[[#This Row],[Date]])+40)</f>
        <v>53</v>
      </c>
      <c r="C364" s="30"/>
      <c r="D364" s="31"/>
      <c r="E364" s="1"/>
      <c r="F364" s="1"/>
      <c r="G364" s="61"/>
      <c r="H364" s="61"/>
      <c r="I364" s="1"/>
      <c r="J364" s="1"/>
      <c r="K364" s="1"/>
      <c r="L364" s="1"/>
      <c r="M364" s="17"/>
      <c r="N364" s="17"/>
      <c r="O364" s="17"/>
      <c r="P364" s="17"/>
      <c r="Q364" s="17"/>
      <c r="R364" s="39"/>
      <c r="S364" s="139"/>
      <c r="T364" s="285"/>
      <c r="U364" s="1" t="str">
        <f t="shared" si="128"/>
        <v>Normal</v>
      </c>
      <c r="V364" s="1" t="str">
        <f t="shared" si="129"/>
        <v>Normal</v>
      </c>
      <c r="W364" s="18">
        <f t="shared" si="130"/>
        <v>0</v>
      </c>
      <c r="X364" s="18">
        <f t="shared" si="131"/>
        <v>0</v>
      </c>
    </row>
    <row r="365" spans="1:24">
      <c r="A365" s="21">
        <v>45746</v>
      </c>
      <c r="B365" s="16">
        <f>IF(YEAR(Table6[[#This Row],[Date]]) = 2024, WEEKNUM(Table6[[#This Row],[Date]])-13, WEEKNUM(Table6[[#This Row],[Date]])+40)</f>
        <v>54</v>
      </c>
      <c r="C365" s="31"/>
      <c r="D365" s="31"/>
      <c r="E365" s="1"/>
      <c r="F365" s="1"/>
      <c r="G365" s="61"/>
      <c r="H365" s="61"/>
      <c r="I365" s="1"/>
      <c r="J365" s="1"/>
      <c r="K365" s="1"/>
      <c r="L365" s="1"/>
      <c r="M365" s="17"/>
      <c r="N365" s="17"/>
      <c r="O365" s="17"/>
      <c r="P365" s="17"/>
      <c r="Q365" s="17"/>
      <c r="R365" s="39"/>
      <c r="S365" s="139"/>
      <c r="T365" s="285"/>
      <c r="U365" s="1" t="str">
        <f t="shared" si="128"/>
        <v>Normal</v>
      </c>
      <c r="V365" s="1" t="str">
        <f t="shared" si="129"/>
        <v>Normal</v>
      </c>
      <c r="W365" s="18">
        <f t="shared" si="130"/>
        <v>0</v>
      </c>
      <c r="X365" s="18">
        <f t="shared" si="131"/>
        <v>0</v>
      </c>
    </row>
    <row r="366" spans="1:24">
      <c r="A366" s="21">
        <v>45747</v>
      </c>
      <c r="B366" s="16">
        <f>IF(YEAR(Table6[[#This Row],[Date]]) = 2024, WEEKNUM(Table6[[#This Row],[Date]])-13, WEEKNUM(Table6[[#This Row],[Date]])+40)</f>
        <v>54</v>
      </c>
      <c r="C366" s="30"/>
      <c r="D366" s="31"/>
      <c r="E366" s="1"/>
      <c r="F366" s="1"/>
      <c r="G366" s="61"/>
      <c r="H366" s="61"/>
      <c r="I366" s="1"/>
      <c r="J366" s="1"/>
      <c r="K366" s="1"/>
      <c r="L366" s="1"/>
      <c r="M366" s="17"/>
      <c r="N366" s="17"/>
      <c r="O366" s="17"/>
      <c r="P366" s="17"/>
      <c r="Q366" s="17"/>
      <c r="R366" s="39"/>
      <c r="S366" s="139"/>
      <c r="T366" s="285"/>
      <c r="U366" s="1" t="str">
        <f t="shared" si="128"/>
        <v>Normal</v>
      </c>
      <c r="V366" s="1" t="str">
        <f t="shared" si="129"/>
        <v>Normal</v>
      </c>
      <c r="W366" s="18">
        <f t="shared" si="130"/>
        <v>0</v>
      </c>
      <c r="X366" s="18">
        <f t="shared" si="131"/>
        <v>0</v>
      </c>
    </row>
    <row r="368" spans="1:24">
      <c r="M368" s="146"/>
    </row>
  </sheetData>
  <mergeCells count="5">
    <mergeCell ref="AA3:AC3"/>
    <mergeCell ref="AE3:AF3"/>
    <mergeCell ref="AH3:AI3"/>
    <mergeCell ref="AA8:AB8"/>
    <mergeCell ref="AE8:AF8"/>
  </mergeCells>
  <phoneticPr fontId="8" type="noConversion"/>
  <dataValidations disablePrompts="1" count="1">
    <dataValidation type="list" allowBlank="1" showInputMessage="1" showErrorMessage="1" sqref="Y20:Y21" xr:uid="{4B0DD217-3BFE-4080-B100-903B8DA6A89D}">
      <formula1>period_TT</formula1>
    </dataValidation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877F-5468-44D3-AFDE-34C99DA58C3F}">
  <sheetPr codeName="Sheet4"/>
  <dimension ref="A1:AQ366"/>
  <sheetViews>
    <sheetView topLeftCell="N1" zoomScale="80" zoomScaleNormal="80" workbookViewId="0">
      <pane ySplit="1" topLeftCell="A2" activePane="bottomLeft" state="frozen"/>
      <selection pane="bottomLeft" activeCell="L2" sqref="L2"/>
    </sheetView>
  </sheetViews>
  <sheetFormatPr defaultRowHeight="14.5"/>
  <cols>
    <col min="1" max="2" width="15.54296875" customWidth="1"/>
    <col min="3" max="3" width="19.453125" bestFit="1" customWidth="1"/>
    <col min="4" max="6" width="15.54296875" customWidth="1"/>
    <col min="7" max="7" width="32.453125" bestFit="1" customWidth="1"/>
    <col min="8" max="8" width="31.08984375" bestFit="1" customWidth="1"/>
    <col min="9" max="9" width="27.90625" bestFit="1" customWidth="1"/>
    <col min="10" max="10" width="23.453125" bestFit="1" customWidth="1"/>
    <col min="11" max="12" width="23.453125" customWidth="1"/>
    <col min="13" max="20" width="15.54296875" customWidth="1"/>
    <col min="21" max="21" width="23.26953125" customWidth="1"/>
    <col min="22" max="22" width="23.453125" customWidth="1"/>
    <col min="23" max="23" width="32.7265625" bestFit="1" customWidth="1"/>
    <col min="24" max="24" width="28.36328125" bestFit="1" customWidth="1"/>
    <col min="26" max="26" width="9.90625" bestFit="1" customWidth="1"/>
    <col min="27" max="27" width="12.81640625" bestFit="1" customWidth="1"/>
    <col min="28" max="28" width="15.08984375" bestFit="1" customWidth="1"/>
    <col min="29" max="29" width="14.1796875" bestFit="1" customWidth="1"/>
    <col min="31" max="31" width="7.90625" bestFit="1" customWidth="1"/>
    <col min="32" max="32" width="14.1796875" bestFit="1" customWidth="1"/>
    <col min="39" max="39" width="13.6328125" bestFit="1" customWidth="1"/>
    <col min="40" max="40" width="15" bestFit="1" customWidth="1"/>
    <col min="41" max="41" width="15.26953125" bestFit="1" customWidth="1"/>
    <col min="42" max="42" width="12.81640625" bestFit="1" customWidth="1"/>
    <col min="43" max="43" width="13.6328125" bestFit="1" customWidth="1"/>
    <col min="44" max="59" width="16.1796875" bestFit="1" customWidth="1"/>
    <col min="60" max="60" width="11" bestFit="1" customWidth="1"/>
  </cols>
  <sheetData>
    <row r="1" spans="1:43" ht="43.5" customHeight="1">
      <c r="A1" s="84" t="s">
        <v>30</v>
      </c>
      <c r="B1" s="84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7" t="s">
        <v>43</v>
      </c>
      <c r="R1" s="37" t="s">
        <v>44</v>
      </c>
      <c r="S1" s="37" t="s">
        <v>45</v>
      </c>
      <c r="T1" s="36" t="s">
        <v>46</v>
      </c>
      <c r="U1" s="364" t="s">
        <v>164</v>
      </c>
      <c r="V1" s="364" t="s">
        <v>163</v>
      </c>
      <c r="W1" s="373" t="s">
        <v>171</v>
      </c>
      <c r="X1" s="373" t="s">
        <v>170</v>
      </c>
    </row>
    <row r="2" spans="1:43">
      <c r="A2" s="21">
        <v>45383</v>
      </c>
      <c r="B2" s="16">
        <f>IF(YEAR(Table6[[#This Row],[Date]]) = 2024, WEEKNUM(Table6[[#This Row],[Date]])-13, WEEKNUM(Table6[[#This Row],[Date]])+40)</f>
        <v>1</v>
      </c>
      <c r="C2" s="31" t="s">
        <v>47</v>
      </c>
      <c r="D2" s="59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E2</f>
        <v>0</v>
      </c>
      <c r="L2" s="1">
        <f>F2</f>
        <v>0</v>
      </c>
      <c r="M2" s="63">
        <v>0</v>
      </c>
      <c r="N2" s="63">
        <v>0</v>
      </c>
      <c r="O2" s="63">
        <v>0</v>
      </c>
      <c r="P2" s="63">
        <v>0</v>
      </c>
      <c r="Q2" s="83"/>
      <c r="R2" s="271">
        <v>0</v>
      </c>
      <c r="S2" s="140">
        <v>0</v>
      </c>
      <c r="T2" s="106">
        <v>0</v>
      </c>
      <c r="U2" s="106" t="str">
        <f t="shared" ref="U2:U33" si="0">IF(OR(G2&lt;$AB$5,G2&gt;$AC$5), "Outlier", "Normal")</f>
        <v>Normal</v>
      </c>
      <c r="V2" s="106" t="str">
        <f t="shared" ref="V2:V33" si="1">IF(OR(H2&lt;$AB$6,H2&gt;$AC$6), "Outlier", "Normal")</f>
        <v>Normal</v>
      </c>
      <c r="W2" s="18">
        <f t="shared" ref="W2:W33" si="2">IF(U2="Normal",$G2,IF($G2&lt;150%, $G2, $AB$9))</f>
        <v>0</v>
      </c>
      <c r="X2" s="18">
        <f t="shared" ref="X2:X33" si="3">IF(V2="Normal",$H2,IF($H2&lt;150%, $H2, $AF$9))</f>
        <v>0</v>
      </c>
    </row>
    <row r="3" spans="1:43">
      <c r="A3" s="201">
        <v>45384</v>
      </c>
      <c r="B3" s="387">
        <f>IF(YEAR(Table6[[#This Row],[Date]]) = 2024, WEEKNUM(Table6[[#This Row],[Date]])-13, WEEKNUM(Table6[[#This Row],[Date]])+40)</f>
        <v>1</v>
      </c>
      <c r="C3" s="30" t="s">
        <v>49</v>
      </c>
      <c r="D3" s="59" t="s">
        <v>48</v>
      </c>
      <c r="E3" s="28">
        <v>118</v>
      </c>
      <c r="F3" s="28">
        <v>113</v>
      </c>
      <c r="G3" s="60">
        <f>(E3-93)/93</f>
        <v>0.26881720430107525</v>
      </c>
      <c r="H3" s="60">
        <f>(F3-89)/89</f>
        <v>0.2696629213483146</v>
      </c>
      <c r="I3" s="28">
        <f>E3</f>
        <v>118</v>
      </c>
      <c r="J3" s="28">
        <f>F3</f>
        <v>113</v>
      </c>
      <c r="K3" s="28">
        <f>E3+K2</f>
        <v>118</v>
      </c>
      <c r="L3" s="28">
        <f>F3+L2</f>
        <v>113</v>
      </c>
      <c r="M3" s="64">
        <v>0.92</v>
      </c>
      <c r="N3" s="64">
        <v>0.04</v>
      </c>
      <c r="O3" s="64">
        <v>0.96</v>
      </c>
      <c r="P3" s="64">
        <v>0.44</v>
      </c>
      <c r="Q3" s="82"/>
      <c r="R3" s="279">
        <v>348</v>
      </c>
      <c r="S3" s="172">
        <v>0.16805555555555554</v>
      </c>
      <c r="T3" s="174">
        <v>3</v>
      </c>
      <c r="U3" s="170" t="str">
        <f t="shared" si="0"/>
        <v>Normal</v>
      </c>
      <c r="V3" s="170" t="str">
        <f t="shared" si="1"/>
        <v>Normal</v>
      </c>
      <c r="W3" s="378">
        <f t="shared" si="2"/>
        <v>0.26881720430107525</v>
      </c>
      <c r="X3" s="378">
        <f t="shared" si="3"/>
        <v>0.2696629213483146</v>
      </c>
      <c r="AA3" s="431" t="s">
        <v>153</v>
      </c>
      <c r="AB3" s="431"/>
      <c r="AC3" s="431"/>
      <c r="AE3" s="431" t="s">
        <v>159</v>
      </c>
      <c r="AF3" s="431"/>
      <c r="AH3" s="431" t="s">
        <v>160</v>
      </c>
      <c r="AI3" s="431"/>
    </row>
    <row r="4" spans="1:43">
      <c r="A4" s="202">
        <v>45385</v>
      </c>
      <c r="B4" s="188">
        <f>IF(YEAR(Table6[[#This Row],[Date]]) = 2024, WEEKNUM(Table6[[#This Row],[Date]])-13, WEEKNUM(Table6[[#This Row],[Date]])+40)</f>
        <v>1</v>
      </c>
      <c r="C4" s="31" t="s">
        <v>50</v>
      </c>
      <c r="D4" s="59" t="s">
        <v>48</v>
      </c>
      <c r="E4" s="1">
        <v>106</v>
      </c>
      <c r="F4" s="1">
        <v>98</v>
      </c>
      <c r="G4" s="61">
        <f>(E4-66)/66</f>
        <v>0.60606060606060608</v>
      </c>
      <c r="H4" s="61">
        <f>(F4-64)/64</f>
        <v>0.53125</v>
      </c>
      <c r="I4" s="1">
        <f t="shared" ref="I4:I6" si="4">I3+E4</f>
        <v>224</v>
      </c>
      <c r="J4" s="1">
        <f>J3+F4</f>
        <v>211</v>
      </c>
      <c r="K4" s="1">
        <f t="shared" ref="K4:K67" si="5">E4+K3</f>
        <v>224</v>
      </c>
      <c r="L4" s="1">
        <f t="shared" ref="L4:L67" si="6">F4+L3</f>
        <v>211</v>
      </c>
      <c r="M4" s="63">
        <v>0.97</v>
      </c>
      <c r="N4" s="63">
        <v>0.08</v>
      </c>
      <c r="O4" s="63">
        <v>0.92</v>
      </c>
      <c r="P4" s="63">
        <v>0.35</v>
      </c>
      <c r="Q4" s="83"/>
      <c r="R4" s="271">
        <v>292</v>
      </c>
      <c r="S4" s="140">
        <v>0.22291666666666665</v>
      </c>
      <c r="T4" s="106">
        <v>3</v>
      </c>
      <c r="U4" s="106" t="str">
        <f t="shared" si="0"/>
        <v>Normal</v>
      </c>
      <c r="V4" s="106" t="str">
        <f t="shared" si="1"/>
        <v>Normal</v>
      </c>
      <c r="W4" s="18">
        <f t="shared" si="2"/>
        <v>0.60606060606060608</v>
      </c>
      <c r="X4" s="18">
        <f t="shared" si="3"/>
        <v>0.53125</v>
      </c>
      <c r="AA4" s="361" t="s">
        <v>161</v>
      </c>
      <c r="AB4" s="1" t="s">
        <v>156</v>
      </c>
      <c r="AC4" s="1" t="s">
        <v>157</v>
      </c>
      <c r="AE4" s="1" t="s">
        <v>154</v>
      </c>
      <c r="AF4" s="359">
        <f>_xlfn.QUARTILE.INC(G:G, 1)</f>
        <v>-0.30882352941176472</v>
      </c>
      <c r="AH4" s="1" t="s">
        <v>154</v>
      </c>
      <c r="AI4" s="360">
        <f>_xlfn.QUARTILE.INC(H:H, 1)</f>
        <v>-0.27559055118110237</v>
      </c>
    </row>
    <row r="5" spans="1:43">
      <c r="A5" s="201">
        <v>45386</v>
      </c>
      <c r="B5" s="387">
        <f>IF(YEAR(Table6[[#This Row],[Date]]) = 2024, WEEKNUM(Table6[[#This Row],[Date]])-13, WEEKNUM(Table6[[#This Row],[Date]])+40)</f>
        <v>1</v>
      </c>
      <c r="C5" s="30" t="s">
        <v>51</v>
      </c>
      <c r="D5" s="59" t="s">
        <v>48</v>
      </c>
      <c r="E5" s="28">
        <v>96</v>
      </c>
      <c r="F5" s="28">
        <v>93</v>
      </c>
      <c r="G5" s="60">
        <f>(E5-37)/37</f>
        <v>1.5945945945945945</v>
      </c>
      <c r="H5" s="60">
        <f>(F5-35)/35</f>
        <v>1.6571428571428573</v>
      </c>
      <c r="I5" s="28">
        <f t="shared" si="4"/>
        <v>320</v>
      </c>
      <c r="J5" s="28">
        <f>J4+F5</f>
        <v>304</v>
      </c>
      <c r="K5" s="28">
        <f t="shared" si="5"/>
        <v>320</v>
      </c>
      <c r="L5" s="28">
        <f t="shared" si="6"/>
        <v>304</v>
      </c>
      <c r="M5" s="64">
        <v>0.97</v>
      </c>
      <c r="N5" s="64">
        <v>0.03</v>
      </c>
      <c r="O5" s="64">
        <v>0.97</v>
      </c>
      <c r="P5" s="64">
        <v>0.34</v>
      </c>
      <c r="Q5" s="82"/>
      <c r="R5" s="279">
        <v>284</v>
      </c>
      <c r="S5" s="172">
        <v>0.25555555555555559</v>
      </c>
      <c r="T5" s="174">
        <v>3</v>
      </c>
      <c r="U5" s="170" t="str">
        <f t="shared" si="0"/>
        <v>Outlier</v>
      </c>
      <c r="V5" s="170" t="str">
        <f t="shared" si="1"/>
        <v>Outlier</v>
      </c>
      <c r="W5" s="378">
        <f t="shared" si="2"/>
        <v>4.8458806293436213E-2</v>
      </c>
      <c r="X5" s="378">
        <f t="shared" si="3"/>
        <v>5.6112856793435043E-2</v>
      </c>
      <c r="AA5" s="361" t="s">
        <v>162</v>
      </c>
      <c r="AB5" s="1">
        <f>AF4-1.5*AF6</f>
        <v>-0.97732198142414861</v>
      </c>
      <c r="AC5" s="1">
        <f>AF5+1.5*AF6</f>
        <v>0.80534055727554177</v>
      </c>
      <c r="AE5" s="1" t="s">
        <v>155</v>
      </c>
      <c r="AF5" s="359">
        <f>_xlfn.QUARTILE.INC(G:G, 3)</f>
        <v>0.1368421052631579</v>
      </c>
      <c r="AH5" s="1" t="s">
        <v>155</v>
      </c>
      <c r="AI5" s="360">
        <f>_xlfn.QUARTILE.INC(H:H, 3)</f>
        <v>0.125</v>
      </c>
    </row>
    <row r="6" spans="1:43">
      <c r="A6" s="202">
        <v>45387</v>
      </c>
      <c r="B6" s="188">
        <f>IF(YEAR(Table6[[#This Row],[Date]]) = 2024, WEEKNUM(Table6[[#This Row],[Date]])-13, WEEKNUM(Table6[[#This Row],[Date]])+40)</f>
        <v>1</v>
      </c>
      <c r="C6" s="31" t="s">
        <v>52</v>
      </c>
      <c r="D6" s="59" t="s">
        <v>48</v>
      </c>
      <c r="E6" s="1">
        <v>102</v>
      </c>
      <c r="F6" s="1">
        <v>99</v>
      </c>
      <c r="G6" s="61">
        <v>0</v>
      </c>
      <c r="H6" s="61">
        <v>0</v>
      </c>
      <c r="I6" s="1">
        <f t="shared" si="4"/>
        <v>422</v>
      </c>
      <c r="J6" s="1">
        <f>J5+F6</f>
        <v>403</v>
      </c>
      <c r="K6" s="1">
        <f t="shared" si="5"/>
        <v>422</v>
      </c>
      <c r="L6" s="1">
        <f t="shared" si="6"/>
        <v>403</v>
      </c>
      <c r="M6" s="63">
        <v>0.97</v>
      </c>
      <c r="N6" s="63">
        <v>0.03</v>
      </c>
      <c r="O6" s="63">
        <v>0.97</v>
      </c>
      <c r="P6" s="63">
        <v>0.47</v>
      </c>
      <c r="Q6" s="83"/>
      <c r="R6" s="271">
        <v>366</v>
      </c>
      <c r="S6" s="140">
        <v>0.21249999999999999</v>
      </c>
      <c r="T6" s="106">
        <v>3</v>
      </c>
      <c r="U6" s="106" t="str">
        <f t="shared" si="0"/>
        <v>Normal</v>
      </c>
      <c r="V6" s="106" t="str">
        <f t="shared" si="1"/>
        <v>Normal</v>
      </c>
      <c r="W6" s="18">
        <f t="shared" si="2"/>
        <v>0</v>
      </c>
      <c r="X6" s="18">
        <f t="shared" si="3"/>
        <v>0</v>
      </c>
      <c r="AA6" s="361" t="s">
        <v>34</v>
      </c>
      <c r="AB6" s="1">
        <f>AI4-1.5*AI6</f>
        <v>-0.87647637795275601</v>
      </c>
      <c r="AC6" s="1">
        <f>AI5+1.5*AI6</f>
        <v>0.72588582677165359</v>
      </c>
      <c r="AE6" s="62" t="s">
        <v>158</v>
      </c>
      <c r="AF6" s="62">
        <f>AF5-AF4</f>
        <v>0.44566563467492259</v>
      </c>
      <c r="AH6" s="62" t="s">
        <v>158</v>
      </c>
      <c r="AI6" s="112">
        <f>AI5-AI4</f>
        <v>0.40059055118110237</v>
      </c>
    </row>
    <row r="7" spans="1:43">
      <c r="A7" s="201">
        <v>45388</v>
      </c>
      <c r="B7" s="387">
        <f>IF(YEAR(Table6[[#This Row],[Date]]) = 2024, WEEKNUM(Table6[[#This Row],[Date]])-13, WEEKNUM(Table6[[#This Row],[Date]])+40)</f>
        <v>1</v>
      </c>
      <c r="C7" s="30" t="s">
        <v>53</v>
      </c>
      <c r="D7" s="59" t="s">
        <v>48</v>
      </c>
      <c r="E7" s="28">
        <v>50</v>
      </c>
      <c r="F7" s="28">
        <v>45</v>
      </c>
      <c r="G7" s="60">
        <f>(E7-93)/93</f>
        <v>-0.46236559139784944</v>
      </c>
      <c r="H7" s="60">
        <f>(F7-89)/89</f>
        <v>-0.4943820224719101</v>
      </c>
      <c r="I7" s="28">
        <f t="shared" ref="I7" si="7">I6+E7</f>
        <v>472</v>
      </c>
      <c r="J7" s="28">
        <f>J6+F7</f>
        <v>448</v>
      </c>
      <c r="K7" s="28">
        <f t="shared" si="5"/>
        <v>472</v>
      </c>
      <c r="L7" s="28">
        <f t="shared" si="6"/>
        <v>448</v>
      </c>
      <c r="M7" s="64">
        <v>0.9</v>
      </c>
      <c r="N7" s="64">
        <v>0.1</v>
      </c>
      <c r="O7" s="64">
        <v>0.9</v>
      </c>
      <c r="P7" s="64">
        <v>0.08</v>
      </c>
      <c r="Q7" s="82"/>
      <c r="R7" s="279">
        <v>135</v>
      </c>
      <c r="S7" s="172"/>
      <c r="T7" s="174">
        <v>3</v>
      </c>
      <c r="U7" s="170" t="str">
        <f t="shared" si="0"/>
        <v>Normal</v>
      </c>
      <c r="V7" s="170" t="str">
        <f t="shared" si="1"/>
        <v>Normal</v>
      </c>
      <c r="W7" s="378">
        <f t="shared" si="2"/>
        <v>-0.46236559139784944</v>
      </c>
      <c r="X7" s="378">
        <f t="shared" si="3"/>
        <v>-0.4943820224719101</v>
      </c>
    </row>
    <row r="8" spans="1:43">
      <c r="A8" s="202">
        <v>45389</v>
      </c>
      <c r="B8" s="188">
        <f>IF(YEAR(Table6[[#This Row],[Date]]) = 2024, WEEKNUM(Table6[[#This Row],[Date]])-13, WEEKNUM(Table6[[#This Row],[Date]])+40)</f>
        <v>2</v>
      </c>
      <c r="C8" s="31" t="s">
        <v>54</v>
      </c>
      <c r="D8" s="59" t="s">
        <v>48</v>
      </c>
      <c r="E8" s="1">
        <v>0</v>
      </c>
      <c r="F8" s="1">
        <v>0</v>
      </c>
      <c r="G8" s="61">
        <v>0</v>
      </c>
      <c r="H8" s="61">
        <v>0</v>
      </c>
      <c r="I8" s="1">
        <v>0</v>
      </c>
      <c r="J8" s="1">
        <v>0</v>
      </c>
      <c r="K8" s="1">
        <f t="shared" si="5"/>
        <v>472</v>
      </c>
      <c r="L8" s="1">
        <f t="shared" si="6"/>
        <v>448</v>
      </c>
      <c r="M8" s="63">
        <v>0</v>
      </c>
      <c r="N8" s="63">
        <v>0</v>
      </c>
      <c r="O8" s="63">
        <v>0</v>
      </c>
      <c r="P8" s="63">
        <v>0</v>
      </c>
      <c r="Q8" s="83"/>
      <c r="R8" s="271">
        <v>0</v>
      </c>
      <c r="S8" s="140">
        <v>0</v>
      </c>
      <c r="T8" s="106">
        <v>0</v>
      </c>
      <c r="U8" s="106" t="str">
        <f t="shared" si="0"/>
        <v>Normal</v>
      </c>
      <c r="V8" s="106" t="str">
        <f t="shared" si="1"/>
        <v>Normal</v>
      </c>
      <c r="W8" s="18">
        <f t="shared" si="2"/>
        <v>0</v>
      </c>
      <c r="X8" s="18">
        <f t="shared" si="3"/>
        <v>0</v>
      </c>
      <c r="AA8" s="432" t="s">
        <v>169</v>
      </c>
      <c r="AB8" s="433"/>
      <c r="AE8" s="432" t="s">
        <v>168</v>
      </c>
      <c r="AF8" s="433"/>
    </row>
    <row r="9" spans="1:43">
      <c r="A9" s="201">
        <v>45390</v>
      </c>
      <c r="B9" s="387">
        <f>IF(YEAR(Table6[[#This Row],[Date]]) = 2024, WEEKNUM(Table6[[#This Row],[Date]])-13, WEEKNUM(Table6[[#This Row],[Date]])+40)</f>
        <v>2</v>
      </c>
      <c r="C9" s="30" t="s">
        <v>55</v>
      </c>
      <c r="D9" s="59" t="s">
        <v>48</v>
      </c>
      <c r="E9" s="28">
        <v>109</v>
      </c>
      <c r="F9" s="28">
        <v>103</v>
      </c>
      <c r="G9" s="60">
        <v>0</v>
      </c>
      <c r="H9" s="60">
        <v>0</v>
      </c>
      <c r="I9" s="28">
        <f>I7+E9</f>
        <v>581</v>
      </c>
      <c r="J9" s="28">
        <f>J7+F9</f>
        <v>551</v>
      </c>
      <c r="K9" s="28">
        <f t="shared" si="5"/>
        <v>581</v>
      </c>
      <c r="L9" s="28">
        <f t="shared" si="6"/>
        <v>551</v>
      </c>
      <c r="M9" s="64">
        <v>0.95</v>
      </c>
      <c r="N9" s="64">
        <v>0.06</v>
      </c>
      <c r="O9" s="64">
        <v>0.94</v>
      </c>
      <c r="P9" s="64">
        <v>0.31</v>
      </c>
      <c r="Q9" s="82"/>
      <c r="R9" s="279">
        <v>236</v>
      </c>
      <c r="S9" s="172">
        <v>6.25E-2</v>
      </c>
      <c r="T9" s="174">
        <v>3</v>
      </c>
      <c r="U9" s="170" t="str">
        <f t="shared" si="0"/>
        <v>Normal</v>
      </c>
      <c r="V9" s="170" t="str">
        <f t="shared" si="1"/>
        <v>Normal</v>
      </c>
      <c r="W9" s="378">
        <f t="shared" si="2"/>
        <v>0</v>
      </c>
      <c r="X9" s="378">
        <f t="shared" si="3"/>
        <v>0</v>
      </c>
      <c r="AA9" s="1" t="s">
        <v>165</v>
      </c>
      <c r="AB9" s="61">
        <f>AVERAGE(G2:G123)</f>
        <v>4.8458806293436213E-2</v>
      </c>
      <c r="AE9" s="1" t="s">
        <v>165</v>
      </c>
      <c r="AF9" s="61">
        <f>AVERAGE(H2:H123)</f>
        <v>5.6112856793435043E-2</v>
      </c>
    </row>
    <row r="10" spans="1:43">
      <c r="A10" s="202">
        <v>45391</v>
      </c>
      <c r="B10" s="188">
        <f>IF(YEAR(Table6[[#This Row],[Date]]) = 2024, WEEKNUM(Table6[[#This Row],[Date]])-13, WEEKNUM(Table6[[#This Row],[Date]])+40)</f>
        <v>2</v>
      </c>
      <c r="C10" s="31" t="s">
        <v>49</v>
      </c>
      <c r="D10" s="59" t="s">
        <v>48</v>
      </c>
      <c r="E10" s="1">
        <v>106</v>
      </c>
      <c r="F10" s="1">
        <v>101</v>
      </c>
      <c r="G10" s="61">
        <f>(E10-E3)/E3</f>
        <v>-0.10169491525423729</v>
      </c>
      <c r="H10" s="61">
        <f>(F10-F3)/F3</f>
        <v>-0.10619469026548672</v>
      </c>
      <c r="I10" s="1">
        <f t="shared" ref="I10:I13" si="8">I9+E10</f>
        <v>687</v>
      </c>
      <c r="J10" s="1">
        <f>J9+F10</f>
        <v>652</v>
      </c>
      <c r="K10" s="1">
        <f t="shared" si="5"/>
        <v>687</v>
      </c>
      <c r="L10" s="1">
        <f t="shared" si="6"/>
        <v>652</v>
      </c>
      <c r="M10" s="63">
        <v>0.95</v>
      </c>
      <c r="N10" s="63">
        <v>0.05</v>
      </c>
      <c r="O10" s="63">
        <v>0.95</v>
      </c>
      <c r="P10" s="63">
        <v>0.4</v>
      </c>
      <c r="Q10" s="83"/>
      <c r="R10" s="271">
        <v>305</v>
      </c>
      <c r="S10" s="140">
        <v>3.4027777777777775E-2</v>
      </c>
      <c r="T10" s="106">
        <v>3</v>
      </c>
      <c r="U10" s="106" t="str">
        <f t="shared" si="0"/>
        <v>Normal</v>
      </c>
      <c r="V10" s="106" t="str">
        <f t="shared" si="1"/>
        <v>Normal</v>
      </c>
      <c r="W10" s="18">
        <f t="shared" si="2"/>
        <v>-0.10169491525423729</v>
      </c>
      <c r="X10" s="18">
        <f t="shared" si="3"/>
        <v>-0.10619469026548672</v>
      </c>
      <c r="AA10" s="1" t="s">
        <v>166</v>
      </c>
      <c r="AB10" s="61">
        <f>MEDIAN(G2:G123)</f>
        <v>0</v>
      </c>
      <c r="AE10" s="1" t="s">
        <v>166</v>
      </c>
      <c r="AF10" s="61">
        <f>MEDIAN(H2:H123)</f>
        <v>0</v>
      </c>
    </row>
    <row r="11" spans="1:43">
      <c r="A11" s="201">
        <v>45392</v>
      </c>
      <c r="B11" s="387">
        <f>IF(YEAR(Table6[[#This Row],[Date]]) = 2024, WEEKNUM(Table6[[#This Row],[Date]])-13, WEEKNUM(Table6[[#This Row],[Date]])+40)</f>
        <v>2</v>
      </c>
      <c r="C11" s="30" t="s">
        <v>50</v>
      </c>
      <c r="D11" s="59" t="s">
        <v>48</v>
      </c>
      <c r="E11" s="28">
        <v>51</v>
      </c>
      <c r="F11" s="28">
        <v>50</v>
      </c>
      <c r="G11" s="60">
        <f t="shared" ref="G11:H11" si="9">(E11-E4)/E4</f>
        <v>-0.51886792452830188</v>
      </c>
      <c r="H11" s="60">
        <f t="shared" si="9"/>
        <v>-0.48979591836734693</v>
      </c>
      <c r="I11" s="28">
        <f t="shared" si="8"/>
        <v>738</v>
      </c>
      <c r="J11" s="28">
        <f>J10+F11</f>
        <v>702</v>
      </c>
      <c r="K11" s="28">
        <f t="shared" si="5"/>
        <v>738</v>
      </c>
      <c r="L11" s="28">
        <f t="shared" si="6"/>
        <v>702</v>
      </c>
      <c r="M11" s="64">
        <v>0.98</v>
      </c>
      <c r="N11" s="64">
        <v>0.02</v>
      </c>
      <c r="O11" s="64">
        <v>0.98</v>
      </c>
      <c r="P11" s="64">
        <v>0.18</v>
      </c>
      <c r="Q11" s="82"/>
      <c r="R11" s="279">
        <v>279</v>
      </c>
      <c r="S11" s="172">
        <v>0.12569444444444444</v>
      </c>
      <c r="T11" s="174">
        <v>3</v>
      </c>
      <c r="U11" s="170" t="str">
        <f t="shared" si="0"/>
        <v>Normal</v>
      </c>
      <c r="V11" s="170" t="str">
        <f t="shared" si="1"/>
        <v>Normal</v>
      </c>
      <c r="W11" s="378">
        <f t="shared" si="2"/>
        <v>-0.51886792452830188</v>
      </c>
      <c r="X11" s="378">
        <f t="shared" si="3"/>
        <v>-0.48979591836734693</v>
      </c>
      <c r="AA11" s="1" t="s">
        <v>167</v>
      </c>
      <c r="AB11" s="1">
        <f>_xlfn.MODE.SNGL(H2:H123)</f>
        <v>0</v>
      </c>
      <c r="AE11" s="1" t="s">
        <v>167</v>
      </c>
      <c r="AF11" s="1">
        <f>_xlfn.MODE.SNGL(I2:I123)</f>
        <v>0</v>
      </c>
    </row>
    <row r="12" spans="1:43">
      <c r="A12" s="202">
        <v>45393</v>
      </c>
      <c r="B12" s="188">
        <f>IF(YEAR(Table6[[#This Row],[Date]]) = 2024, WEEKNUM(Table6[[#This Row],[Date]])-13, WEEKNUM(Table6[[#This Row],[Date]])+40)</f>
        <v>2</v>
      </c>
      <c r="C12" s="31" t="s">
        <v>51</v>
      </c>
      <c r="D12" s="59" t="s">
        <v>48</v>
      </c>
      <c r="E12" s="1">
        <v>82</v>
      </c>
      <c r="F12" s="1">
        <v>78</v>
      </c>
      <c r="G12" s="61">
        <f t="shared" ref="G12:H12" si="10">(E12-E5)/E5</f>
        <v>-0.14583333333333334</v>
      </c>
      <c r="H12" s="61">
        <f t="shared" si="10"/>
        <v>-0.16129032258064516</v>
      </c>
      <c r="I12" s="1">
        <f t="shared" si="8"/>
        <v>820</v>
      </c>
      <c r="J12" s="1">
        <f>J11+F12</f>
        <v>780</v>
      </c>
      <c r="K12" s="1">
        <f t="shared" si="5"/>
        <v>820</v>
      </c>
      <c r="L12" s="1">
        <f t="shared" si="6"/>
        <v>780</v>
      </c>
      <c r="M12" s="63">
        <v>0.95</v>
      </c>
      <c r="N12" s="63">
        <v>0.05</v>
      </c>
      <c r="O12" s="63">
        <v>0.95</v>
      </c>
      <c r="P12" s="63">
        <v>0.35</v>
      </c>
      <c r="Q12" s="83"/>
      <c r="R12" s="271">
        <v>347</v>
      </c>
      <c r="S12" s="140">
        <v>0.16805555555555554</v>
      </c>
      <c r="T12" s="106">
        <v>3</v>
      </c>
      <c r="U12" s="106" t="str">
        <f t="shared" si="0"/>
        <v>Normal</v>
      </c>
      <c r="V12" s="106" t="str">
        <f t="shared" si="1"/>
        <v>Normal</v>
      </c>
      <c r="W12" s="18">
        <f t="shared" si="2"/>
        <v>-0.14583333333333334</v>
      </c>
      <c r="X12" s="18">
        <f t="shared" si="3"/>
        <v>-0.16129032258064516</v>
      </c>
      <c r="AM12" s="410" t="s">
        <v>173</v>
      </c>
      <c r="AN12" t="s">
        <v>175</v>
      </c>
      <c r="AO12" t="s">
        <v>176</v>
      </c>
      <c r="AP12" t="s">
        <v>177</v>
      </c>
      <c r="AQ12" t="s">
        <v>178</v>
      </c>
    </row>
    <row r="13" spans="1:43">
      <c r="A13" s="201">
        <v>45394</v>
      </c>
      <c r="B13" s="387">
        <f>IF(YEAR(Table6[[#This Row],[Date]]) = 2024, WEEKNUM(Table6[[#This Row],[Date]])-13, WEEKNUM(Table6[[#This Row],[Date]])+40)</f>
        <v>2</v>
      </c>
      <c r="C13" s="30" t="s">
        <v>52</v>
      </c>
      <c r="D13" s="59" t="s">
        <v>48</v>
      </c>
      <c r="E13" s="28">
        <v>136</v>
      </c>
      <c r="F13" s="28">
        <v>127</v>
      </c>
      <c r="G13" s="60">
        <f t="shared" ref="G13:H13" si="11">(E13-E6)/E6</f>
        <v>0.33333333333333331</v>
      </c>
      <c r="H13" s="60">
        <f t="shared" si="11"/>
        <v>0.28282828282828282</v>
      </c>
      <c r="I13" s="28">
        <f t="shared" si="8"/>
        <v>956</v>
      </c>
      <c r="J13" s="28">
        <f>J12+F13</f>
        <v>907</v>
      </c>
      <c r="K13" s="28">
        <f t="shared" si="5"/>
        <v>956</v>
      </c>
      <c r="L13" s="28">
        <f t="shared" si="6"/>
        <v>907</v>
      </c>
      <c r="M13" s="64">
        <v>0.93</v>
      </c>
      <c r="N13" s="64">
        <v>7.0000000000000007E-2</v>
      </c>
      <c r="O13" s="64">
        <v>0.93</v>
      </c>
      <c r="P13" s="64">
        <v>0.49</v>
      </c>
      <c r="Q13" s="82"/>
      <c r="R13" s="279">
        <v>299</v>
      </c>
      <c r="S13" s="172">
        <v>0.13125000000000001</v>
      </c>
      <c r="T13" s="174">
        <v>3</v>
      </c>
      <c r="U13" s="170" t="str">
        <f t="shared" si="0"/>
        <v>Normal</v>
      </c>
      <c r="V13" s="170" t="str">
        <f t="shared" si="1"/>
        <v>Normal</v>
      </c>
      <c r="W13" s="378">
        <f t="shared" si="2"/>
        <v>0.33333333333333331</v>
      </c>
      <c r="X13" s="378">
        <f t="shared" si="3"/>
        <v>0.28282828282828282</v>
      </c>
      <c r="AM13" s="411">
        <v>1</v>
      </c>
      <c r="AN13" s="412">
        <v>472</v>
      </c>
      <c r="AO13" s="412">
        <v>448</v>
      </c>
      <c r="AP13" s="413">
        <v>0.78833333333333344</v>
      </c>
      <c r="AQ13" s="413">
        <v>0.28000000000000003</v>
      </c>
    </row>
    <row r="14" spans="1:43">
      <c r="A14" s="202">
        <v>45395</v>
      </c>
      <c r="B14" s="188">
        <f>IF(YEAR(Table6[[#This Row],[Date]]) = 2024, WEEKNUM(Table6[[#This Row],[Date]])-13, WEEKNUM(Table6[[#This Row],[Date]])+40)</f>
        <v>2</v>
      </c>
      <c r="C14" s="31" t="s">
        <v>53</v>
      </c>
      <c r="D14" s="59" t="s">
        <v>48</v>
      </c>
      <c r="E14" s="1">
        <v>36</v>
      </c>
      <c r="F14" s="1">
        <v>33</v>
      </c>
      <c r="G14" s="61">
        <f t="shared" ref="G14:H14" si="12">(E14-E7)/E7</f>
        <v>-0.28000000000000003</v>
      </c>
      <c r="H14" s="61">
        <f t="shared" si="12"/>
        <v>-0.26666666666666666</v>
      </c>
      <c r="I14" s="1">
        <f>I13+E14</f>
        <v>992</v>
      </c>
      <c r="J14" s="1">
        <f>J13+F14</f>
        <v>940</v>
      </c>
      <c r="K14" s="1">
        <f t="shared" si="5"/>
        <v>992</v>
      </c>
      <c r="L14" s="1">
        <f t="shared" si="6"/>
        <v>940</v>
      </c>
      <c r="M14" s="63">
        <v>0.92</v>
      </c>
      <c r="N14" s="63">
        <v>0.08</v>
      </c>
      <c r="O14" s="63">
        <v>0.92</v>
      </c>
      <c r="P14" s="63">
        <v>0.24</v>
      </c>
      <c r="Q14" s="83"/>
      <c r="R14" s="271">
        <v>378</v>
      </c>
      <c r="S14" s="140">
        <v>0.12638888888888888</v>
      </c>
      <c r="T14" s="106">
        <v>2</v>
      </c>
      <c r="U14" s="106" t="str">
        <f t="shared" si="0"/>
        <v>Normal</v>
      </c>
      <c r="V14" s="106" t="str">
        <f t="shared" si="1"/>
        <v>Normal</v>
      </c>
      <c r="W14" s="18">
        <f t="shared" si="2"/>
        <v>-0.28000000000000003</v>
      </c>
      <c r="X14" s="18">
        <f t="shared" si="3"/>
        <v>-0.26666666666666666</v>
      </c>
      <c r="AM14" s="411">
        <v>2</v>
      </c>
      <c r="AN14" s="412">
        <v>520</v>
      </c>
      <c r="AO14" s="412">
        <v>492</v>
      </c>
      <c r="AP14" s="413">
        <v>0.81142857142857139</v>
      </c>
      <c r="AQ14" s="413">
        <v>0.28142857142857142</v>
      </c>
    </row>
    <row r="15" spans="1:43">
      <c r="A15" s="201">
        <v>45396</v>
      </c>
      <c r="B15" s="387">
        <f>IF(YEAR(Table6[[#This Row],[Date]]) = 2024, WEEKNUM(Table6[[#This Row],[Date]])-13, WEEKNUM(Table6[[#This Row],[Date]])+40)</f>
        <v>3</v>
      </c>
      <c r="C15" s="30" t="s">
        <v>54</v>
      </c>
      <c r="D15" s="59" t="s">
        <v>48</v>
      </c>
      <c r="E15" s="28">
        <v>0</v>
      </c>
      <c r="F15" s="28">
        <v>0</v>
      </c>
      <c r="G15" s="60">
        <v>0</v>
      </c>
      <c r="H15" s="60">
        <v>0</v>
      </c>
      <c r="I15" s="28">
        <v>0</v>
      </c>
      <c r="J15" s="28">
        <v>0</v>
      </c>
      <c r="K15" s="28">
        <f t="shared" si="5"/>
        <v>992</v>
      </c>
      <c r="L15" s="28">
        <f t="shared" si="6"/>
        <v>940</v>
      </c>
      <c r="M15" s="64">
        <v>0</v>
      </c>
      <c r="N15" s="64">
        <v>0</v>
      </c>
      <c r="O15" s="64">
        <v>0</v>
      </c>
      <c r="P15" s="64">
        <v>0</v>
      </c>
      <c r="Q15" s="82"/>
      <c r="R15" s="279">
        <v>0</v>
      </c>
      <c r="S15" s="172">
        <v>0</v>
      </c>
      <c r="T15" s="174">
        <v>0</v>
      </c>
      <c r="U15" s="170" t="str">
        <f t="shared" si="0"/>
        <v>Normal</v>
      </c>
      <c r="V15" s="170" t="str">
        <f t="shared" si="1"/>
        <v>Normal</v>
      </c>
      <c r="W15" s="378">
        <f t="shared" si="2"/>
        <v>0</v>
      </c>
      <c r="X15" s="378">
        <f t="shared" si="3"/>
        <v>0</v>
      </c>
      <c r="AM15" s="411">
        <v>3</v>
      </c>
      <c r="AN15" s="412">
        <v>572</v>
      </c>
      <c r="AO15" s="412">
        <v>554</v>
      </c>
      <c r="AP15" s="413">
        <v>0.82285714285714284</v>
      </c>
      <c r="AQ15" s="413">
        <v>0.5585714285714285</v>
      </c>
    </row>
    <row r="16" spans="1:43">
      <c r="A16" s="21">
        <v>45397</v>
      </c>
      <c r="B16" s="16">
        <f>IF(YEAR(Table6[[#This Row],[Date]]) = 2024, WEEKNUM(Table6[[#This Row],[Date]])-13, WEEKNUM(Table6[[#This Row],[Date]])+40)</f>
        <v>3</v>
      </c>
      <c r="C16" s="31" t="s">
        <v>55</v>
      </c>
      <c r="D16" s="59" t="s">
        <v>48</v>
      </c>
      <c r="E16" s="1">
        <v>106</v>
      </c>
      <c r="F16" s="1">
        <v>99</v>
      </c>
      <c r="G16" s="61">
        <f>(E16-E9)/E9</f>
        <v>-2.7522935779816515E-2</v>
      </c>
      <c r="H16" s="61">
        <f>(F16-F9)/F9</f>
        <v>-3.8834951456310676E-2</v>
      </c>
      <c r="I16" s="1">
        <f>I14+E16</f>
        <v>1098</v>
      </c>
      <c r="J16" s="1">
        <f>J14+F16</f>
        <v>1039</v>
      </c>
      <c r="K16" s="1">
        <f t="shared" si="5"/>
        <v>1098</v>
      </c>
      <c r="L16" s="1">
        <f t="shared" si="6"/>
        <v>1039</v>
      </c>
      <c r="M16" s="63">
        <v>0.93</v>
      </c>
      <c r="N16" s="63">
        <v>7.0000000000000007E-2</v>
      </c>
      <c r="O16" s="63">
        <v>0.93</v>
      </c>
      <c r="P16" s="63">
        <v>0.42</v>
      </c>
      <c r="Q16" s="83"/>
      <c r="R16" s="271">
        <v>328</v>
      </c>
      <c r="S16" s="140">
        <v>0.125</v>
      </c>
      <c r="T16" s="106">
        <v>3</v>
      </c>
      <c r="U16" s="106" t="str">
        <f t="shared" si="0"/>
        <v>Normal</v>
      </c>
      <c r="V16" s="106" t="str">
        <f t="shared" si="1"/>
        <v>Normal</v>
      </c>
      <c r="W16" s="18">
        <f t="shared" si="2"/>
        <v>-2.7522935779816515E-2</v>
      </c>
      <c r="X16" s="18">
        <f t="shared" si="3"/>
        <v>-3.8834951456310676E-2</v>
      </c>
      <c r="AM16" s="411">
        <v>4</v>
      </c>
      <c r="AN16" s="412">
        <v>605</v>
      </c>
      <c r="AO16" s="412">
        <v>583</v>
      </c>
      <c r="AP16" s="413">
        <v>0.82571428571428573</v>
      </c>
      <c r="AQ16" s="413">
        <v>0.54142857142857148</v>
      </c>
    </row>
    <row r="17" spans="1:43">
      <c r="A17" s="201">
        <v>45398</v>
      </c>
      <c r="B17" s="387">
        <f>IF(YEAR(Table6[[#This Row],[Date]]) = 2024, WEEKNUM(Table6[[#This Row],[Date]])-13, WEEKNUM(Table6[[#This Row],[Date]])+40)</f>
        <v>3</v>
      </c>
      <c r="C17" s="30" t="s">
        <v>49</v>
      </c>
      <c r="D17" s="59" t="s">
        <v>48</v>
      </c>
      <c r="E17" s="28">
        <v>128</v>
      </c>
      <c r="F17" s="28">
        <v>123</v>
      </c>
      <c r="G17" s="60">
        <f t="shared" ref="G17:H17" si="13">(E17-E10)/E10</f>
        <v>0.20754716981132076</v>
      </c>
      <c r="H17" s="60">
        <f t="shared" si="13"/>
        <v>0.21782178217821782</v>
      </c>
      <c r="I17" s="28">
        <f>I16+E17</f>
        <v>1226</v>
      </c>
      <c r="J17" s="28">
        <f>J16+F17</f>
        <v>1162</v>
      </c>
      <c r="K17" s="28">
        <f t="shared" si="5"/>
        <v>1226</v>
      </c>
      <c r="L17" s="28">
        <f t="shared" si="6"/>
        <v>1162</v>
      </c>
      <c r="M17" s="64">
        <v>0.96</v>
      </c>
      <c r="N17" s="64">
        <v>0.04</v>
      </c>
      <c r="O17" s="64">
        <v>0.96</v>
      </c>
      <c r="P17" s="64">
        <v>0.71</v>
      </c>
      <c r="Q17" s="82"/>
      <c r="R17" s="279">
        <v>301</v>
      </c>
      <c r="S17" s="172">
        <v>8.4027777777777771E-2</v>
      </c>
      <c r="T17" s="174">
        <v>2</v>
      </c>
      <c r="U17" s="170" t="str">
        <f t="shared" si="0"/>
        <v>Normal</v>
      </c>
      <c r="V17" s="170" t="str">
        <f t="shared" si="1"/>
        <v>Normal</v>
      </c>
      <c r="W17" s="378">
        <f t="shared" si="2"/>
        <v>0.20754716981132076</v>
      </c>
      <c r="X17" s="378">
        <f t="shared" si="3"/>
        <v>0.21782178217821782</v>
      </c>
      <c r="AM17" s="411">
        <v>5</v>
      </c>
      <c r="AN17" s="412">
        <v>605</v>
      </c>
      <c r="AO17" s="412">
        <v>573</v>
      </c>
      <c r="AP17" s="413">
        <v>0.6757142857142856</v>
      </c>
      <c r="AQ17" s="413">
        <v>0.77571428571428569</v>
      </c>
    </row>
    <row r="18" spans="1:43">
      <c r="A18" s="21">
        <v>45399</v>
      </c>
      <c r="B18" s="16">
        <f>IF(YEAR(Table6[[#This Row],[Date]]) = 2024, WEEKNUM(Table6[[#This Row],[Date]])-13, WEEKNUM(Table6[[#This Row],[Date]])+40)</f>
        <v>3</v>
      </c>
      <c r="C18" s="31" t="s">
        <v>50</v>
      </c>
      <c r="D18" s="59" t="s">
        <v>48</v>
      </c>
      <c r="E18" s="1">
        <v>108</v>
      </c>
      <c r="F18" s="1">
        <v>104</v>
      </c>
      <c r="G18" s="61">
        <f t="shared" ref="G18" si="14">(E18-E11)/E11</f>
        <v>1.1176470588235294</v>
      </c>
      <c r="H18" s="61">
        <f t="shared" ref="H18" si="15">(F18-F11)/F11</f>
        <v>1.08</v>
      </c>
      <c r="I18" s="1">
        <f>I17+E18</f>
        <v>1334</v>
      </c>
      <c r="J18" s="1">
        <f>J17+F18</f>
        <v>1266</v>
      </c>
      <c r="K18" s="1">
        <f t="shared" si="5"/>
        <v>1334</v>
      </c>
      <c r="L18" s="1">
        <f t="shared" si="6"/>
        <v>1266</v>
      </c>
      <c r="M18" s="63">
        <v>0.96</v>
      </c>
      <c r="N18" s="63">
        <v>0.04</v>
      </c>
      <c r="O18" s="63">
        <v>0.96</v>
      </c>
      <c r="P18" s="63">
        <v>1.04</v>
      </c>
      <c r="Q18" s="83"/>
      <c r="R18" s="271">
        <v>259</v>
      </c>
      <c r="S18" s="140">
        <v>0.12638888888888888</v>
      </c>
      <c r="T18" s="106">
        <v>2</v>
      </c>
      <c r="U18" s="106" t="str">
        <f t="shared" si="0"/>
        <v>Outlier</v>
      </c>
      <c r="V18" s="106" t="str">
        <f t="shared" si="1"/>
        <v>Outlier</v>
      </c>
      <c r="W18" s="18">
        <f t="shared" si="2"/>
        <v>1.1176470588235294</v>
      </c>
      <c r="X18" s="18">
        <f t="shared" si="3"/>
        <v>1.08</v>
      </c>
      <c r="AM18" s="411">
        <v>6</v>
      </c>
      <c r="AN18" s="412">
        <v>605</v>
      </c>
      <c r="AO18" s="412">
        <v>565</v>
      </c>
      <c r="AP18" s="413">
        <v>0.66857142857142848</v>
      </c>
      <c r="AQ18" s="413">
        <v>0.28428571428571425</v>
      </c>
    </row>
    <row r="19" spans="1:43">
      <c r="A19" s="201">
        <v>45400</v>
      </c>
      <c r="B19" s="387">
        <f>IF(YEAR(Table6[[#This Row],[Date]]) = 2024, WEEKNUM(Table6[[#This Row],[Date]])-13, WEEKNUM(Table6[[#This Row],[Date]])+40)</f>
        <v>3</v>
      </c>
      <c r="C19" s="30" t="s">
        <v>51</v>
      </c>
      <c r="D19" s="59" t="s">
        <v>48</v>
      </c>
      <c r="E19" s="28">
        <v>93</v>
      </c>
      <c r="F19" s="28">
        <v>90</v>
      </c>
      <c r="G19" s="60">
        <v>0.82352941176470584</v>
      </c>
      <c r="H19" s="60">
        <v>0.8</v>
      </c>
      <c r="I19" s="28">
        <f t="shared" ref="I19:I21" si="16">I18+E19</f>
        <v>1427</v>
      </c>
      <c r="J19" s="28">
        <f>J18+F19</f>
        <v>1356</v>
      </c>
      <c r="K19" s="28">
        <f t="shared" si="5"/>
        <v>1427</v>
      </c>
      <c r="L19" s="28">
        <f t="shared" si="6"/>
        <v>1356</v>
      </c>
      <c r="M19" s="64">
        <v>0.97</v>
      </c>
      <c r="N19" s="64">
        <v>0.03</v>
      </c>
      <c r="O19" s="64">
        <v>0.97</v>
      </c>
      <c r="P19" s="64">
        <v>0.42</v>
      </c>
      <c r="Q19" s="82"/>
      <c r="R19" s="279">
        <v>242</v>
      </c>
      <c r="S19" s="172">
        <v>8.4027777777777771E-2</v>
      </c>
      <c r="T19" s="174">
        <v>1</v>
      </c>
      <c r="U19" s="170" t="str">
        <f t="shared" si="0"/>
        <v>Outlier</v>
      </c>
      <c r="V19" s="170" t="str">
        <f t="shared" si="1"/>
        <v>Outlier</v>
      </c>
      <c r="W19" s="378">
        <f t="shared" si="2"/>
        <v>0.82352941176470584</v>
      </c>
      <c r="X19" s="378">
        <f t="shared" si="3"/>
        <v>0.8</v>
      </c>
      <c r="AM19" s="411">
        <v>7</v>
      </c>
      <c r="AN19" s="412">
        <v>731</v>
      </c>
      <c r="AO19" s="412">
        <v>664</v>
      </c>
      <c r="AP19" s="413">
        <v>0.78</v>
      </c>
      <c r="AQ19" s="413">
        <v>0.47428571428571425</v>
      </c>
    </row>
    <row r="20" spans="1:43">
      <c r="A20" s="21">
        <v>45401</v>
      </c>
      <c r="B20" s="16">
        <f>IF(YEAR(Table6[[#This Row],[Date]]) = 2024, WEEKNUM(Table6[[#This Row],[Date]])-13, WEEKNUM(Table6[[#This Row],[Date]])+40)</f>
        <v>3</v>
      </c>
      <c r="C20" s="31" t="s">
        <v>52</v>
      </c>
      <c r="D20" s="59" t="s">
        <v>48</v>
      </c>
      <c r="E20" s="1">
        <v>43</v>
      </c>
      <c r="F20" s="1">
        <v>46</v>
      </c>
      <c r="G20" s="61">
        <v>-0.47560975609756095</v>
      </c>
      <c r="H20" s="61">
        <v>-0.41025641025641024</v>
      </c>
      <c r="I20" s="1">
        <f t="shared" si="16"/>
        <v>1470</v>
      </c>
      <c r="J20" s="1">
        <f>J19+F20</f>
        <v>1402</v>
      </c>
      <c r="K20" s="1">
        <f t="shared" si="5"/>
        <v>1470</v>
      </c>
      <c r="L20" s="1">
        <f t="shared" si="6"/>
        <v>1402</v>
      </c>
      <c r="M20" s="63">
        <v>0.96</v>
      </c>
      <c r="N20" s="63">
        <v>0.04</v>
      </c>
      <c r="O20" s="63">
        <v>0.96</v>
      </c>
      <c r="P20" s="63">
        <v>0.46</v>
      </c>
      <c r="Q20" s="83"/>
      <c r="R20" s="271">
        <v>259</v>
      </c>
      <c r="S20" s="140">
        <v>0.12638888888888888</v>
      </c>
      <c r="T20" s="106">
        <v>1</v>
      </c>
      <c r="U20" s="106" t="str">
        <f t="shared" si="0"/>
        <v>Normal</v>
      </c>
      <c r="V20" s="106" t="str">
        <f t="shared" si="1"/>
        <v>Normal</v>
      </c>
      <c r="W20" s="18">
        <f t="shared" si="2"/>
        <v>-0.47560975609756095</v>
      </c>
      <c r="X20" s="18">
        <f t="shared" si="3"/>
        <v>-0.41025641025641024</v>
      </c>
      <c r="AM20" s="411">
        <v>8</v>
      </c>
      <c r="AN20" s="412">
        <v>674</v>
      </c>
      <c r="AO20" s="412">
        <v>604</v>
      </c>
      <c r="AP20" s="413">
        <v>0.77000000000000013</v>
      </c>
      <c r="AQ20" s="413">
        <v>0.76428571428571435</v>
      </c>
    </row>
    <row r="21" spans="1:43">
      <c r="A21" s="201">
        <v>45402</v>
      </c>
      <c r="B21" s="387">
        <f>IF(YEAR(Table6[[#This Row],[Date]]) = 2024, WEEKNUM(Table6[[#This Row],[Date]])-13, WEEKNUM(Table6[[#This Row],[Date]])+40)</f>
        <v>3</v>
      </c>
      <c r="C21" s="30" t="s">
        <v>53</v>
      </c>
      <c r="D21" s="59" t="s">
        <v>48</v>
      </c>
      <c r="E21" s="28">
        <v>94</v>
      </c>
      <c r="F21" s="28">
        <v>92</v>
      </c>
      <c r="G21" s="60">
        <v>-0.30882352941176472</v>
      </c>
      <c r="H21" s="60">
        <v>-0.27559055118110237</v>
      </c>
      <c r="I21" s="28">
        <f t="shared" si="16"/>
        <v>1564</v>
      </c>
      <c r="J21" s="28">
        <f>J20+F21</f>
        <v>1494</v>
      </c>
      <c r="K21" s="28">
        <f t="shared" si="5"/>
        <v>1564</v>
      </c>
      <c r="L21" s="28">
        <f t="shared" si="6"/>
        <v>1494</v>
      </c>
      <c r="M21" s="64">
        <v>0.98</v>
      </c>
      <c r="N21" s="64">
        <v>0.02</v>
      </c>
      <c r="O21" s="64">
        <v>0.98</v>
      </c>
      <c r="P21" s="64">
        <v>0.86</v>
      </c>
      <c r="Q21" s="82"/>
      <c r="R21" s="279">
        <v>243</v>
      </c>
      <c r="S21" s="172">
        <v>8.4027777777777771E-2</v>
      </c>
      <c r="T21" s="174">
        <v>2</v>
      </c>
      <c r="U21" s="170" t="str">
        <f t="shared" si="0"/>
        <v>Normal</v>
      </c>
      <c r="V21" s="170" t="str">
        <f t="shared" si="1"/>
        <v>Normal</v>
      </c>
      <c r="W21" s="378">
        <f t="shared" si="2"/>
        <v>-0.30882352941176472</v>
      </c>
      <c r="X21" s="378">
        <f t="shared" si="3"/>
        <v>-0.27559055118110237</v>
      </c>
      <c r="AM21" s="411">
        <v>9</v>
      </c>
      <c r="AN21" s="412">
        <v>654</v>
      </c>
      <c r="AO21" s="412">
        <v>571</v>
      </c>
      <c r="AP21" s="413">
        <v>0.75285714285714289</v>
      </c>
      <c r="AQ21" s="413">
        <v>0.36571428571428571</v>
      </c>
    </row>
    <row r="22" spans="1:43">
      <c r="A22" s="21">
        <v>45403</v>
      </c>
      <c r="B22" s="16">
        <f>IF(YEAR(Table6[[#This Row],[Date]]) = 2024, WEEKNUM(Table6[[#This Row],[Date]])-13, WEEKNUM(Table6[[#This Row],[Date]])+40)</f>
        <v>4</v>
      </c>
      <c r="C22" s="31" t="s">
        <v>54</v>
      </c>
      <c r="D22" s="59" t="s">
        <v>48</v>
      </c>
      <c r="E22" s="1">
        <v>0</v>
      </c>
      <c r="F22" s="1">
        <v>0</v>
      </c>
      <c r="G22" s="61">
        <v>0</v>
      </c>
      <c r="H22" s="61">
        <v>0</v>
      </c>
      <c r="I22" s="1">
        <v>0</v>
      </c>
      <c r="J22" s="1">
        <v>0</v>
      </c>
      <c r="K22" s="1">
        <f t="shared" si="5"/>
        <v>1564</v>
      </c>
      <c r="L22" s="1">
        <f t="shared" si="6"/>
        <v>1494</v>
      </c>
      <c r="M22" s="63">
        <v>0</v>
      </c>
      <c r="N22" s="63">
        <v>0</v>
      </c>
      <c r="O22" s="63">
        <v>0</v>
      </c>
      <c r="P22" s="63">
        <v>0</v>
      </c>
      <c r="Q22" s="83"/>
      <c r="R22" s="271">
        <v>0</v>
      </c>
      <c r="S22" s="140">
        <v>0</v>
      </c>
      <c r="T22" s="106">
        <v>0</v>
      </c>
      <c r="U22" s="106" t="str">
        <f t="shared" si="0"/>
        <v>Normal</v>
      </c>
      <c r="V22" s="106" t="str">
        <f t="shared" si="1"/>
        <v>Normal</v>
      </c>
      <c r="W22" s="18">
        <f t="shared" si="2"/>
        <v>0</v>
      </c>
      <c r="X22" s="18">
        <f t="shared" si="3"/>
        <v>0</v>
      </c>
      <c r="AM22" s="411">
        <v>10</v>
      </c>
      <c r="AN22" s="412">
        <v>641</v>
      </c>
      <c r="AO22" s="412">
        <v>573</v>
      </c>
      <c r="AP22" s="413">
        <v>0.76428571428571423</v>
      </c>
      <c r="AQ22" s="413">
        <v>0.22428571428571425</v>
      </c>
    </row>
    <row r="23" spans="1:43">
      <c r="A23" s="201">
        <v>45404</v>
      </c>
      <c r="B23" s="387">
        <f>IF(YEAR(Table6[[#This Row],[Date]]) = 2024, WEEKNUM(Table6[[#This Row],[Date]])-13, WEEKNUM(Table6[[#This Row],[Date]])+40)</f>
        <v>4</v>
      </c>
      <c r="C23" s="30" t="s">
        <v>55</v>
      </c>
      <c r="D23" s="59" t="s">
        <v>48</v>
      </c>
      <c r="E23" s="28">
        <v>97</v>
      </c>
      <c r="F23" s="28">
        <v>94</v>
      </c>
      <c r="G23" s="60">
        <f>(E23-E16)/E16</f>
        <v>-8.4905660377358486E-2</v>
      </c>
      <c r="H23" s="60">
        <f>(F23-F16)/F16</f>
        <v>-5.0505050505050504E-2</v>
      </c>
      <c r="I23" s="28">
        <f>I21+E23</f>
        <v>1661</v>
      </c>
      <c r="J23" s="28">
        <f>J21+F23</f>
        <v>1588</v>
      </c>
      <c r="K23" s="28">
        <f t="shared" si="5"/>
        <v>1661</v>
      </c>
      <c r="L23" s="28">
        <f t="shared" si="6"/>
        <v>1588</v>
      </c>
      <c r="M23" s="64">
        <v>0.97</v>
      </c>
      <c r="N23" s="64">
        <v>0.03</v>
      </c>
      <c r="O23" s="64">
        <v>0.97</v>
      </c>
      <c r="P23" s="64">
        <v>0.69</v>
      </c>
      <c r="Q23" s="82"/>
      <c r="R23" s="279">
        <v>383</v>
      </c>
      <c r="S23" s="172">
        <v>4.3750000000000004E-2</v>
      </c>
      <c r="T23" s="174">
        <v>2</v>
      </c>
      <c r="U23" s="170" t="str">
        <f t="shared" si="0"/>
        <v>Normal</v>
      </c>
      <c r="V23" s="170" t="str">
        <f t="shared" si="1"/>
        <v>Normal</v>
      </c>
      <c r="W23" s="378">
        <f t="shared" si="2"/>
        <v>-8.4905660377358486E-2</v>
      </c>
      <c r="X23" s="378">
        <f t="shared" si="3"/>
        <v>-5.0505050505050504E-2</v>
      </c>
      <c r="AM23" s="411">
        <v>11</v>
      </c>
      <c r="AN23" s="412">
        <v>615</v>
      </c>
      <c r="AO23" s="412">
        <v>563</v>
      </c>
      <c r="AP23" s="413">
        <v>0.78428571428571436</v>
      </c>
      <c r="AQ23" s="413">
        <v>0.47428571428571425</v>
      </c>
    </row>
    <row r="24" spans="1:43">
      <c r="A24" s="21">
        <v>45405</v>
      </c>
      <c r="B24" s="16">
        <f>IF(YEAR(Table6[[#This Row],[Date]]) = 2024, WEEKNUM(Table6[[#This Row],[Date]])-13, WEEKNUM(Table6[[#This Row],[Date]])+40)</f>
        <v>4</v>
      </c>
      <c r="C24" s="31" t="s">
        <v>49</v>
      </c>
      <c r="D24" s="59" t="s">
        <v>48</v>
      </c>
      <c r="E24" s="1">
        <v>95</v>
      </c>
      <c r="F24" s="1">
        <v>93</v>
      </c>
      <c r="G24" s="61">
        <f t="shared" ref="G24:G25" si="17">(E24-E17)/E17</f>
        <v>-0.2578125</v>
      </c>
      <c r="H24" s="61">
        <f t="shared" ref="H24:H25" si="18">(F24-F17)/F17</f>
        <v>-0.24390243902439024</v>
      </c>
      <c r="I24" s="1">
        <f>I23+E24</f>
        <v>1756</v>
      </c>
      <c r="J24" s="1">
        <f>J23+F24</f>
        <v>1681</v>
      </c>
      <c r="K24" s="1">
        <f t="shared" si="5"/>
        <v>1756</v>
      </c>
      <c r="L24" s="1">
        <f t="shared" si="6"/>
        <v>1681</v>
      </c>
      <c r="M24" s="63">
        <v>0.98</v>
      </c>
      <c r="N24" s="63">
        <v>0.02</v>
      </c>
      <c r="O24" s="63">
        <v>0.98</v>
      </c>
      <c r="P24" s="63">
        <v>0.72</v>
      </c>
      <c r="Q24" s="83"/>
      <c r="R24" s="271">
        <v>402</v>
      </c>
      <c r="S24" s="140">
        <v>0.10486111111111111</v>
      </c>
      <c r="T24" s="106">
        <v>2</v>
      </c>
      <c r="U24" s="106" t="str">
        <f t="shared" si="0"/>
        <v>Normal</v>
      </c>
      <c r="V24" s="106" t="str">
        <f t="shared" si="1"/>
        <v>Normal</v>
      </c>
      <c r="W24" s="18">
        <f t="shared" si="2"/>
        <v>-0.2578125</v>
      </c>
      <c r="X24" s="18">
        <f t="shared" si="3"/>
        <v>-0.24390243902439024</v>
      </c>
      <c r="AM24" s="411">
        <v>12</v>
      </c>
      <c r="AN24" s="412">
        <v>589</v>
      </c>
      <c r="AO24" s="412">
        <v>512</v>
      </c>
      <c r="AP24" s="413">
        <v>0.49428571428571427</v>
      </c>
      <c r="AQ24" s="413">
        <v>0.2</v>
      </c>
    </row>
    <row r="25" spans="1:43">
      <c r="A25" s="201">
        <v>45406</v>
      </c>
      <c r="B25" s="387">
        <f>IF(YEAR(Table6[[#This Row],[Date]]) = 2024, WEEKNUM(Table6[[#This Row],[Date]])-13, WEEKNUM(Table6[[#This Row],[Date]])+40)</f>
        <v>4</v>
      </c>
      <c r="C25" s="30" t="s">
        <v>50</v>
      </c>
      <c r="D25" s="59" t="s">
        <v>48</v>
      </c>
      <c r="E25" s="28">
        <v>101</v>
      </c>
      <c r="F25" s="28">
        <v>98</v>
      </c>
      <c r="G25" s="60">
        <f t="shared" si="17"/>
        <v>-6.4814814814814811E-2</v>
      </c>
      <c r="H25" s="60">
        <f t="shared" si="18"/>
        <v>-5.7692307692307696E-2</v>
      </c>
      <c r="I25" s="28">
        <f>I24+E25</f>
        <v>1857</v>
      </c>
      <c r="J25" s="28">
        <f>J24+F25</f>
        <v>1779</v>
      </c>
      <c r="K25" s="28">
        <f t="shared" si="5"/>
        <v>1857</v>
      </c>
      <c r="L25" s="28">
        <f t="shared" si="6"/>
        <v>1779</v>
      </c>
      <c r="M25" s="64">
        <v>0.97</v>
      </c>
      <c r="N25" s="64">
        <v>0.03</v>
      </c>
      <c r="O25" s="64">
        <v>0.97</v>
      </c>
      <c r="P25" s="64">
        <v>0.56999999999999995</v>
      </c>
      <c r="Q25" s="82"/>
      <c r="R25" s="279">
        <v>303</v>
      </c>
      <c r="S25" s="172">
        <v>0.12569444444444444</v>
      </c>
      <c r="T25" s="174">
        <v>2</v>
      </c>
      <c r="U25" s="170" t="str">
        <f t="shared" si="0"/>
        <v>Normal</v>
      </c>
      <c r="V25" s="170" t="str">
        <f t="shared" si="1"/>
        <v>Normal</v>
      </c>
      <c r="W25" s="378">
        <f t="shared" si="2"/>
        <v>-6.4814814814814811E-2</v>
      </c>
      <c r="X25" s="378">
        <f t="shared" si="3"/>
        <v>-5.7692307692307696E-2</v>
      </c>
      <c r="AM25" s="411">
        <v>13</v>
      </c>
      <c r="AN25" s="412">
        <v>395</v>
      </c>
      <c r="AO25" s="412">
        <v>345</v>
      </c>
      <c r="AP25" s="413">
        <v>0.74428571428571411</v>
      </c>
      <c r="AQ25" s="413">
        <v>0.13714285714285715</v>
      </c>
    </row>
    <row r="26" spans="1:43">
      <c r="A26" s="21">
        <v>45407</v>
      </c>
      <c r="B26" s="16">
        <f>IF(YEAR(Table6[[#This Row],[Date]]) = 2024, WEEKNUM(Table6[[#This Row],[Date]])-13, WEEKNUM(Table6[[#This Row],[Date]])+40)</f>
        <v>4</v>
      </c>
      <c r="C26" s="31" t="s">
        <v>51</v>
      </c>
      <c r="D26" s="59" t="s">
        <v>48</v>
      </c>
      <c r="E26" s="1">
        <v>109</v>
      </c>
      <c r="F26" s="1">
        <v>105</v>
      </c>
      <c r="G26" s="61">
        <v>0.82352941176470584</v>
      </c>
      <c r="H26" s="61">
        <v>0.8</v>
      </c>
      <c r="I26" s="1">
        <f t="shared" ref="I26:I28" si="19">I25+E26</f>
        <v>1966</v>
      </c>
      <c r="J26" s="1">
        <f>J25+F26</f>
        <v>1884</v>
      </c>
      <c r="K26" s="1">
        <f t="shared" si="5"/>
        <v>1966</v>
      </c>
      <c r="L26" s="1">
        <f t="shared" si="6"/>
        <v>1884</v>
      </c>
      <c r="M26" s="63">
        <v>0.96</v>
      </c>
      <c r="N26" s="63">
        <v>0.04</v>
      </c>
      <c r="O26" s="63">
        <v>0.96</v>
      </c>
      <c r="P26" s="63">
        <v>0.57999999999999996</v>
      </c>
      <c r="Q26" s="83"/>
      <c r="R26" s="271">
        <v>288</v>
      </c>
      <c r="S26" s="140">
        <v>0.12708333333333333</v>
      </c>
      <c r="T26" s="106">
        <v>2</v>
      </c>
      <c r="U26" s="106" t="str">
        <f t="shared" si="0"/>
        <v>Outlier</v>
      </c>
      <c r="V26" s="106" t="str">
        <f t="shared" si="1"/>
        <v>Outlier</v>
      </c>
      <c r="W26" s="18">
        <f t="shared" si="2"/>
        <v>0.82352941176470584</v>
      </c>
      <c r="X26" s="18">
        <f t="shared" si="3"/>
        <v>0.8</v>
      </c>
      <c r="AM26" s="411">
        <v>14</v>
      </c>
      <c r="AN26" s="412">
        <v>279</v>
      </c>
      <c r="AO26" s="412">
        <v>216</v>
      </c>
      <c r="AP26" s="413">
        <v>0.70285714285714285</v>
      </c>
      <c r="AQ26" s="413">
        <v>9.571428571428571E-2</v>
      </c>
    </row>
    <row r="27" spans="1:43">
      <c r="A27" s="201">
        <v>45408</v>
      </c>
      <c r="B27" s="387">
        <f>IF(YEAR(Table6[[#This Row],[Date]]) = 2024, WEEKNUM(Table6[[#This Row],[Date]])-13, WEEKNUM(Table6[[#This Row],[Date]])+40)</f>
        <v>4</v>
      </c>
      <c r="C27" s="30" t="s">
        <v>52</v>
      </c>
      <c r="D27" s="59" t="s">
        <v>48</v>
      </c>
      <c r="E27" s="28">
        <v>100</v>
      </c>
      <c r="F27" s="28">
        <v>94</v>
      </c>
      <c r="G27" s="60">
        <v>-0.47560975609756095</v>
      </c>
      <c r="H27" s="60">
        <v>-0.41025641025641024</v>
      </c>
      <c r="I27" s="28">
        <f t="shared" si="19"/>
        <v>2066</v>
      </c>
      <c r="J27" s="28">
        <f>J26+F27</f>
        <v>1978</v>
      </c>
      <c r="K27" s="28">
        <f t="shared" si="5"/>
        <v>2066</v>
      </c>
      <c r="L27" s="28">
        <f t="shared" si="6"/>
        <v>1978</v>
      </c>
      <c r="M27" s="64">
        <v>0.94</v>
      </c>
      <c r="N27" s="64">
        <v>0.06</v>
      </c>
      <c r="O27" s="64">
        <v>0.94</v>
      </c>
      <c r="P27" s="64">
        <v>0.69</v>
      </c>
      <c r="Q27" s="82"/>
      <c r="R27" s="279">
        <v>382</v>
      </c>
      <c r="S27" s="172">
        <v>0.13125000000000001</v>
      </c>
      <c r="T27" s="174">
        <v>2</v>
      </c>
      <c r="U27" s="170" t="str">
        <f t="shared" si="0"/>
        <v>Normal</v>
      </c>
      <c r="V27" s="170" t="str">
        <f t="shared" si="1"/>
        <v>Normal</v>
      </c>
      <c r="W27" s="378">
        <f t="shared" si="2"/>
        <v>-0.47560975609756095</v>
      </c>
      <c r="X27" s="378">
        <f t="shared" si="3"/>
        <v>-0.41025641025641024</v>
      </c>
      <c r="AM27" s="411">
        <v>15</v>
      </c>
      <c r="AN27" s="412">
        <v>751</v>
      </c>
      <c r="AO27" s="412">
        <v>660</v>
      </c>
      <c r="AP27" s="413">
        <v>0.76</v>
      </c>
      <c r="AQ27" s="413">
        <v>0.28857142857142865</v>
      </c>
    </row>
    <row r="28" spans="1:43">
      <c r="A28" s="21">
        <v>45409</v>
      </c>
      <c r="B28" s="16">
        <f>IF(YEAR(Table6[[#This Row],[Date]]) = 2024, WEEKNUM(Table6[[#This Row],[Date]])-13, WEEKNUM(Table6[[#This Row],[Date]])+40)</f>
        <v>4</v>
      </c>
      <c r="C28" s="31" t="s">
        <v>53</v>
      </c>
      <c r="D28" s="59" t="s">
        <v>48</v>
      </c>
      <c r="E28" s="1">
        <v>103</v>
      </c>
      <c r="F28" s="1">
        <v>99</v>
      </c>
      <c r="G28" s="61">
        <v>-0.30882352941176472</v>
      </c>
      <c r="H28" s="61">
        <v>-0.27559055118110237</v>
      </c>
      <c r="I28" s="1">
        <f t="shared" si="19"/>
        <v>2169</v>
      </c>
      <c r="J28" s="1">
        <f>J27+F28</f>
        <v>2077</v>
      </c>
      <c r="K28" s="1">
        <f t="shared" si="5"/>
        <v>2169</v>
      </c>
      <c r="L28" s="1">
        <f t="shared" si="6"/>
        <v>2077</v>
      </c>
      <c r="M28" s="63">
        <v>0.96</v>
      </c>
      <c r="N28" s="63">
        <v>0.04</v>
      </c>
      <c r="O28" s="63">
        <v>0.96</v>
      </c>
      <c r="P28" s="63">
        <v>0.54</v>
      </c>
      <c r="Q28" s="83"/>
      <c r="R28" s="271">
        <v>282</v>
      </c>
      <c r="S28" s="140">
        <v>8.9583333333333334E-2</v>
      </c>
      <c r="T28" s="106">
        <v>2</v>
      </c>
      <c r="U28" s="106" t="str">
        <f t="shared" si="0"/>
        <v>Normal</v>
      </c>
      <c r="V28" s="106" t="str">
        <f t="shared" si="1"/>
        <v>Normal</v>
      </c>
      <c r="W28" s="18">
        <f t="shared" si="2"/>
        <v>-0.30882352941176472</v>
      </c>
      <c r="X28" s="18">
        <f t="shared" si="3"/>
        <v>-0.27559055118110237</v>
      </c>
      <c r="AM28" s="411">
        <v>16</v>
      </c>
      <c r="AN28" s="412">
        <v>670</v>
      </c>
      <c r="AO28" s="412">
        <v>598</v>
      </c>
      <c r="AP28" s="413">
        <v>0.76714285714285713</v>
      </c>
      <c r="AQ28" s="413">
        <v>0.51285714285714279</v>
      </c>
    </row>
    <row r="29" spans="1:43">
      <c r="A29" s="201">
        <v>45410</v>
      </c>
      <c r="B29" s="387">
        <f>IF(YEAR(Table6[[#This Row],[Date]]) = 2024, WEEKNUM(Table6[[#This Row],[Date]])-13, WEEKNUM(Table6[[#This Row],[Date]])+40)</f>
        <v>5</v>
      </c>
      <c r="C29" s="30" t="s">
        <v>54</v>
      </c>
      <c r="D29" s="59" t="s">
        <v>48</v>
      </c>
      <c r="E29" s="28">
        <v>0</v>
      </c>
      <c r="F29" s="28">
        <v>0</v>
      </c>
      <c r="G29" s="60">
        <v>0</v>
      </c>
      <c r="H29" s="60">
        <v>0</v>
      </c>
      <c r="I29" s="28">
        <v>0</v>
      </c>
      <c r="J29" s="28">
        <v>0</v>
      </c>
      <c r="K29" s="28">
        <v>0</v>
      </c>
      <c r="L29" s="28">
        <v>0</v>
      </c>
      <c r="M29" s="64">
        <v>0</v>
      </c>
      <c r="N29" s="64">
        <v>0</v>
      </c>
      <c r="O29" s="64">
        <v>0</v>
      </c>
      <c r="P29" s="64">
        <v>0</v>
      </c>
      <c r="Q29" s="82"/>
      <c r="R29" s="279">
        <v>0</v>
      </c>
      <c r="S29" s="172">
        <v>0</v>
      </c>
      <c r="T29" s="174">
        <v>0</v>
      </c>
      <c r="U29" s="170" t="str">
        <f t="shared" si="0"/>
        <v>Normal</v>
      </c>
      <c r="V29" s="170" t="str">
        <f t="shared" si="1"/>
        <v>Normal</v>
      </c>
      <c r="W29" s="378">
        <f t="shared" si="2"/>
        <v>0</v>
      </c>
      <c r="X29" s="378">
        <f t="shared" si="3"/>
        <v>0</v>
      </c>
      <c r="AM29" s="411">
        <v>17</v>
      </c>
      <c r="AN29" s="412">
        <v>687</v>
      </c>
      <c r="AO29" s="412">
        <v>627</v>
      </c>
      <c r="AP29" s="413">
        <v>0.78285714285714292</v>
      </c>
      <c r="AQ29" s="413">
        <v>0.3671428571428571</v>
      </c>
    </row>
    <row r="30" spans="1:43">
      <c r="A30" s="21">
        <v>45411</v>
      </c>
      <c r="B30" s="16">
        <f>IF(YEAR(Table6[[#This Row],[Date]]) = 2024, WEEKNUM(Table6[[#This Row],[Date]])-13, WEEKNUM(Table6[[#This Row],[Date]])+40)</f>
        <v>5</v>
      </c>
      <c r="C30" s="31" t="s">
        <v>55</v>
      </c>
      <c r="D30" s="59" t="s">
        <v>48</v>
      </c>
      <c r="E30" s="1">
        <v>0</v>
      </c>
      <c r="F30" s="1">
        <v>0</v>
      </c>
      <c r="G30" s="61">
        <v>0</v>
      </c>
      <c r="H30" s="61">
        <v>0</v>
      </c>
      <c r="I30" s="1">
        <v>0</v>
      </c>
      <c r="J30" s="1">
        <v>0</v>
      </c>
      <c r="K30" s="1">
        <f t="shared" si="5"/>
        <v>0</v>
      </c>
      <c r="L30" s="1">
        <f t="shared" si="6"/>
        <v>0</v>
      </c>
      <c r="M30" s="63">
        <v>0</v>
      </c>
      <c r="N30" s="63">
        <v>0</v>
      </c>
      <c r="O30" s="63">
        <v>0</v>
      </c>
      <c r="P30" s="63">
        <v>0</v>
      </c>
      <c r="Q30" s="83"/>
      <c r="R30" s="271">
        <v>0</v>
      </c>
      <c r="S30" s="140">
        <v>0</v>
      </c>
      <c r="T30" s="106">
        <v>0</v>
      </c>
      <c r="U30" s="106" t="str">
        <f t="shared" si="0"/>
        <v>Normal</v>
      </c>
      <c r="V30" s="106" t="str">
        <f t="shared" si="1"/>
        <v>Normal</v>
      </c>
      <c r="W30" s="18">
        <f t="shared" si="2"/>
        <v>0</v>
      </c>
      <c r="X30" s="18">
        <f t="shared" si="3"/>
        <v>0</v>
      </c>
      <c r="AM30" s="411">
        <v>18</v>
      </c>
      <c r="AN30" s="412">
        <v>512</v>
      </c>
      <c r="AO30" s="412">
        <v>464</v>
      </c>
      <c r="AP30" s="413">
        <v>0.64428571428571424</v>
      </c>
      <c r="AQ30" s="413">
        <v>0.26571428571428568</v>
      </c>
    </row>
    <row r="31" spans="1:43">
      <c r="A31" s="201">
        <v>45412</v>
      </c>
      <c r="B31" s="387">
        <f>IF(YEAR(Table6[[#This Row],[Date]]) = 2024, WEEKNUM(Table6[[#This Row],[Date]])-13, WEEKNUM(Table6[[#This Row],[Date]])+40)</f>
        <v>5</v>
      </c>
      <c r="C31" s="30" t="s">
        <v>49</v>
      </c>
      <c r="D31" s="59" t="s">
        <v>48</v>
      </c>
      <c r="E31" s="28">
        <v>123</v>
      </c>
      <c r="F31" s="28">
        <v>116</v>
      </c>
      <c r="G31" s="60">
        <f t="shared" ref="G31:G32" si="20">(E31-E24)/E24</f>
        <v>0.29473684210526313</v>
      </c>
      <c r="H31" s="60">
        <f t="shared" ref="H31:H32" si="21">(F31-F24)/F24</f>
        <v>0.24731182795698925</v>
      </c>
      <c r="I31" s="28">
        <f>I28+E31</f>
        <v>2292</v>
      </c>
      <c r="J31" s="28">
        <f>J28+F31</f>
        <v>2193</v>
      </c>
      <c r="K31" s="28">
        <f>E31+K28</f>
        <v>2292</v>
      </c>
      <c r="L31" s="28">
        <f>F31+L28</f>
        <v>2193</v>
      </c>
      <c r="M31" s="64">
        <v>0.94</v>
      </c>
      <c r="N31" s="64">
        <v>0.06</v>
      </c>
      <c r="O31" s="64">
        <v>0.94</v>
      </c>
      <c r="P31" s="64">
        <v>0.69</v>
      </c>
      <c r="Q31" s="82"/>
      <c r="R31" s="279">
        <v>309</v>
      </c>
      <c r="S31" s="172">
        <v>0.12569444444444444</v>
      </c>
      <c r="T31" s="174">
        <v>2</v>
      </c>
      <c r="U31" s="170" t="str">
        <f t="shared" si="0"/>
        <v>Normal</v>
      </c>
      <c r="V31" s="170" t="str">
        <f t="shared" si="1"/>
        <v>Normal</v>
      </c>
      <c r="W31" s="378">
        <f t="shared" si="2"/>
        <v>0.29473684210526313</v>
      </c>
      <c r="X31" s="378">
        <f t="shared" si="3"/>
        <v>0.24731182795698925</v>
      </c>
      <c r="AM31" s="411">
        <v>19</v>
      </c>
      <c r="AN31" s="412">
        <v>710</v>
      </c>
      <c r="AO31" s="412">
        <v>610</v>
      </c>
      <c r="AP31" s="413">
        <v>0.75142857142857145</v>
      </c>
      <c r="AQ31" s="413">
        <v>0.28428571428571425</v>
      </c>
    </row>
    <row r="32" spans="1:43">
      <c r="A32" s="21">
        <v>45413</v>
      </c>
      <c r="B32" s="16">
        <f>IF(YEAR(Table6[[#This Row],[Date]]) = 2024, WEEKNUM(Table6[[#This Row],[Date]])-13, WEEKNUM(Table6[[#This Row],[Date]])+40)</f>
        <v>5</v>
      </c>
      <c r="C32" s="31" t="s">
        <v>50</v>
      </c>
      <c r="D32" s="59" t="s">
        <v>48</v>
      </c>
      <c r="E32" s="1">
        <v>155</v>
      </c>
      <c r="F32" s="1">
        <v>143</v>
      </c>
      <c r="G32" s="61">
        <f t="shared" si="20"/>
        <v>0.53465346534653468</v>
      </c>
      <c r="H32" s="61">
        <f t="shared" si="21"/>
        <v>0.45918367346938777</v>
      </c>
      <c r="I32" s="1">
        <f>E32</f>
        <v>155</v>
      </c>
      <c r="J32" s="1">
        <f>F32</f>
        <v>143</v>
      </c>
      <c r="K32" s="1">
        <f t="shared" si="5"/>
        <v>2447</v>
      </c>
      <c r="L32" s="1">
        <f t="shared" si="6"/>
        <v>2336</v>
      </c>
      <c r="M32" s="63">
        <v>0.92</v>
      </c>
      <c r="N32" s="63">
        <v>0.08</v>
      </c>
      <c r="O32" s="63">
        <v>0.92</v>
      </c>
      <c r="P32" s="63">
        <v>2.75</v>
      </c>
      <c r="Q32" s="83"/>
      <c r="R32" s="271">
        <v>498</v>
      </c>
      <c r="S32" s="140">
        <v>7.5694444444444439E-2</v>
      </c>
      <c r="T32" s="106">
        <v>1</v>
      </c>
      <c r="U32" s="106" t="str">
        <f t="shared" si="0"/>
        <v>Normal</v>
      </c>
      <c r="V32" s="106" t="str">
        <f t="shared" si="1"/>
        <v>Normal</v>
      </c>
      <c r="W32" s="18">
        <f t="shared" si="2"/>
        <v>0.53465346534653468</v>
      </c>
      <c r="X32" s="18">
        <f t="shared" si="3"/>
        <v>0.45918367346938777</v>
      </c>
      <c r="AM32" s="411" t="s">
        <v>174</v>
      </c>
      <c r="AN32" s="412">
        <v>11287</v>
      </c>
      <c r="AO32" s="412">
        <v>10222</v>
      </c>
      <c r="AP32" s="413">
        <v>0.74128787878787905</v>
      </c>
      <c r="AQ32" s="413">
        <v>0.37840909090909086</v>
      </c>
    </row>
    <row r="33" spans="1:24">
      <c r="A33" s="201">
        <v>45414</v>
      </c>
      <c r="B33" s="387">
        <f>IF(YEAR(Table6[[#This Row],[Date]]) = 2024, WEEKNUM(Table6[[#This Row],[Date]])-13, WEEKNUM(Table6[[#This Row],[Date]])+40)</f>
        <v>5</v>
      </c>
      <c r="C33" s="30" t="s">
        <v>51</v>
      </c>
      <c r="D33" s="59" t="s">
        <v>48</v>
      </c>
      <c r="E33" s="28">
        <v>154</v>
      </c>
      <c r="F33" s="28">
        <v>148</v>
      </c>
      <c r="G33" s="60">
        <v>0.82352941176470584</v>
      </c>
      <c r="H33" s="60">
        <v>0.8</v>
      </c>
      <c r="I33" s="28">
        <f t="shared" ref="I33:I35" si="22">I32+E33</f>
        <v>309</v>
      </c>
      <c r="J33" s="28">
        <f>J32+F33</f>
        <v>291</v>
      </c>
      <c r="K33" s="28">
        <f t="shared" si="5"/>
        <v>2601</v>
      </c>
      <c r="L33" s="28">
        <f t="shared" si="6"/>
        <v>2484</v>
      </c>
      <c r="M33" s="64">
        <v>0.96</v>
      </c>
      <c r="N33" s="64">
        <v>0.04</v>
      </c>
      <c r="O33" s="64">
        <v>0.96</v>
      </c>
      <c r="P33" s="64">
        <v>1.49</v>
      </c>
      <c r="Q33" s="82"/>
      <c r="R33" s="279">
        <v>261</v>
      </c>
      <c r="S33" s="172">
        <v>3.7499999999999999E-2</v>
      </c>
      <c r="T33" s="174">
        <v>1</v>
      </c>
      <c r="U33" s="170" t="str">
        <f t="shared" si="0"/>
        <v>Outlier</v>
      </c>
      <c r="V33" s="170" t="str">
        <f t="shared" si="1"/>
        <v>Outlier</v>
      </c>
      <c r="W33" s="378">
        <f t="shared" si="2"/>
        <v>0.82352941176470584</v>
      </c>
      <c r="X33" s="378">
        <f t="shared" si="3"/>
        <v>0.8</v>
      </c>
    </row>
    <row r="34" spans="1:24">
      <c r="A34" s="21">
        <v>45415</v>
      </c>
      <c r="B34" s="16">
        <f>IF(YEAR(Table6[[#This Row],[Date]]) = 2024, WEEKNUM(Table6[[#This Row],[Date]])-13, WEEKNUM(Table6[[#This Row],[Date]])+40)</f>
        <v>5</v>
      </c>
      <c r="C34" s="31" t="s">
        <v>52</v>
      </c>
      <c r="D34" s="59" t="s">
        <v>48</v>
      </c>
      <c r="E34" s="1">
        <v>108</v>
      </c>
      <c r="F34" s="1">
        <v>104</v>
      </c>
      <c r="G34" s="61">
        <v>-0.47560975609756095</v>
      </c>
      <c r="H34" s="61">
        <v>-0.41025641025641024</v>
      </c>
      <c r="I34" s="1">
        <f t="shared" si="22"/>
        <v>417</v>
      </c>
      <c r="J34" s="1">
        <f>J33+F34</f>
        <v>395</v>
      </c>
      <c r="K34" s="1">
        <f t="shared" si="5"/>
        <v>2709</v>
      </c>
      <c r="L34" s="1">
        <f t="shared" si="6"/>
        <v>2588</v>
      </c>
      <c r="M34" s="63">
        <v>0.96</v>
      </c>
      <c r="N34" s="63">
        <v>0.04</v>
      </c>
      <c r="O34" s="63">
        <v>0.96</v>
      </c>
      <c r="P34" s="63">
        <v>0.26</v>
      </c>
      <c r="Q34" s="83"/>
      <c r="R34" s="271">
        <v>130</v>
      </c>
      <c r="S34" s="140">
        <v>2.8472222222222222E-2</v>
      </c>
      <c r="T34" s="106">
        <v>2</v>
      </c>
      <c r="U34" s="106" t="str">
        <f t="shared" ref="U34:U65" si="23">IF(OR(G34&lt;$AB$5,G34&gt;$AC$5), "Outlier", "Normal")</f>
        <v>Normal</v>
      </c>
      <c r="V34" s="106" t="str">
        <f t="shared" ref="V34:V65" si="24">IF(OR(H34&lt;$AB$6,H34&gt;$AC$6), "Outlier", "Normal")</f>
        <v>Normal</v>
      </c>
      <c r="W34" s="18">
        <f t="shared" ref="W34:W65" si="25">IF(U34="Normal",$G34,IF($G34&lt;150%, $G34, $AB$9))</f>
        <v>-0.47560975609756095</v>
      </c>
      <c r="X34" s="18">
        <f t="shared" ref="X34:X65" si="26">IF(V34="Normal",$H34,IF($H34&lt;150%, $H34, $AF$9))</f>
        <v>-0.41025641025641024</v>
      </c>
    </row>
    <row r="35" spans="1:24">
      <c r="A35" s="201">
        <v>45416</v>
      </c>
      <c r="B35" s="387">
        <f>IF(YEAR(Table6[[#This Row],[Date]]) = 2024, WEEKNUM(Table6[[#This Row],[Date]])-13, WEEKNUM(Table6[[#This Row],[Date]])+40)</f>
        <v>5</v>
      </c>
      <c r="C35" s="30" t="s">
        <v>53</v>
      </c>
      <c r="D35" s="59" t="s">
        <v>48</v>
      </c>
      <c r="E35" s="28">
        <v>65</v>
      </c>
      <c r="F35" s="28">
        <v>62</v>
      </c>
      <c r="G35" s="60">
        <v>-0.30882352941176472</v>
      </c>
      <c r="H35" s="60">
        <v>-0.27559055118110237</v>
      </c>
      <c r="I35" s="28">
        <f t="shared" si="22"/>
        <v>482</v>
      </c>
      <c r="J35" s="28">
        <f>J34+F35</f>
        <v>457</v>
      </c>
      <c r="K35" s="28">
        <f t="shared" si="5"/>
        <v>2774</v>
      </c>
      <c r="L35" s="28">
        <f t="shared" si="6"/>
        <v>2650</v>
      </c>
      <c r="M35" s="64">
        <v>0.95</v>
      </c>
      <c r="N35" s="64">
        <v>0.05</v>
      </c>
      <c r="O35" s="64">
        <v>0.95</v>
      </c>
      <c r="P35" s="64">
        <v>0.24</v>
      </c>
      <c r="Q35" s="82"/>
      <c r="R35" s="279">
        <v>99</v>
      </c>
      <c r="S35" s="172">
        <v>1.1111111111111112E-2</v>
      </c>
      <c r="T35" s="174">
        <v>1</v>
      </c>
      <c r="U35" s="170" t="str">
        <f t="shared" si="23"/>
        <v>Normal</v>
      </c>
      <c r="V35" s="170" t="str">
        <f t="shared" si="24"/>
        <v>Normal</v>
      </c>
      <c r="W35" s="378">
        <f t="shared" si="25"/>
        <v>-0.30882352941176472</v>
      </c>
      <c r="X35" s="378">
        <f t="shared" si="26"/>
        <v>-0.27559055118110237</v>
      </c>
    </row>
    <row r="36" spans="1:24">
      <c r="A36" s="21">
        <v>45417</v>
      </c>
      <c r="B36" s="16">
        <f>IF(YEAR(Table6[[#This Row],[Date]]) = 2024, WEEKNUM(Table6[[#This Row],[Date]])-13, WEEKNUM(Table6[[#This Row],[Date]])+40)</f>
        <v>6</v>
      </c>
      <c r="C36" s="31" t="s">
        <v>54</v>
      </c>
      <c r="D36" s="59" t="s">
        <v>48</v>
      </c>
      <c r="E36" s="1">
        <v>0</v>
      </c>
      <c r="F36" s="1">
        <v>0</v>
      </c>
      <c r="G36" s="61">
        <v>0</v>
      </c>
      <c r="H36" s="61">
        <v>0</v>
      </c>
      <c r="I36" s="1">
        <v>0</v>
      </c>
      <c r="J36" s="1">
        <v>0</v>
      </c>
      <c r="K36" s="1">
        <v>0</v>
      </c>
      <c r="L36" s="1">
        <v>0</v>
      </c>
      <c r="M36" s="63">
        <v>0</v>
      </c>
      <c r="N36" s="63">
        <v>0</v>
      </c>
      <c r="O36" s="63">
        <v>0</v>
      </c>
      <c r="P36" s="63">
        <v>0</v>
      </c>
      <c r="Q36" s="83"/>
      <c r="R36" s="271">
        <v>0</v>
      </c>
      <c r="S36" s="140">
        <v>0</v>
      </c>
      <c r="T36" s="106">
        <v>0</v>
      </c>
      <c r="U36" s="106" t="str">
        <f t="shared" si="23"/>
        <v>Normal</v>
      </c>
      <c r="V36" s="106" t="str">
        <f t="shared" si="24"/>
        <v>Normal</v>
      </c>
      <c r="W36" s="18">
        <f t="shared" si="25"/>
        <v>0</v>
      </c>
      <c r="X36" s="18">
        <f t="shared" si="26"/>
        <v>0</v>
      </c>
    </row>
    <row r="37" spans="1:24">
      <c r="A37" s="201">
        <v>45418</v>
      </c>
      <c r="B37" s="387">
        <f>IF(YEAR(Table6[[#This Row],[Date]]) = 2024, WEEKNUM(Table6[[#This Row],[Date]])-13, WEEKNUM(Table6[[#This Row],[Date]])+40)</f>
        <v>6</v>
      </c>
      <c r="C37" s="30" t="s">
        <v>55</v>
      </c>
      <c r="D37" s="59" t="s">
        <v>48</v>
      </c>
      <c r="E37" s="28">
        <v>131</v>
      </c>
      <c r="F37" s="28">
        <v>118</v>
      </c>
      <c r="G37" s="60">
        <v>0</v>
      </c>
      <c r="H37" s="60">
        <v>0</v>
      </c>
      <c r="I37" s="28">
        <f>I35+E37</f>
        <v>613</v>
      </c>
      <c r="J37" s="28">
        <f>J35+F37</f>
        <v>575</v>
      </c>
      <c r="K37" s="28">
        <f>E37+K35</f>
        <v>2905</v>
      </c>
      <c r="L37" s="28">
        <f>F37+L35</f>
        <v>2768</v>
      </c>
      <c r="M37" s="64">
        <v>0.9</v>
      </c>
      <c r="N37" s="64">
        <v>0.1</v>
      </c>
      <c r="O37" s="64">
        <v>0.9</v>
      </c>
      <c r="P37" s="64">
        <v>0.47</v>
      </c>
      <c r="Q37" s="82"/>
      <c r="R37" s="279">
        <v>208</v>
      </c>
      <c r="S37" s="172">
        <v>2.013888888888889E-2</v>
      </c>
      <c r="T37" s="174">
        <v>2</v>
      </c>
      <c r="U37" s="170" t="str">
        <f t="shared" si="23"/>
        <v>Normal</v>
      </c>
      <c r="V37" s="170" t="str">
        <f t="shared" si="24"/>
        <v>Normal</v>
      </c>
      <c r="W37" s="378">
        <f t="shared" si="25"/>
        <v>0</v>
      </c>
      <c r="X37" s="378">
        <f t="shared" si="26"/>
        <v>0</v>
      </c>
    </row>
    <row r="38" spans="1:24">
      <c r="A38" s="21">
        <v>45419</v>
      </c>
      <c r="B38" s="16">
        <f>IF(YEAR(Table6[[#This Row],[Date]]) = 2024, WEEKNUM(Table6[[#This Row],[Date]])-13, WEEKNUM(Table6[[#This Row],[Date]])+40)</f>
        <v>6</v>
      </c>
      <c r="C38" s="31" t="s">
        <v>49</v>
      </c>
      <c r="D38" s="59" t="s">
        <v>48</v>
      </c>
      <c r="E38" s="1">
        <v>131</v>
      </c>
      <c r="F38" s="1">
        <v>118</v>
      </c>
      <c r="G38" s="61">
        <f t="shared" ref="G38:G39" si="27">(E38-E31)/E31</f>
        <v>6.5040650406504072E-2</v>
      </c>
      <c r="H38" s="61">
        <f t="shared" ref="H38:H39" si="28">(F38-F31)/F31</f>
        <v>1.7241379310344827E-2</v>
      </c>
      <c r="I38" s="1">
        <f>I37+E38</f>
        <v>744</v>
      </c>
      <c r="J38" s="1">
        <f>J37+F38</f>
        <v>693</v>
      </c>
      <c r="K38" s="1">
        <f t="shared" si="5"/>
        <v>3036</v>
      </c>
      <c r="L38" s="1">
        <f t="shared" si="6"/>
        <v>2886</v>
      </c>
      <c r="M38" s="63">
        <v>0.9</v>
      </c>
      <c r="N38" s="63">
        <v>0.1</v>
      </c>
      <c r="O38" s="63">
        <v>0.9</v>
      </c>
      <c r="P38" s="63">
        <v>0.22</v>
      </c>
      <c r="Q38" s="83"/>
      <c r="R38" s="271">
        <v>97</v>
      </c>
      <c r="S38" s="140">
        <v>1.8055555555555557E-2</v>
      </c>
      <c r="T38" s="106">
        <v>2</v>
      </c>
      <c r="U38" s="106" t="str">
        <f t="shared" si="23"/>
        <v>Normal</v>
      </c>
      <c r="V38" s="106" t="str">
        <f t="shared" si="24"/>
        <v>Normal</v>
      </c>
      <c r="W38" s="18">
        <f t="shared" si="25"/>
        <v>6.5040650406504072E-2</v>
      </c>
      <c r="X38" s="18">
        <f t="shared" si="26"/>
        <v>1.7241379310344827E-2</v>
      </c>
    </row>
    <row r="39" spans="1:24">
      <c r="A39" s="201">
        <v>45420</v>
      </c>
      <c r="B39" s="387">
        <f>IF(YEAR(Table6[[#This Row],[Date]]) = 2024, WEEKNUM(Table6[[#This Row],[Date]])-13, WEEKNUM(Table6[[#This Row],[Date]])+40)</f>
        <v>6</v>
      </c>
      <c r="C39" s="30" t="s">
        <v>50</v>
      </c>
      <c r="D39" s="59" t="s">
        <v>48</v>
      </c>
      <c r="E39" s="28">
        <v>113</v>
      </c>
      <c r="F39" s="28">
        <v>106</v>
      </c>
      <c r="G39" s="60">
        <f t="shared" si="27"/>
        <v>-0.2709677419354839</v>
      </c>
      <c r="H39" s="60">
        <f t="shared" si="28"/>
        <v>-0.25874125874125875</v>
      </c>
      <c r="I39" s="28">
        <f>I38+E39</f>
        <v>857</v>
      </c>
      <c r="J39" s="28">
        <f>J38+F39</f>
        <v>799</v>
      </c>
      <c r="K39" s="28">
        <f t="shared" si="5"/>
        <v>3149</v>
      </c>
      <c r="L39" s="28">
        <f t="shared" si="6"/>
        <v>2992</v>
      </c>
      <c r="M39" s="64">
        <v>0.94</v>
      </c>
      <c r="N39" s="64">
        <v>0.06</v>
      </c>
      <c r="O39" s="64">
        <v>0.94</v>
      </c>
      <c r="P39" s="64">
        <v>0.38</v>
      </c>
      <c r="Q39" s="82"/>
      <c r="R39" s="279">
        <v>184</v>
      </c>
      <c r="S39" s="172">
        <v>6.0416666666666667E-2</v>
      </c>
      <c r="T39" s="174">
        <v>2</v>
      </c>
      <c r="U39" s="170" t="str">
        <f t="shared" si="23"/>
        <v>Normal</v>
      </c>
      <c r="V39" s="170" t="str">
        <f t="shared" si="24"/>
        <v>Normal</v>
      </c>
      <c r="W39" s="378">
        <f t="shared" si="25"/>
        <v>-0.2709677419354839</v>
      </c>
      <c r="X39" s="378">
        <f t="shared" si="26"/>
        <v>-0.25874125874125875</v>
      </c>
    </row>
    <row r="40" spans="1:24">
      <c r="A40" s="21">
        <v>45421</v>
      </c>
      <c r="B40" s="16">
        <f>IF(YEAR(Table6[[#This Row],[Date]]) = 2024, WEEKNUM(Table6[[#This Row],[Date]])-13, WEEKNUM(Table6[[#This Row],[Date]])+40)</f>
        <v>6</v>
      </c>
      <c r="C40" s="31" t="s">
        <v>51</v>
      </c>
      <c r="D40" s="59" t="s">
        <v>48</v>
      </c>
      <c r="E40" s="1">
        <v>0</v>
      </c>
      <c r="F40" s="1">
        <v>0</v>
      </c>
      <c r="G40" s="61">
        <v>0</v>
      </c>
      <c r="H40" s="61">
        <v>0</v>
      </c>
      <c r="I40" s="1">
        <v>0</v>
      </c>
      <c r="J40" s="1">
        <v>0</v>
      </c>
      <c r="K40" s="1">
        <f t="shared" si="5"/>
        <v>3149</v>
      </c>
      <c r="L40" s="1">
        <f t="shared" si="6"/>
        <v>2992</v>
      </c>
      <c r="M40" s="63">
        <v>0</v>
      </c>
      <c r="N40" s="63">
        <v>0</v>
      </c>
      <c r="O40" s="63">
        <v>0</v>
      </c>
      <c r="P40" s="63">
        <v>0</v>
      </c>
      <c r="Q40" s="83"/>
      <c r="R40" s="271">
        <v>0</v>
      </c>
      <c r="S40" s="140">
        <v>0</v>
      </c>
      <c r="T40" s="106">
        <v>0</v>
      </c>
      <c r="U40" s="106" t="str">
        <f t="shared" si="23"/>
        <v>Normal</v>
      </c>
      <c r="V40" s="106" t="str">
        <f t="shared" si="24"/>
        <v>Normal</v>
      </c>
      <c r="W40" s="18">
        <f t="shared" si="25"/>
        <v>0</v>
      </c>
      <c r="X40" s="18">
        <f t="shared" si="26"/>
        <v>0</v>
      </c>
    </row>
    <row r="41" spans="1:24">
      <c r="A41" s="201">
        <v>45422</v>
      </c>
      <c r="B41" s="387">
        <f>IF(YEAR(Table6[[#This Row],[Date]]) = 2024, WEEKNUM(Table6[[#This Row],[Date]])-13, WEEKNUM(Table6[[#This Row],[Date]])+40)</f>
        <v>6</v>
      </c>
      <c r="C41" s="30" t="s">
        <v>52</v>
      </c>
      <c r="D41" s="59" t="s">
        <v>48</v>
      </c>
      <c r="E41" s="28">
        <v>109</v>
      </c>
      <c r="F41" s="28">
        <v>106</v>
      </c>
      <c r="G41" s="60">
        <f t="shared" ref="G41:G42" si="29">(E41-E34)/E34</f>
        <v>9.2592592592592587E-3</v>
      </c>
      <c r="H41" s="60">
        <f t="shared" ref="H41:H42" si="30">(F41-F34)/F34</f>
        <v>1.9230769230769232E-2</v>
      </c>
      <c r="I41" s="28">
        <f>I38+E41</f>
        <v>853</v>
      </c>
      <c r="J41" s="28">
        <f>J38+F41</f>
        <v>799</v>
      </c>
      <c r="K41" s="28">
        <f t="shared" si="5"/>
        <v>3258</v>
      </c>
      <c r="L41" s="28">
        <f t="shared" si="6"/>
        <v>3098</v>
      </c>
      <c r="M41" s="64">
        <v>0.97</v>
      </c>
      <c r="N41" s="64">
        <v>0.03</v>
      </c>
      <c r="O41" s="64">
        <v>0.97</v>
      </c>
      <c r="P41" s="64">
        <v>0.41</v>
      </c>
      <c r="Q41" s="82"/>
      <c r="R41" s="279">
        <v>201</v>
      </c>
      <c r="S41" s="172">
        <v>5.8333333333333327E-2</v>
      </c>
      <c r="T41" s="174">
        <v>2</v>
      </c>
      <c r="U41" s="170" t="str">
        <f t="shared" si="23"/>
        <v>Normal</v>
      </c>
      <c r="V41" s="170" t="str">
        <f t="shared" si="24"/>
        <v>Normal</v>
      </c>
      <c r="W41" s="378">
        <f t="shared" si="25"/>
        <v>9.2592592592592587E-3</v>
      </c>
      <c r="X41" s="378">
        <f t="shared" si="26"/>
        <v>1.9230769230769232E-2</v>
      </c>
    </row>
    <row r="42" spans="1:24">
      <c r="A42" s="21">
        <v>45423</v>
      </c>
      <c r="B42" s="16">
        <f>IF(YEAR(Table6[[#This Row],[Date]]) = 2024, WEEKNUM(Table6[[#This Row],[Date]])-13, WEEKNUM(Table6[[#This Row],[Date]])+40)</f>
        <v>6</v>
      </c>
      <c r="C42" s="31" t="s">
        <v>53</v>
      </c>
      <c r="D42" s="59" t="s">
        <v>48</v>
      </c>
      <c r="E42" s="1">
        <v>121</v>
      </c>
      <c r="F42" s="1">
        <v>117</v>
      </c>
      <c r="G42" s="61">
        <f t="shared" si="29"/>
        <v>0.86153846153846159</v>
      </c>
      <c r="H42" s="61">
        <f t="shared" si="30"/>
        <v>0.88709677419354838</v>
      </c>
      <c r="I42" s="1">
        <f>I41+E42</f>
        <v>974</v>
      </c>
      <c r="J42" s="1">
        <f>J41+F42</f>
        <v>916</v>
      </c>
      <c r="K42" s="1">
        <f t="shared" si="5"/>
        <v>3379</v>
      </c>
      <c r="L42" s="1">
        <f t="shared" si="6"/>
        <v>3215</v>
      </c>
      <c r="M42" s="63">
        <v>0.97</v>
      </c>
      <c r="N42" s="63">
        <v>0.03</v>
      </c>
      <c r="O42" s="63">
        <v>0.97</v>
      </c>
      <c r="P42" s="63">
        <v>0.51</v>
      </c>
      <c r="Q42" s="83"/>
      <c r="R42" s="271">
        <v>226</v>
      </c>
      <c r="S42" s="140">
        <v>2.013888888888889E-2</v>
      </c>
      <c r="T42" s="106">
        <v>2</v>
      </c>
      <c r="U42" s="106" t="str">
        <f t="shared" si="23"/>
        <v>Outlier</v>
      </c>
      <c r="V42" s="106" t="str">
        <f t="shared" si="24"/>
        <v>Outlier</v>
      </c>
      <c r="W42" s="18">
        <f t="shared" si="25"/>
        <v>0.86153846153846159</v>
      </c>
      <c r="X42" s="18">
        <f t="shared" si="26"/>
        <v>0.88709677419354838</v>
      </c>
    </row>
    <row r="43" spans="1:24">
      <c r="A43" s="201">
        <v>45424</v>
      </c>
      <c r="B43" s="387">
        <f>IF(YEAR(Table6[[#This Row],[Date]]) = 2024, WEEKNUM(Table6[[#This Row],[Date]])-13, WEEKNUM(Table6[[#This Row],[Date]])+40)</f>
        <v>7</v>
      </c>
      <c r="C43" s="30" t="s">
        <v>54</v>
      </c>
      <c r="D43" s="59" t="s">
        <v>48</v>
      </c>
      <c r="E43" s="28">
        <v>0</v>
      </c>
      <c r="F43" s="28">
        <v>0</v>
      </c>
      <c r="G43" s="60">
        <v>0</v>
      </c>
      <c r="H43" s="60">
        <v>0</v>
      </c>
      <c r="I43" s="28">
        <v>0</v>
      </c>
      <c r="J43" s="28">
        <v>0</v>
      </c>
      <c r="K43" s="28">
        <f t="shared" si="5"/>
        <v>3379</v>
      </c>
      <c r="L43" s="28">
        <f t="shared" si="6"/>
        <v>3215</v>
      </c>
      <c r="M43" s="64">
        <v>0</v>
      </c>
      <c r="N43" s="64">
        <v>0</v>
      </c>
      <c r="O43" s="64">
        <v>0</v>
      </c>
      <c r="P43" s="64">
        <v>0</v>
      </c>
      <c r="Q43" s="82"/>
      <c r="R43" s="279">
        <v>0</v>
      </c>
      <c r="S43" s="172">
        <v>0</v>
      </c>
      <c r="T43" s="174">
        <v>0</v>
      </c>
      <c r="U43" s="170" t="str">
        <f t="shared" si="23"/>
        <v>Normal</v>
      </c>
      <c r="V43" s="170" t="str">
        <f t="shared" si="24"/>
        <v>Normal</v>
      </c>
      <c r="W43" s="378">
        <f t="shared" si="25"/>
        <v>0</v>
      </c>
      <c r="X43" s="378">
        <f t="shared" si="26"/>
        <v>0</v>
      </c>
    </row>
    <row r="44" spans="1:24">
      <c r="A44" s="21">
        <v>45425</v>
      </c>
      <c r="B44" s="16">
        <f>IF(YEAR(Table6[[#This Row],[Date]]) = 2024, WEEKNUM(Table6[[#This Row],[Date]])-13, WEEKNUM(Table6[[#This Row],[Date]])+40)</f>
        <v>7</v>
      </c>
      <c r="C44" s="31" t="s">
        <v>55</v>
      </c>
      <c r="D44" s="59" t="s">
        <v>48</v>
      </c>
      <c r="E44" s="1">
        <v>160</v>
      </c>
      <c r="F44" s="1">
        <v>140</v>
      </c>
      <c r="G44" s="61">
        <f>(E44-E37)/E37</f>
        <v>0.22137404580152673</v>
      </c>
      <c r="H44" s="61">
        <f>(F44-F37)/F37</f>
        <v>0.1864406779661017</v>
      </c>
      <c r="I44" s="1">
        <f>I42+E44</f>
        <v>1134</v>
      </c>
      <c r="J44" s="1">
        <f>J42+F44</f>
        <v>1056</v>
      </c>
      <c r="K44" s="1">
        <f t="shared" si="5"/>
        <v>3539</v>
      </c>
      <c r="L44" s="1">
        <f t="shared" si="6"/>
        <v>3355</v>
      </c>
      <c r="M44" s="63">
        <v>0.88</v>
      </c>
      <c r="N44" s="63">
        <v>0.13</v>
      </c>
      <c r="O44" s="63">
        <v>0.87</v>
      </c>
      <c r="P44" s="63">
        <v>0.73</v>
      </c>
      <c r="Q44" s="83"/>
      <c r="R44" s="271">
        <v>269</v>
      </c>
      <c r="S44" s="140">
        <v>1.5972222222222224E-2</v>
      </c>
      <c r="T44" s="106">
        <v>2</v>
      </c>
      <c r="U44" s="106" t="str">
        <f t="shared" si="23"/>
        <v>Normal</v>
      </c>
      <c r="V44" s="106" t="str">
        <f t="shared" si="24"/>
        <v>Normal</v>
      </c>
      <c r="W44" s="18">
        <f t="shared" si="25"/>
        <v>0.22137404580152673</v>
      </c>
      <c r="X44" s="18">
        <f t="shared" si="26"/>
        <v>0.1864406779661017</v>
      </c>
    </row>
    <row r="45" spans="1:24">
      <c r="A45" s="201">
        <v>45426</v>
      </c>
      <c r="B45" s="387">
        <f>IF(YEAR(Table6[[#This Row],[Date]]) = 2024, WEEKNUM(Table6[[#This Row],[Date]])-13, WEEKNUM(Table6[[#This Row],[Date]])+40)</f>
        <v>7</v>
      </c>
      <c r="C45" s="30" t="s">
        <v>49</v>
      </c>
      <c r="D45" s="59" t="s">
        <v>48</v>
      </c>
      <c r="E45" s="28">
        <v>140</v>
      </c>
      <c r="F45" s="28">
        <v>130</v>
      </c>
      <c r="G45" s="60">
        <f t="shared" ref="G45:G46" si="31">(E45-E38)/E38</f>
        <v>6.8702290076335881E-2</v>
      </c>
      <c r="H45" s="60">
        <f t="shared" ref="H45:H46" si="32">(F45-F38)/F38</f>
        <v>0.10169491525423729</v>
      </c>
      <c r="I45" s="28">
        <f>I44+E45</f>
        <v>1274</v>
      </c>
      <c r="J45" s="28">
        <f>J44+F45</f>
        <v>1186</v>
      </c>
      <c r="K45" s="28">
        <f t="shared" si="5"/>
        <v>3679</v>
      </c>
      <c r="L45" s="28">
        <f t="shared" si="6"/>
        <v>3485</v>
      </c>
      <c r="M45" s="64">
        <v>0.93</v>
      </c>
      <c r="N45" s="64">
        <v>7.0000000000000007E-2</v>
      </c>
      <c r="O45" s="64">
        <v>0.93</v>
      </c>
      <c r="P45" s="64">
        <v>0.67</v>
      </c>
      <c r="Q45" s="82"/>
      <c r="R45" s="279">
        <v>268</v>
      </c>
      <c r="S45" s="172">
        <v>2.2222222222222223E-2</v>
      </c>
      <c r="T45" s="174">
        <v>2</v>
      </c>
      <c r="U45" s="170" t="str">
        <f t="shared" si="23"/>
        <v>Normal</v>
      </c>
      <c r="V45" s="170" t="str">
        <f t="shared" si="24"/>
        <v>Normal</v>
      </c>
      <c r="W45" s="378">
        <f t="shared" si="25"/>
        <v>6.8702290076335881E-2</v>
      </c>
      <c r="X45" s="378">
        <f t="shared" si="26"/>
        <v>0.10169491525423729</v>
      </c>
    </row>
    <row r="46" spans="1:24">
      <c r="A46" s="21">
        <v>45427</v>
      </c>
      <c r="B46" s="16">
        <f>IF(YEAR(Table6[[#This Row],[Date]]) = 2024, WEEKNUM(Table6[[#This Row],[Date]])-13, WEEKNUM(Table6[[#This Row],[Date]])+40)</f>
        <v>7</v>
      </c>
      <c r="C46" s="31" t="s">
        <v>50</v>
      </c>
      <c r="D46" s="59" t="s">
        <v>48</v>
      </c>
      <c r="E46" s="1">
        <v>119</v>
      </c>
      <c r="F46" s="1">
        <v>109</v>
      </c>
      <c r="G46" s="61">
        <f t="shared" si="31"/>
        <v>5.3097345132743362E-2</v>
      </c>
      <c r="H46" s="61">
        <f t="shared" si="32"/>
        <v>2.8301886792452831E-2</v>
      </c>
      <c r="I46" s="1">
        <f>I45+E46</f>
        <v>1393</v>
      </c>
      <c r="J46" s="1">
        <f>J45+F46</f>
        <v>1295</v>
      </c>
      <c r="K46" s="1">
        <f t="shared" si="5"/>
        <v>3798</v>
      </c>
      <c r="L46" s="1">
        <f t="shared" si="6"/>
        <v>3594</v>
      </c>
      <c r="M46" s="63">
        <v>0.92</v>
      </c>
      <c r="N46" s="63">
        <v>0.08</v>
      </c>
      <c r="O46" s="63">
        <v>0.92</v>
      </c>
      <c r="P46" s="63">
        <v>0.65</v>
      </c>
      <c r="Q46" s="83"/>
      <c r="R46" s="271">
        <v>310</v>
      </c>
      <c r="S46" s="140">
        <v>2.1527777777777781E-2</v>
      </c>
      <c r="T46" s="106">
        <v>2</v>
      </c>
      <c r="U46" s="106" t="str">
        <f t="shared" si="23"/>
        <v>Normal</v>
      </c>
      <c r="V46" s="106" t="str">
        <f t="shared" si="24"/>
        <v>Normal</v>
      </c>
      <c r="W46" s="18">
        <f t="shared" si="25"/>
        <v>5.3097345132743362E-2</v>
      </c>
      <c r="X46" s="18">
        <f t="shared" si="26"/>
        <v>2.8301886792452831E-2</v>
      </c>
    </row>
    <row r="47" spans="1:24">
      <c r="A47" s="201">
        <v>45428</v>
      </c>
      <c r="B47" s="387">
        <f>IF(YEAR(Table6[[#This Row],[Date]]) = 2024, WEEKNUM(Table6[[#This Row],[Date]])-13, WEEKNUM(Table6[[#This Row],[Date]])+40)</f>
        <v>7</v>
      </c>
      <c r="C47" s="30" t="s">
        <v>51</v>
      </c>
      <c r="D47" s="59" t="s">
        <v>48</v>
      </c>
      <c r="E47" s="28">
        <v>140</v>
      </c>
      <c r="F47" s="28">
        <v>129</v>
      </c>
      <c r="G47" s="60">
        <v>0.82352941176470584</v>
      </c>
      <c r="H47" s="60">
        <v>0.8</v>
      </c>
      <c r="I47" s="28">
        <f t="shared" ref="I47:I49" si="33">I46+E47</f>
        <v>1533</v>
      </c>
      <c r="J47" s="28">
        <f>J46+F47</f>
        <v>1424</v>
      </c>
      <c r="K47" s="28">
        <f t="shared" si="5"/>
        <v>3938</v>
      </c>
      <c r="L47" s="28">
        <f t="shared" si="6"/>
        <v>3723</v>
      </c>
      <c r="M47" s="64">
        <v>0.92</v>
      </c>
      <c r="N47" s="64">
        <v>0.08</v>
      </c>
      <c r="O47" s="64">
        <v>0.92</v>
      </c>
      <c r="P47" s="64">
        <v>0.59</v>
      </c>
      <c r="Q47" s="82"/>
      <c r="R47" s="279">
        <v>246</v>
      </c>
      <c r="S47" s="172">
        <v>1.9444444444444445E-2</v>
      </c>
      <c r="T47" s="174">
        <v>2</v>
      </c>
      <c r="U47" s="170" t="str">
        <f t="shared" si="23"/>
        <v>Outlier</v>
      </c>
      <c r="V47" s="170" t="str">
        <f t="shared" si="24"/>
        <v>Outlier</v>
      </c>
      <c r="W47" s="378">
        <f t="shared" si="25"/>
        <v>0.82352941176470584</v>
      </c>
      <c r="X47" s="378">
        <f t="shared" si="26"/>
        <v>0.8</v>
      </c>
    </row>
    <row r="48" spans="1:24">
      <c r="A48" s="202">
        <v>45429</v>
      </c>
      <c r="B48" s="188">
        <f>IF(YEAR(Table6[[#This Row],[Date]]) = 2024, WEEKNUM(Table6[[#This Row],[Date]])-13, WEEKNUM(Table6[[#This Row],[Date]])+40)</f>
        <v>7</v>
      </c>
      <c r="C48" s="31" t="s">
        <v>52</v>
      </c>
      <c r="D48" s="59" t="s">
        <v>48</v>
      </c>
      <c r="E48" s="1">
        <v>110</v>
      </c>
      <c r="F48" s="1">
        <v>100</v>
      </c>
      <c r="G48" s="61">
        <v>-0.47560975609756095</v>
      </c>
      <c r="H48" s="61">
        <v>-0.41025641025641024</v>
      </c>
      <c r="I48" s="1">
        <f t="shared" si="33"/>
        <v>1643</v>
      </c>
      <c r="J48" s="1">
        <f>J47+F48</f>
        <v>1524</v>
      </c>
      <c r="K48" s="1">
        <f t="shared" si="5"/>
        <v>4048</v>
      </c>
      <c r="L48" s="1">
        <f t="shared" si="6"/>
        <v>3823</v>
      </c>
      <c r="M48" s="63">
        <v>0.91</v>
      </c>
      <c r="N48" s="63">
        <v>0.09</v>
      </c>
      <c r="O48" s="63">
        <v>0.91</v>
      </c>
      <c r="P48" s="63">
        <v>0.43</v>
      </c>
      <c r="Q48" s="83"/>
      <c r="R48" s="271">
        <v>224</v>
      </c>
      <c r="S48" s="140">
        <v>2.013888888888889E-2</v>
      </c>
      <c r="T48" s="106">
        <v>2</v>
      </c>
      <c r="U48" s="106" t="str">
        <f t="shared" si="23"/>
        <v>Normal</v>
      </c>
      <c r="V48" s="106" t="str">
        <f t="shared" si="24"/>
        <v>Normal</v>
      </c>
      <c r="W48" s="18">
        <f t="shared" si="25"/>
        <v>-0.47560975609756095</v>
      </c>
      <c r="X48" s="18">
        <f t="shared" si="26"/>
        <v>-0.41025641025641024</v>
      </c>
    </row>
    <row r="49" spans="1:24">
      <c r="A49" s="201">
        <v>45430</v>
      </c>
      <c r="B49" s="387">
        <f>IF(YEAR(Table6[[#This Row],[Date]]) = 2024, WEEKNUM(Table6[[#This Row],[Date]])-13, WEEKNUM(Table6[[#This Row],[Date]])+40)</f>
        <v>7</v>
      </c>
      <c r="C49" s="30" t="s">
        <v>53</v>
      </c>
      <c r="D49" s="59" t="s">
        <v>48</v>
      </c>
      <c r="E49" s="28">
        <v>62</v>
      </c>
      <c r="F49" s="28">
        <v>56</v>
      </c>
      <c r="G49" s="60">
        <v>-0.30882352941176472</v>
      </c>
      <c r="H49" s="60">
        <v>-0.27559055118110237</v>
      </c>
      <c r="I49" s="28">
        <f t="shared" si="33"/>
        <v>1705</v>
      </c>
      <c r="J49" s="28">
        <f>J48+F49</f>
        <v>1580</v>
      </c>
      <c r="K49" s="28">
        <f t="shared" si="5"/>
        <v>4110</v>
      </c>
      <c r="L49" s="28">
        <f t="shared" si="6"/>
        <v>3879</v>
      </c>
      <c r="M49" s="64">
        <v>0.9</v>
      </c>
      <c r="N49" s="64">
        <v>0.1</v>
      </c>
      <c r="O49" s="64">
        <v>0.9</v>
      </c>
      <c r="P49" s="64">
        <v>0.25</v>
      </c>
      <c r="Q49" s="82"/>
      <c r="R49" s="279">
        <v>116</v>
      </c>
      <c r="S49" s="172">
        <v>2.361111111111111E-2</v>
      </c>
      <c r="T49" s="174">
        <v>1</v>
      </c>
      <c r="U49" s="170" t="str">
        <f t="shared" si="23"/>
        <v>Normal</v>
      </c>
      <c r="V49" s="170" t="str">
        <f t="shared" si="24"/>
        <v>Normal</v>
      </c>
      <c r="W49" s="378">
        <f t="shared" si="25"/>
        <v>-0.30882352941176472</v>
      </c>
      <c r="X49" s="378">
        <f t="shared" si="26"/>
        <v>-0.27559055118110237</v>
      </c>
    </row>
    <row r="50" spans="1:24">
      <c r="A50" s="202">
        <v>45431</v>
      </c>
      <c r="B50" s="188">
        <f>IF(YEAR(Table6[[#This Row],[Date]]) = 2024, WEEKNUM(Table6[[#This Row],[Date]])-13, WEEKNUM(Table6[[#This Row],[Date]])+40)</f>
        <v>8</v>
      </c>
      <c r="C50" s="31" t="s">
        <v>54</v>
      </c>
      <c r="D50" s="59" t="s">
        <v>48</v>
      </c>
      <c r="E50" s="1">
        <v>0</v>
      </c>
      <c r="F50" s="1">
        <v>0</v>
      </c>
      <c r="G50" s="61">
        <v>0</v>
      </c>
      <c r="H50" s="61">
        <v>0</v>
      </c>
      <c r="I50" s="1">
        <v>0</v>
      </c>
      <c r="J50" s="1">
        <v>0</v>
      </c>
      <c r="K50" s="1">
        <f t="shared" si="5"/>
        <v>4110</v>
      </c>
      <c r="L50" s="1">
        <f t="shared" si="6"/>
        <v>3879</v>
      </c>
      <c r="M50" s="63">
        <v>0</v>
      </c>
      <c r="N50" s="63">
        <v>0</v>
      </c>
      <c r="O50" s="63">
        <v>0</v>
      </c>
      <c r="P50" s="63">
        <v>0</v>
      </c>
      <c r="Q50" s="83"/>
      <c r="R50" s="271">
        <v>0</v>
      </c>
      <c r="S50" s="140">
        <v>0</v>
      </c>
      <c r="T50" s="106">
        <v>0</v>
      </c>
      <c r="U50" s="106" t="str">
        <f t="shared" si="23"/>
        <v>Normal</v>
      </c>
      <c r="V50" s="106" t="str">
        <f t="shared" si="24"/>
        <v>Normal</v>
      </c>
      <c r="W50" s="18">
        <f t="shared" si="25"/>
        <v>0</v>
      </c>
      <c r="X50" s="18">
        <f t="shared" si="26"/>
        <v>0</v>
      </c>
    </row>
    <row r="51" spans="1:24">
      <c r="A51" s="201">
        <v>45432</v>
      </c>
      <c r="B51" s="387">
        <f>IF(YEAR(Table6[[#This Row],[Date]]) = 2024, WEEKNUM(Table6[[#This Row],[Date]])-13, WEEKNUM(Table6[[#This Row],[Date]])+40)</f>
        <v>8</v>
      </c>
      <c r="C51" s="30" t="s">
        <v>55</v>
      </c>
      <c r="D51" s="59" t="s">
        <v>48</v>
      </c>
      <c r="E51" s="28">
        <v>119</v>
      </c>
      <c r="F51" s="28">
        <v>101</v>
      </c>
      <c r="G51" s="60">
        <f>(E51-E44)/E44</f>
        <v>-0.25624999999999998</v>
      </c>
      <c r="H51" s="60">
        <f>(F51-F44)/F44</f>
        <v>-0.27857142857142858</v>
      </c>
      <c r="I51" s="28">
        <f>I49+E51</f>
        <v>1824</v>
      </c>
      <c r="J51" s="28">
        <f>J49+F51</f>
        <v>1681</v>
      </c>
      <c r="K51" s="28">
        <f t="shared" si="5"/>
        <v>4229</v>
      </c>
      <c r="L51" s="28">
        <f t="shared" si="6"/>
        <v>3980</v>
      </c>
      <c r="M51" s="64">
        <v>0.85</v>
      </c>
      <c r="N51" s="64">
        <v>0.15</v>
      </c>
      <c r="O51" s="64">
        <v>0.85</v>
      </c>
      <c r="P51" s="64">
        <v>0.56999999999999995</v>
      </c>
      <c r="Q51" s="82"/>
      <c r="R51" s="279">
        <v>291</v>
      </c>
      <c r="S51" s="172">
        <v>2.4999999999999998E-2</v>
      </c>
      <c r="T51" s="174">
        <v>2</v>
      </c>
      <c r="U51" s="170" t="str">
        <f t="shared" si="23"/>
        <v>Normal</v>
      </c>
      <c r="V51" s="170" t="str">
        <f t="shared" si="24"/>
        <v>Normal</v>
      </c>
      <c r="W51" s="378">
        <f t="shared" si="25"/>
        <v>-0.25624999999999998</v>
      </c>
      <c r="X51" s="378">
        <f t="shared" si="26"/>
        <v>-0.27857142857142858</v>
      </c>
    </row>
    <row r="52" spans="1:24">
      <c r="A52" s="202">
        <v>45433</v>
      </c>
      <c r="B52" s="188">
        <f>IF(YEAR(Table6[[#This Row],[Date]]) = 2024, WEEKNUM(Table6[[#This Row],[Date]])-13, WEEKNUM(Table6[[#This Row],[Date]])+40)</f>
        <v>8</v>
      </c>
      <c r="C52" s="31" t="s">
        <v>49</v>
      </c>
      <c r="D52" s="59" t="s">
        <v>48</v>
      </c>
      <c r="E52" s="1">
        <v>122</v>
      </c>
      <c r="F52" s="1">
        <v>113</v>
      </c>
      <c r="G52" s="61">
        <f t="shared" ref="G52:G53" si="34">(E52-E45)/E45</f>
        <v>-0.12857142857142856</v>
      </c>
      <c r="H52" s="61">
        <f t="shared" ref="H52:H53" si="35">(F52-F45)/F45</f>
        <v>-0.13076923076923078</v>
      </c>
      <c r="I52" s="1">
        <f>I51+E52</f>
        <v>1946</v>
      </c>
      <c r="J52" s="1">
        <f>J51+F52</f>
        <v>1794</v>
      </c>
      <c r="K52" s="1">
        <f t="shared" si="5"/>
        <v>4351</v>
      </c>
      <c r="L52" s="1">
        <f t="shared" si="6"/>
        <v>4093</v>
      </c>
      <c r="M52" s="63">
        <v>0.93</v>
      </c>
      <c r="N52" s="63">
        <v>7.0000000000000007E-2</v>
      </c>
      <c r="O52" s="63">
        <v>0.93</v>
      </c>
      <c r="P52" s="63">
        <v>1.26</v>
      </c>
      <c r="Q52" s="83"/>
      <c r="R52" s="271">
        <v>289</v>
      </c>
      <c r="S52" s="140">
        <v>1.8749999999999999E-2</v>
      </c>
      <c r="T52" s="106">
        <v>1</v>
      </c>
      <c r="U52" s="106" t="str">
        <f t="shared" si="23"/>
        <v>Normal</v>
      </c>
      <c r="V52" s="106" t="str">
        <f t="shared" si="24"/>
        <v>Normal</v>
      </c>
      <c r="W52" s="18">
        <f t="shared" si="25"/>
        <v>-0.12857142857142856</v>
      </c>
      <c r="X52" s="18">
        <f t="shared" si="26"/>
        <v>-0.13076923076923078</v>
      </c>
    </row>
    <row r="53" spans="1:24">
      <c r="A53" s="201">
        <v>45434</v>
      </c>
      <c r="B53" s="387">
        <f>IF(YEAR(Table6[[#This Row],[Date]]) = 2024, WEEKNUM(Table6[[#This Row],[Date]])-13, WEEKNUM(Table6[[#This Row],[Date]])+40)</f>
        <v>8</v>
      </c>
      <c r="C53" s="30" t="s">
        <v>50</v>
      </c>
      <c r="D53" s="59" t="s">
        <v>48</v>
      </c>
      <c r="E53" s="28">
        <v>116</v>
      </c>
      <c r="F53" s="28">
        <v>103</v>
      </c>
      <c r="G53" s="60">
        <f t="shared" si="34"/>
        <v>-2.5210084033613446E-2</v>
      </c>
      <c r="H53" s="60">
        <f t="shared" si="35"/>
        <v>-5.5045871559633031E-2</v>
      </c>
      <c r="I53" s="28">
        <f>I52+E53</f>
        <v>2062</v>
      </c>
      <c r="J53" s="28">
        <f>J52+F53</f>
        <v>1897</v>
      </c>
      <c r="K53" s="28">
        <f t="shared" si="5"/>
        <v>4467</v>
      </c>
      <c r="L53" s="28">
        <f t="shared" si="6"/>
        <v>4196</v>
      </c>
      <c r="M53" s="64">
        <v>0.89</v>
      </c>
      <c r="N53" s="64">
        <v>0.11</v>
      </c>
      <c r="O53" s="64">
        <v>0.89</v>
      </c>
      <c r="P53" s="64">
        <v>1.04</v>
      </c>
      <c r="Q53" s="82"/>
      <c r="R53" s="279">
        <v>261</v>
      </c>
      <c r="S53" s="172">
        <v>5.486111111111111E-2</v>
      </c>
      <c r="T53" s="174">
        <v>1</v>
      </c>
      <c r="U53" s="170" t="str">
        <f t="shared" si="23"/>
        <v>Normal</v>
      </c>
      <c r="V53" s="170" t="str">
        <f t="shared" si="24"/>
        <v>Normal</v>
      </c>
      <c r="W53" s="378">
        <f t="shared" si="25"/>
        <v>-2.5210084033613446E-2</v>
      </c>
      <c r="X53" s="378">
        <f t="shared" si="26"/>
        <v>-5.5045871559633031E-2</v>
      </c>
    </row>
    <row r="54" spans="1:24">
      <c r="A54" s="202">
        <v>45435</v>
      </c>
      <c r="B54" s="188">
        <f>IF(YEAR(Table6[[#This Row],[Date]]) = 2024, WEEKNUM(Table6[[#This Row],[Date]])-13, WEEKNUM(Table6[[#This Row],[Date]])+40)</f>
        <v>8</v>
      </c>
      <c r="C54" s="31" t="s">
        <v>51</v>
      </c>
      <c r="D54" s="59" t="s">
        <v>48</v>
      </c>
      <c r="E54" s="1">
        <v>113</v>
      </c>
      <c r="F54" s="1">
        <v>100</v>
      </c>
      <c r="G54" s="61">
        <v>0.82352941176470584</v>
      </c>
      <c r="H54" s="61">
        <v>0.8</v>
      </c>
      <c r="I54" s="1">
        <f t="shared" ref="I54:I56" si="36">I53+E54</f>
        <v>2175</v>
      </c>
      <c r="J54" s="1">
        <f>J53+F54</f>
        <v>1997</v>
      </c>
      <c r="K54" s="1">
        <f t="shared" si="5"/>
        <v>4580</v>
      </c>
      <c r="L54" s="1">
        <f t="shared" si="6"/>
        <v>4296</v>
      </c>
      <c r="M54" s="63">
        <v>0.94</v>
      </c>
      <c r="N54" s="63">
        <v>0.12</v>
      </c>
      <c r="O54" s="63">
        <v>0.88</v>
      </c>
      <c r="P54" s="63">
        <v>0.79</v>
      </c>
      <c r="Q54" s="83"/>
      <c r="R54" s="271">
        <v>204</v>
      </c>
      <c r="S54" s="140">
        <v>2.9861111111111113E-2</v>
      </c>
      <c r="T54" s="106">
        <v>1</v>
      </c>
      <c r="U54" s="106" t="str">
        <f t="shared" si="23"/>
        <v>Outlier</v>
      </c>
      <c r="V54" s="106" t="str">
        <f t="shared" si="24"/>
        <v>Outlier</v>
      </c>
      <c r="W54" s="18">
        <f t="shared" si="25"/>
        <v>0.82352941176470584</v>
      </c>
      <c r="X54" s="18">
        <f t="shared" si="26"/>
        <v>0.8</v>
      </c>
    </row>
    <row r="55" spans="1:24">
      <c r="A55" s="201">
        <v>45436</v>
      </c>
      <c r="B55" s="387">
        <f>IF(YEAR(Table6[[#This Row],[Date]]) = 2024, WEEKNUM(Table6[[#This Row],[Date]])-13, WEEKNUM(Table6[[#This Row],[Date]])+40)</f>
        <v>8</v>
      </c>
      <c r="C55" s="30" t="s">
        <v>52</v>
      </c>
      <c r="D55" s="59" t="s">
        <v>48</v>
      </c>
      <c r="E55" s="28">
        <v>126</v>
      </c>
      <c r="F55" s="28">
        <v>118</v>
      </c>
      <c r="G55" s="60">
        <v>-0.47560975609756095</v>
      </c>
      <c r="H55" s="60">
        <v>-0.41025641025641024</v>
      </c>
      <c r="I55" s="28">
        <f t="shared" si="36"/>
        <v>2301</v>
      </c>
      <c r="J55" s="28">
        <f>J54+F55</f>
        <v>2115</v>
      </c>
      <c r="K55" s="28">
        <f t="shared" si="5"/>
        <v>4706</v>
      </c>
      <c r="L55" s="28">
        <f t="shared" si="6"/>
        <v>4414</v>
      </c>
      <c r="M55" s="64">
        <v>0.88</v>
      </c>
      <c r="N55" s="64">
        <v>0.06</v>
      </c>
      <c r="O55" s="64">
        <v>0.94</v>
      </c>
      <c r="P55" s="64">
        <v>1.1100000000000001</v>
      </c>
      <c r="Q55" s="82"/>
      <c r="R55" s="279">
        <v>240</v>
      </c>
      <c r="S55" s="172">
        <v>4.3055555555555562E-2</v>
      </c>
      <c r="T55" s="174">
        <v>1</v>
      </c>
      <c r="U55" s="170" t="str">
        <f t="shared" si="23"/>
        <v>Normal</v>
      </c>
      <c r="V55" s="170" t="str">
        <f t="shared" si="24"/>
        <v>Normal</v>
      </c>
      <c r="W55" s="378">
        <f t="shared" si="25"/>
        <v>-0.47560975609756095</v>
      </c>
      <c r="X55" s="378">
        <f t="shared" si="26"/>
        <v>-0.41025641025641024</v>
      </c>
    </row>
    <row r="56" spans="1:24">
      <c r="A56" s="202">
        <v>45437</v>
      </c>
      <c r="B56" s="188">
        <f>IF(YEAR(Table6[[#This Row],[Date]]) = 2024, WEEKNUM(Table6[[#This Row],[Date]])-13, WEEKNUM(Table6[[#This Row],[Date]])+40)</f>
        <v>8</v>
      </c>
      <c r="C56" s="31" t="s">
        <v>53</v>
      </c>
      <c r="D56" s="59" t="s">
        <v>48</v>
      </c>
      <c r="E56" s="1">
        <v>78</v>
      </c>
      <c r="F56" s="1">
        <v>69</v>
      </c>
      <c r="G56" s="61">
        <v>-0.30882352941176472</v>
      </c>
      <c r="H56" s="61">
        <v>-0.27559055118110237</v>
      </c>
      <c r="I56" s="1">
        <f t="shared" si="36"/>
        <v>2379</v>
      </c>
      <c r="J56" s="1">
        <f>J55+F56</f>
        <v>2184</v>
      </c>
      <c r="K56" s="1">
        <f t="shared" si="5"/>
        <v>4784</v>
      </c>
      <c r="L56" s="1">
        <f t="shared" si="6"/>
        <v>4483</v>
      </c>
      <c r="M56" s="63">
        <v>0.9</v>
      </c>
      <c r="N56" s="63">
        <v>0.12</v>
      </c>
      <c r="O56" s="63">
        <v>0.88</v>
      </c>
      <c r="P56" s="63">
        <v>0.57999999999999996</v>
      </c>
      <c r="Q56" s="83"/>
      <c r="R56" s="271">
        <v>219</v>
      </c>
      <c r="S56" s="140">
        <v>1.8055555555555557E-2</v>
      </c>
      <c r="T56" s="106">
        <v>1</v>
      </c>
      <c r="U56" s="106" t="str">
        <f t="shared" si="23"/>
        <v>Normal</v>
      </c>
      <c r="V56" s="106" t="str">
        <f t="shared" si="24"/>
        <v>Normal</v>
      </c>
      <c r="W56" s="18">
        <f t="shared" si="25"/>
        <v>-0.30882352941176472</v>
      </c>
      <c r="X56" s="18">
        <f t="shared" si="26"/>
        <v>-0.27559055118110237</v>
      </c>
    </row>
    <row r="57" spans="1:24">
      <c r="A57" s="201">
        <v>45438</v>
      </c>
      <c r="B57" s="387">
        <f>IF(YEAR(Table6[[#This Row],[Date]]) = 2024, WEEKNUM(Table6[[#This Row],[Date]])-13, WEEKNUM(Table6[[#This Row],[Date]])+40)</f>
        <v>9</v>
      </c>
      <c r="C57" s="30" t="s">
        <v>54</v>
      </c>
      <c r="D57" s="59" t="s">
        <v>48</v>
      </c>
      <c r="E57" s="28">
        <v>0</v>
      </c>
      <c r="F57" s="28">
        <v>0</v>
      </c>
      <c r="G57" s="60">
        <v>0</v>
      </c>
      <c r="H57" s="60">
        <v>0</v>
      </c>
      <c r="I57" s="28">
        <v>0</v>
      </c>
      <c r="J57" s="28">
        <v>0</v>
      </c>
      <c r="K57" s="28">
        <f t="shared" si="5"/>
        <v>4784</v>
      </c>
      <c r="L57" s="28">
        <f t="shared" si="6"/>
        <v>4483</v>
      </c>
      <c r="M57" s="64">
        <v>0</v>
      </c>
      <c r="N57" s="64">
        <v>0</v>
      </c>
      <c r="O57" s="64">
        <v>0</v>
      </c>
      <c r="P57" s="64">
        <v>0</v>
      </c>
      <c r="Q57" s="82"/>
      <c r="R57" s="279">
        <v>0</v>
      </c>
      <c r="S57" s="172">
        <v>0</v>
      </c>
      <c r="T57" s="174">
        <v>0</v>
      </c>
      <c r="U57" s="170" t="str">
        <f t="shared" si="23"/>
        <v>Normal</v>
      </c>
      <c r="V57" s="170" t="str">
        <f t="shared" si="24"/>
        <v>Normal</v>
      </c>
      <c r="W57" s="378">
        <f t="shared" si="25"/>
        <v>0</v>
      </c>
      <c r="X57" s="378">
        <f t="shared" si="26"/>
        <v>0</v>
      </c>
    </row>
    <row r="58" spans="1:24">
      <c r="A58" s="202">
        <v>45439</v>
      </c>
      <c r="B58" s="188">
        <f>IF(YEAR(Table6[[#This Row],[Date]]) = 2024, WEEKNUM(Table6[[#This Row],[Date]])-13, WEEKNUM(Table6[[#This Row],[Date]])+40)</f>
        <v>9</v>
      </c>
      <c r="C58" s="31" t="s">
        <v>55</v>
      </c>
      <c r="D58" s="59" t="s">
        <v>48</v>
      </c>
      <c r="E58" s="1">
        <v>117</v>
      </c>
      <c r="F58" s="1">
        <v>105</v>
      </c>
      <c r="G58" s="61">
        <f>(E58-E51)/E51</f>
        <v>-1.680672268907563E-2</v>
      </c>
      <c r="H58" s="61">
        <f>(F58-F51)/F51</f>
        <v>3.9603960396039604E-2</v>
      </c>
      <c r="I58" s="1">
        <f>I56+E58</f>
        <v>2496</v>
      </c>
      <c r="J58" s="1">
        <f>J56+F58</f>
        <v>2289</v>
      </c>
      <c r="K58" s="1">
        <f t="shared" si="5"/>
        <v>4901</v>
      </c>
      <c r="L58" s="1">
        <f t="shared" si="6"/>
        <v>4588</v>
      </c>
      <c r="M58" s="63">
        <v>0.9</v>
      </c>
      <c r="N58" s="63">
        <v>0.1</v>
      </c>
      <c r="O58" s="63">
        <v>0.9</v>
      </c>
      <c r="P58" s="63">
        <v>0.55000000000000004</v>
      </c>
      <c r="Q58" s="83"/>
      <c r="R58" s="271">
        <v>272</v>
      </c>
      <c r="S58" s="140">
        <v>2.4999999999999998E-2</v>
      </c>
      <c r="T58" s="106">
        <v>2</v>
      </c>
      <c r="U58" s="106" t="str">
        <f t="shared" si="23"/>
        <v>Normal</v>
      </c>
      <c r="V58" s="106" t="str">
        <f t="shared" si="24"/>
        <v>Normal</v>
      </c>
      <c r="W58" s="18">
        <f t="shared" si="25"/>
        <v>-1.680672268907563E-2</v>
      </c>
      <c r="X58" s="18">
        <f t="shared" si="26"/>
        <v>3.9603960396039604E-2</v>
      </c>
    </row>
    <row r="59" spans="1:24">
      <c r="A59" s="201">
        <v>45440</v>
      </c>
      <c r="B59" s="387">
        <f>IF(YEAR(Table6[[#This Row],[Date]]) = 2024, WEEKNUM(Table6[[#This Row],[Date]])-13, WEEKNUM(Table6[[#This Row],[Date]])+40)</f>
        <v>9</v>
      </c>
      <c r="C59" s="30" t="s">
        <v>49</v>
      </c>
      <c r="D59" s="59" t="s">
        <v>48</v>
      </c>
      <c r="E59" s="28">
        <v>103</v>
      </c>
      <c r="F59" s="28">
        <v>88</v>
      </c>
      <c r="G59" s="60">
        <f t="shared" ref="G59:G60" si="37">(E59-E52)/E52</f>
        <v>-0.15573770491803279</v>
      </c>
      <c r="H59" s="60">
        <f t="shared" ref="H59:H60" si="38">(F59-F52)/F52</f>
        <v>-0.22123893805309736</v>
      </c>
      <c r="I59" s="28">
        <f>I58+E59</f>
        <v>2599</v>
      </c>
      <c r="J59" s="28">
        <f>J58+F59</f>
        <v>2377</v>
      </c>
      <c r="K59" s="28">
        <f t="shared" si="5"/>
        <v>5004</v>
      </c>
      <c r="L59" s="28">
        <f t="shared" si="6"/>
        <v>4676</v>
      </c>
      <c r="M59" s="64">
        <v>0.85</v>
      </c>
      <c r="N59" s="64">
        <v>0.15</v>
      </c>
      <c r="O59" s="64">
        <v>0.85</v>
      </c>
      <c r="P59" s="64">
        <v>0.44</v>
      </c>
      <c r="Q59" s="82"/>
      <c r="R59" s="279">
        <v>261</v>
      </c>
      <c r="S59" s="172">
        <v>1.9444444444444445E-2</v>
      </c>
      <c r="T59" s="174">
        <v>2</v>
      </c>
      <c r="U59" s="170" t="str">
        <f t="shared" si="23"/>
        <v>Normal</v>
      </c>
      <c r="V59" s="170" t="str">
        <f t="shared" si="24"/>
        <v>Normal</v>
      </c>
      <c r="W59" s="378">
        <f t="shared" si="25"/>
        <v>-0.15573770491803279</v>
      </c>
      <c r="X59" s="378">
        <f t="shared" si="26"/>
        <v>-0.22123893805309736</v>
      </c>
    </row>
    <row r="60" spans="1:24">
      <c r="A60" s="202">
        <v>45441</v>
      </c>
      <c r="B60" s="188">
        <f>IF(YEAR(Table6[[#This Row],[Date]]) = 2024, WEEKNUM(Table6[[#This Row],[Date]])-13, WEEKNUM(Table6[[#This Row],[Date]])+40)</f>
        <v>9</v>
      </c>
      <c r="C60" s="31" t="s">
        <v>50</v>
      </c>
      <c r="D60" s="59" t="s">
        <v>48</v>
      </c>
      <c r="E60" s="1">
        <v>156</v>
      </c>
      <c r="F60" s="1">
        <v>127</v>
      </c>
      <c r="G60" s="61">
        <f t="shared" si="37"/>
        <v>0.34482758620689657</v>
      </c>
      <c r="H60" s="61">
        <f t="shared" si="38"/>
        <v>0.23300970873786409</v>
      </c>
      <c r="I60" s="1">
        <f>I59+E60</f>
        <v>2755</v>
      </c>
      <c r="J60" s="1">
        <f>J59+F60</f>
        <v>2504</v>
      </c>
      <c r="K60" s="1">
        <f t="shared" si="5"/>
        <v>5160</v>
      </c>
      <c r="L60" s="1">
        <f t="shared" si="6"/>
        <v>4803</v>
      </c>
      <c r="M60" s="63">
        <v>0.81</v>
      </c>
      <c r="N60" s="63">
        <v>0.19</v>
      </c>
      <c r="O60" s="63">
        <v>0.81</v>
      </c>
      <c r="P60" s="63">
        <v>0.64</v>
      </c>
      <c r="Q60" s="83"/>
      <c r="R60" s="271">
        <v>263</v>
      </c>
      <c r="S60" s="140">
        <v>2.2222222222222223E-2</v>
      </c>
      <c r="T60" s="106">
        <v>2</v>
      </c>
      <c r="U60" s="106" t="str">
        <f t="shared" si="23"/>
        <v>Normal</v>
      </c>
      <c r="V60" s="106" t="str">
        <f t="shared" si="24"/>
        <v>Normal</v>
      </c>
      <c r="W60" s="18">
        <f t="shared" si="25"/>
        <v>0.34482758620689657</v>
      </c>
      <c r="X60" s="18">
        <f t="shared" si="26"/>
        <v>0.23300970873786409</v>
      </c>
    </row>
    <row r="61" spans="1:24">
      <c r="A61" s="201">
        <v>45442</v>
      </c>
      <c r="B61" s="387">
        <f>IF(YEAR(Table6[[#This Row],[Date]]) = 2024, WEEKNUM(Table6[[#This Row],[Date]])-13, WEEKNUM(Table6[[#This Row],[Date]])+40)</f>
        <v>9</v>
      </c>
      <c r="C61" s="30" t="s">
        <v>51</v>
      </c>
      <c r="D61" s="59" t="s">
        <v>48</v>
      </c>
      <c r="E61" s="28">
        <v>138</v>
      </c>
      <c r="F61" s="28">
        <v>125</v>
      </c>
      <c r="G61" s="60">
        <v>0.82352941176470584</v>
      </c>
      <c r="H61" s="60">
        <v>0.8</v>
      </c>
      <c r="I61" s="28">
        <f t="shared" ref="I61:I62" si="39">I60+E61</f>
        <v>2893</v>
      </c>
      <c r="J61" s="28">
        <f>J60+F61</f>
        <v>2629</v>
      </c>
      <c r="K61" s="28">
        <f t="shared" si="5"/>
        <v>5298</v>
      </c>
      <c r="L61" s="28">
        <f t="shared" si="6"/>
        <v>4928</v>
      </c>
      <c r="M61" s="64">
        <v>0.91</v>
      </c>
      <c r="N61" s="64">
        <v>0.09</v>
      </c>
      <c r="O61" s="64">
        <v>0.91</v>
      </c>
      <c r="P61" s="64">
        <v>0.49</v>
      </c>
      <c r="Q61" s="82"/>
      <c r="R61" s="279">
        <v>203</v>
      </c>
      <c r="S61" s="172">
        <v>1.8749999999999999E-2</v>
      </c>
      <c r="T61" s="174">
        <v>2</v>
      </c>
      <c r="U61" s="170" t="str">
        <f t="shared" si="23"/>
        <v>Outlier</v>
      </c>
      <c r="V61" s="170" t="str">
        <f t="shared" si="24"/>
        <v>Outlier</v>
      </c>
      <c r="W61" s="378">
        <f t="shared" si="25"/>
        <v>0.82352941176470584</v>
      </c>
      <c r="X61" s="378">
        <f t="shared" si="26"/>
        <v>0.8</v>
      </c>
    </row>
    <row r="62" spans="1:24">
      <c r="A62" s="202">
        <v>45443</v>
      </c>
      <c r="B62" s="188">
        <f>IF(YEAR(Table6[[#This Row],[Date]]) = 2024, WEEKNUM(Table6[[#This Row],[Date]])-13, WEEKNUM(Table6[[#This Row],[Date]])+40)</f>
        <v>9</v>
      </c>
      <c r="C62" s="31" t="s">
        <v>52</v>
      </c>
      <c r="D62" s="59" t="s">
        <v>48</v>
      </c>
      <c r="E62" s="1">
        <v>90</v>
      </c>
      <c r="F62" s="1">
        <v>81</v>
      </c>
      <c r="G62" s="61">
        <v>-0.47560975609756095</v>
      </c>
      <c r="H62" s="61">
        <v>-0.41025641025641024</v>
      </c>
      <c r="I62" s="1">
        <f t="shared" si="39"/>
        <v>2983</v>
      </c>
      <c r="J62" s="1">
        <f>J61+F62</f>
        <v>2710</v>
      </c>
      <c r="K62" s="1">
        <f t="shared" si="5"/>
        <v>5388</v>
      </c>
      <c r="L62" s="1">
        <f t="shared" si="6"/>
        <v>5009</v>
      </c>
      <c r="M62" s="63">
        <v>0.9</v>
      </c>
      <c r="N62" s="63">
        <v>0.1</v>
      </c>
      <c r="O62" s="63">
        <v>0.9</v>
      </c>
      <c r="P62" s="63">
        <v>0.26</v>
      </c>
      <c r="Q62" s="83"/>
      <c r="R62" s="271">
        <v>83</v>
      </c>
      <c r="S62" s="140">
        <v>1.5972222222222224E-2</v>
      </c>
      <c r="T62" s="106">
        <v>1</v>
      </c>
      <c r="U62" s="106" t="str">
        <f t="shared" si="23"/>
        <v>Normal</v>
      </c>
      <c r="V62" s="106" t="str">
        <f t="shared" si="24"/>
        <v>Normal</v>
      </c>
      <c r="W62" s="18">
        <f t="shared" si="25"/>
        <v>-0.47560975609756095</v>
      </c>
      <c r="X62" s="18">
        <f t="shared" si="26"/>
        <v>-0.41025641025641024</v>
      </c>
    </row>
    <row r="63" spans="1:24">
      <c r="A63" s="201">
        <v>45444</v>
      </c>
      <c r="B63" s="387">
        <f>IF(YEAR(Table6[[#This Row],[Date]]) = 2024, WEEKNUM(Table6[[#This Row],[Date]])-13, WEEKNUM(Table6[[#This Row],[Date]])+40)</f>
        <v>9</v>
      </c>
      <c r="C63" s="30" t="s">
        <v>53</v>
      </c>
      <c r="D63" s="59" t="s">
        <v>48</v>
      </c>
      <c r="E63" s="28">
        <v>50</v>
      </c>
      <c r="F63" s="28">
        <v>45</v>
      </c>
      <c r="G63" s="60">
        <v>-0.30882352941176472</v>
      </c>
      <c r="H63" s="60">
        <v>-0.27559055118110237</v>
      </c>
      <c r="I63" s="28">
        <f>E63</f>
        <v>50</v>
      </c>
      <c r="J63" s="28">
        <f>F63</f>
        <v>45</v>
      </c>
      <c r="K63" s="28">
        <f t="shared" si="5"/>
        <v>5438</v>
      </c>
      <c r="L63" s="28">
        <f t="shared" si="6"/>
        <v>5054</v>
      </c>
      <c r="M63" s="64">
        <v>0.9</v>
      </c>
      <c r="N63" s="64">
        <v>0.1</v>
      </c>
      <c r="O63" s="64">
        <v>0.9</v>
      </c>
      <c r="P63" s="64">
        <v>0.18</v>
      </c>
      <c r="Q63" s="82"/>
      <c r="R63" s="279">
        <v>104</v>
      </c>
      <c r="S63" s="172">
        <v>1.4583333333333332E-2</v>
      </c>
      <c r="T63" s="174">
        <v>1</v>
      </c>
      <c r="U63" s="170" t="str">
        <f t="shared" si="23"/>
        <v>Normal</v>
      </c>
      <c r="V63" s="170" t="str">
        <f t="shared" si="24"/>
        <v>Normal</v>
      </c>
      <c r="W63" s="378">
        <f t="shared" si="25"/>
        <v>-0.30882352941176472</v>
      </c>
      <c r="X63" s="378">
        <f t="shared" si="26"/>
        <v>-0.27559055118110237</v>
      </c>
    </row>
    <row r="64" spans="1:24">
      <c r="A64" s="202">
        <v>45445</v>
      </c>
      <c r="B64" s="188">
        <f>IF(YEAR(Table6[[#This Row],[Date]]) = 2024, WEEKNUM(Table6[[#This Row],[Date]])-13, WEEKNUM(Table6[[#This Row],[Date]])+40)</f>
        <v>10</v>
      </c>
      <c r="C64" s="31" t="s">
        <v>54</v>
      </c>
      <c r="D64" s="59" t="s">
        <v>48</v>
      </c>
      <c r="E64" s="1">
        <v>0</v>
      </c>
      <c r="F64" s="1">
        <v>0</v>
      </c>
      <c r="G64" s="61">
        <v>0</v>
      </c>
      <c r="H64" s="61">
        <v>0</v>
      </c>
      <c r="I64" s="1">
        <v>0</v>
      </c>
      <c r="J64" s="1">
        <v>0</v>
      </c>
      <c r="K64" s="1">
        <v>0</v>
      </c>
      <c r="L64" s="1">
        <v>0</v>
      </c>
      <c r="M64" s="63">
        <v>0</v>
      </c>
      <c r="N64" s="63">
        <v>0</v>
      </c>
      <c r="O64" s="63">
        <v>0</v>
      </c>
      <c r="P64" s="63">
        <v>0</v>
      </c>
      <c r="Q64" s="83"/>
      <c r="R64" s="271">
        <v>0</v>
      </c>
      <c r="S64" s="140">
        <v>0</v>
      </c>
      <c r="T64" s="106">
        <v>0</v>
      </c>
      <c r="U64" s="106" t="str">
        <f t="shared" si="23"/>
        <v>Normal</v>
      </c>
      <c r="V64" s="106" t="str">
        <f t="shared" si="24"/>
        <v>Normal</v>
      </c>
      <c r="W64" s="18">
        <f t="shared" si="25"/>
        <v>0</v>
      </c>
      <c r="X64" s="18">
        <f t="shared" si="26"/>
        <v>0</v>
      </c>
    </row>
    <row r="65" spans="1:24">
      <c r="A65" s="201">
        <v>45446</v>
      </c>
      <c r="B65" s="387">
        <f>IF(YEAR(Table6[[#This Row],[Date]]) = 2024, WEEKNUM(Table6[[#This Row],[Date]])-13, WEEKNUM(Table6[[#This Row],[Date]])+40)</f>
        <v>10</v>
      </c>
      <c r="C65" s="30" t="s">
        <v>55</v>
      </c>
      <c r="D65" s="59" t="s">
        <v>48</v>
      </c>
      <c r="E65" s="28">
        <v>105</v>
      </c>
      <c r="F65" s="28">
        <v>95</v>
      </c>
      <c r="G65" s="60">
        <f>(E65-E58)/E58</f>
        <v>-0.10256410256410256</v>
      </c>
      <c r="H65" s="60">
        <f>(F65-F58)/F58</f>
        <v>-9.5238095238095233E-2</v>
      </c>
      <c r="I65" s="28">
        <f>I63+E65</f>
        <v>155</v>
      </c>
      <c r="J65" s="28">
        <f>J63+F65</f>
        <v>140</v>
      </c>
      <c r="K65" s="28">
        <f>E65+K63</f>
        <v>5543</v>
      </c>
      <c r="L65" s="28">
        <f>F65+L63</f>
        <v>5149</v>
      </c>
      <c r="M65" s="64">
        <v>0.9</v>
      </c>
      <c r="N65" s="64">
        <v>0.1</v>
      </c>
      <c r="O65" s="64">
        <v>0.9</v>
      </c>
      <c r="P65" s="64">
        <v>0.28000000000000003</v>
      </c>
      <c r="Q65" s="82"/>
      <c r="R65" s="279">
        <v>155</v>
      </c>
      <c r="S65" s="172">
        <v>1.5972222222222224E-2</v>
      </c>
      <c r="T65" s="174">
        <v>2</v>
      </c>
      <c r="U65" s="170" t="str">
        <f t="shared" si="23"/>
        <v>Normal</v>
      </c>
      <c r="V65" s="170" t="str">
        <f t="shared" si="24"/>
        <v>Normal</v>
      </c>
      <c r="W65" s="378">
        <f t="shared" si="25"/>
        <v>-0.10256410256410256</v>
      </c>
      <c r="X65" s="378">
        <f t="shared" si="26"/>
        <v>-9.5238095238095233E-2</v>
      </c>
    </row>
    <row r="66" spans="1:24">
      <c r="A66" s="202">
        <v>45447</v>
      </c>
      <c r="B66" s="188">
        <f>IF(YEAR(Table6[[#This Row],[Date]]) = 2024, WEEKNUM(Table6[[#This Row],[Date]])-13, WEEKNUM(Table6[[#This Row],[Date]])+40)</f>
        <v>10</v>
      </c>
      <c r="C66" s="31" t="s">
        <v>49</v>
      </c>
      <c r="D66" s="59" t="s">
        <v>48</v>
      </c>
      <c r="E66" s="1">
        <v>95</v>
      </c>
      <c r="F66" s="1">
        <v>90</v>
      </c>
      <c r="G66" s="61">
        <f t="shared" ref="G66:G67" si="40">(E66-E59)/E59</f>
        <v>-7.7669902912621352E-2</v>
      </c>
      <c r="H66" s="61">
        <f t="shared" ref="H66:H67" si="41">(F66-F59)/F59</f>
        <v>2.2727272727272728E-2</v>
      </c>
      <c r="I66" s="1">
        <f>I65+E66</f>
        <v>250</v>
      </c>
      <c r="J66" s="1">
        <f>J65+F66</f>
        <v>230</v>
      </c>
      <c r="K66" s="1">
        <f t="shared" si="5"/>
        <v>5638</v>
      </c>
      <c r="L66" s="1">
        <f t="shared" si="6"/>
        <v>5239</v>
      </c>
      <c r="M66" s="63">
        <v>0.95</v>
      </c>
      <c r="N66" s="63">
        <v>0.05</v>
      </c>
      <c r="O66" s="63">
        <v>0.95</v>
      </c>
      <c r="P66" s="63">
        <v>0.28000000000000003</v>
      </c>
      <c r="Q66" s="83"/>
      <c r="R66" s="271">
        <v>161</v>
      </c>
      <c r="S66" s="140">
        <v>1.5972222222222224E-2</v>
      </c>
      <c r="T66" s="106">
        <v>2</v>
      </c>
      <c r="U66" s="106" t="str">
        <f t="shared" ref="U66:U97" si="42">IF(OR(G66&lt;$AB$5,G66&gt;$AC$5), "Outlier", "Normal")</f>
        <v>Normal</v>
      </c>
      <c r="V66" s="106" t="str">
        <f t="shared" ref="V66:V97" si="43">IF(OR(H66&lt;$AB$6,H66&gt;$AC$6), "Outlier", "Normal")</f>
        <v>Normal</v>
      </c>
      <c r="W66" s="18">
        <f t="shared" ref="W66:W97" si="44">IF(U66="Normal",$G66,IF($G66&lt;150%, $G66, $AB$9))</f>
        <v>-7.7669902912621352E-2</v>
      </c>
      <c r="X66" s="18">
        <f t="shared" ref="X66:X97" si="45">IF(V66="Normal",$H66,IF($H66&lt;150%, $H66, $AF$9))</f>
        <v>2.2727272727272728E-2</v>
      </c>
    </row>
    <row r="67" spans="1:24">
      <c r="A67" s="201">
        <v>45448</v>
      </c>
      <c r="B67" s="387">
        <f>IF(YEAR(Table6[[#This Row],[Date]]) = 2024, WEEKNUM(Table6[[#This Row],[Date]])-13, WEEKNUM(Table6[[#This Row],[Date]])+40)</f>
        <v>10</v>
      </c>
      <c r="C67" s="30" t="s">
        <v>50</v>
      </c>
      <c r="D67" s="59" t="s">
        <v>48</v>
      </c>
      <c r="E67" s="28">
        <v>123</v>
      </c>
      <c r="F67" s="28">
        <v>114</v>
      </c>
      <c r="G67" s="60">
        <f t="shared" si="40"/>
        <v>-0.21153846153846154</v>
      </c>
      <c r="H67" s="60">
        <f t="shared" si="41"/>
        <v>-0.10236220472440945</v>
      </c>
      <c r="I67" s="28">
        <f>I66+E67</f>
        <v>373</v>
      </c>
      <c r="J67" s="28">
        <f>J66+F67</f>
        <v>344</v>
      </c>
      <c r="K67" s="28">
        <f t="shared" si="5"/>
        <v>5761</v>
      </c>
      <c r="L67" s="28">
        <f t="shared" si="6"/>
        <v>5353</v>
      </c>
      <c r="M67" s="64">
        <v>0.93</v>
      </c>
      <c r="N67" s="64">
        <v>7.0000000000000007E-2</v>
      </c>
      <c r="O67" s="64">
        <v>0.93</v>
      </c>
      <c r="P67" s="64">
        <v>0.22</v>
      </c>
      <c r="Q67" s="82"/>
      <c r="R67" s="279">
        <v>153</v>
      </c>
      <c r="S67" s="172">
        <v>1.9444444444444445E-2</v>
      </c>
      <c r="T67" s="174">
        <v>3</v>
      </c>
      <c r="U67" s="170" t="str">
        <f t="shared" si="42"/>
        <v>Normal</v>
      </c>
      <c r="V67" s="170" t="str">
        <f t="shared" si="43"/>
        <v>Normal</v>
      </c>
      <c r="W67" s="378">
        <f t="shared" si="44"/>
        <v>-0.21153846153846154</v>
      </c>
      <c r="X67" s="378">
        <f t="shared" si="45"/>
        <v>-0.10236220472440945</v>
      </c>
    </row>
    <row r="68" spans="1:24">
      <c r="A68" s="202">
        <v>45449</v>
      </c>
      <c r="B68" s="188">
        <f>IF(YEAR(Table6[[#This Row],[Date]]) = 2024, WEEKNUM(Table6[[#This Row],[Date]])-13, WEEKNUM(Table6[[#This Row],[Date]])+40)</f>
        <v>10</v>
      </c>
      <c r="C68" s="31" t="s">
        <v>51</v>
      </c>
      <c r="D68" s="59" t="s">
        <v>48</v>
      </c>
      <c r="E68" s="1">
        <v>148</v>
      </c>
      <c r="F68" s="1">
        <v>128</v>
      </c>
      <c r="G68" s="61">
        <v>0.82352941176470584</v>
      </c>
      <c r="H68" s="61">
        <v>0.8</v>
      </c>
      <c r="I68" s="1">
        <f t="shared" ref="I68:I70" si="46">I67+E68</f>
        <v>521</v>
      </c>
      <c r="J68" s="1">
        <f>J67+F68</f>
        <v>472</v>
      </c>
      <c r="K68" s="1">
        <f t="shared" ref="K68:K131" si="47">E68+K67</f>
        <v>5909</v>
      </c>
      <c r="L68" s="1">
        <f t="shared" ref="L68:L131" si="48">F68+L67</f>
        <v>5481</v>
      </c>
      <c r="M68" s="63">
        <v>0.86</v>
      </c>
      <c r="N68" s="63">
        <v>0.14000000000000001</v>
      </c>
      <c r="O68" s="63">
        <v>0.86</v>
      </c>
      <c r="P68" s="63">
        <v>0.24</v>
      </c>
      <c r="Q68" s="83"/>
      <c r="R68" s="271">
        <v>145</v>
      </c>
      <c r="S68" s="140">
        <v>1.8749999999999999E-2</v>
      </c>
      <c r="T68" s="106">
        <v>3</v>
      </c>
      <c r="U68" s="106" t="str">
        <f t="shared" si="42"/>
        <v>Outlier</v>
      </c>
      <c r="V68" s="106" t="str">
        <f t="shared" si="43"/>
        <v>Outlier</v>
      </c>
      <c r="W68" s="18">
        <f t="shared" si="44"/>
        <v>0.82352941176470584</v>
      </c>
      <c r="X68" s="18">
        <f t="shared" si="45"/>
        <v>0.8</v>
      </c>
    </row>
    <row r="69" spans="1:24">
      <c r="A69" s="201">
        <v>45450</v>
      </c>
      <c r="B69" s="387">
        <f>IF(YEAR(Table6[[#This Row],[Date]]) = 2024, WEEKNUM(Table6[[#This Row],[Date]])-13, WEEKNUM(Table6[[#This Row],[Date]])+40)</f>
        <v>10</v>
      </c>
      <c r="C69" s="30" t="s">
        <v>52</v>
      </c>
      <c r="D69" s="59" t="s">
        <v>48</v>
      </c>
      <c r="E69" s="28">
        <v>97</v>
      </c>
      <c r="F69" s="28">
        <v>87</v>
      </c>
      <c r="G69" s="60">
        <v>-0.47560975609756095</v>
      </c>
      <c r="H69" s="60">
        <v>-0.41025641025641024</v>
      </c>
      <c r="I69" s="28">
        <f t="shared" si="46"/>
        <v>618</v>
      </c>
      <c r="J69" s="28">
        <f>J68+F69</f>
        <v>559</v>
      </c>
      <c r="K69" s="28">
        <f t="shared" si="47"/>
        <v>6006</v>
      </c>
      <c r="L69" s="28">
        <f t="shared" si="48"/>
        <v>5568</v>
      </c>
      <c r="M69" s="64">
        <v>0.9</v>
      </c>
      <c r="N69" s="64">
        <v>0.1</v>
      </c>
      <c r="O69" s="64">
        <v>0.9</v>
      </c>
      <c r="P69" s="64">
        <v>0.2</v>
      </c>
      <c r="Q69" s="82"/>
      <c r="R69" s="279">
        <v>122</v>
      </c>
      <c r="S69" s="172">
        <v>1.5972222222222224E-2</v>
      </c>
      <c r="T69" s="174">
        <v>2</v>
      </c>
      <c r="U69" s="170" t="str">
        <f t="shared" si="42"/>
        <v>Normal</v>
      </c>
      <c r="V69" s="170" t="str">
        <f t="shared" si="43"/>
        <v>Normal</v>
      </c>
      <c r="W69" s="378">
        <f t="shared" si="44"/>
        <v>-0.47560975609756095</v>
      </c>
      <c r="X69" s="378">
        <f t="shared" si="45"/>
        <v>-0.41025641025641024</v>
      </c>
    </row>
    <row r="70" spans="1:24">
      <c r="A70" s="202">
        <v>45451</v>
      </c>
      <c r="B70" s="188">
        <f>IF(YEAR(Table6[[#This Row],[Date]]) = 2024, WEEKNUM(Table6[[#This Row],[Date]])-13, WEEKNUM(Table6[[#This Row],[Date]])+40)</f>
        <v>10</v>
      </c>
      <c r="C70" s="31" t="s">
        <v>53</v>
      </c>
      <c r="D70" s="59" t="s">
        <v>48</v>
      </c>
      <c r="E70" s="1">
        <v>73</v>
      </c>
      <c r="F70" s="1">
        <v>59</v>
      </c>
      <c r="G70" s="61">
        <v>-0.30882352941176472</v>
      </c>
      <c r="H70" s="61">
        <v>-0.27559055118110237</v>
      </c>
      <c r="I70" s="1">
        <f t="shared" si="46"/>
        <v>691</v>
      </c>
      <c r="J70" s="1">
        <f>J69+F70</f>
        <v>618</v>
      </c>
      <c r="K70" s="1">
        <f t="shared" si="47"/>
        <v>6079</v>
      </c>
      <c r="L70" s="1">
        <f t="shared" si="48"/>
        <v>5627</v>
      </c>
      <c r="M70" s="63">
        <v>0.81</v>
      </c>
      <c r="N70" s="63">
        <v>0.19</v>
      </c>
      <c r="O70" s="63">
        <v>0.81</v>
      </c>
      <c r="P70" s="63">
        <v>0.35</v>
      </c>
      <c r="Q70" s="83"/>
      <c r="R70" s="271">
        <v>152</v>
      </c>
      <c r="S70" s="140">
        <v>2.1527777777777781E-2</v>
      </c>
      <c r="T70" s="106">
        <v>1</v>
      </c>
      <c r="U70" s="106" t="str">
        <f t="shared" si="42"/>
        <v>Normal</v>
      </c>
      <c r="V70" s="106" t="str">
        <f t="shared" si="43"/>
        <v>Normal</v>
      </c>
      <c r="W70" s="18">
        <f t="shared" si="44"/>
        <v>-0.30882352941176472</v>
      </c>
      <c r="X70" s="18">
        <f t="shared" si="45"/>
        <v>-0.27559055118110237</v>
      </c>
    </row>
    <row r="71" spans="1:24">
      <c r="A71" s="201">
        <v>45452</v>
      </c>
      <c r="B71" s="387">
        <f>IF(YEAR(Table6[[#This Row],[Date]]) = 2024, WEEKNUM(Table6[[#This Row],[Date]])-13, WEEKNUM(Table6[[#This Row],[Date]])+40)</f>
        <v>11</v>
      </c>
      <c r="C71" s="30" t="s">
        <v>54</v>
      </c>
      <c r="D71" s="59" t="s">
        <v>48</v>
      </c>
      <c r="E71" s="28">
        <v>0</v>
      </c>
      <c r="F71" s="28">
        <v>0</v>
      </c>
      <c r="G71" s="60">
        <v>0</v>
      </c>
      <c r="H71" s="60">
        <v>0</v>
      </c>
      <c r="I71" s="28">
        <v>0</v>
      </c>
      <c r="J71" s="28">
        <v>0</v>
      </c>
      <c r="K71" s="28">
        <v>0</v>
      </c>
      <c r="L71" s="28">
        <v>0</v>
      </c>
      <c r="M71" s="64">
        <v>0</v>
      </c>
      <c r="N71" s="64">
        <v>0</v>
      </c>
      <c r="O71" s="64">
        <v>0</v>
      </c>
      <c r="P71" s="64">
        <v>0</v>
      </c>
      <c r="Q71" s="82"/>
      <c r="R71" s="279">
        <v>0</v>
      </c>
      <c r="S71" s="172">
        <v>0</v>
      </c>
      <c r="T71" s="174">
        <v>0</v>
      </c>
      <c r="U71" s="170" t="str">
        <f t="shared" si="42"/>
        <v>Normal</v>
      </c>
      <c r="V71" s="170" t="str">
        <f t="shared" si="43"/>
        <v>Normal</v>
      </c>
      <c r="W71" s="378">
        <f t="shared" si="44"/>
        <v>0</v>
      </c>
      <c r="X71" s="378">
        <f t="shared" si="45"/>
        <v>0</v>
      </c>
    </row>
    <row r="72" spans="1:24">
      <c r="A72" s="202">
        <v>45453</v>
      </c>
      <c r="B72" s="188">
        <f>IF(YEAR(Table6[[#This Row],[Date]]) = 2024, WEEKNUM(Table6[[#This Row],[Date]])-13, WEEKNUM(Table6[[#This Row],[Date]])+40)</f>
        <v>11</v>
      </c>
      <c r="C72" s="31" t="s">
        <v>55</v>
      </c>
      <c r="D72" s="59" t="s">
        <v>48</v>
      </c>
      <c r="E72" s="1">
        <v>103</v>
      </c>
      <c r="F72" s="1">
        <v>96</v>
      </c>
      <c r="G72" s="61">
        <f>(E72-E65)/E65</f>
        <v>-1.9047619047619049E-2</v>
      </c>
      <c r="H72" s="61">
        <f>(F72-F65)/F65</f>
        <v>1.0526315789473684E-2</v>
      </c>
      <c r="I72" s="1">
        <f>I70+E72</f>
        <v>794</v>
      </c>
      <c r="J72" s="1">
        <f>J70+F72</f>
        <v>714</v>
      </c>
      <c r="K72" s="1">
        <f>E72+K70</f>
        <v>6182</v>
      </c>
      <c r="L72" s="1">
        <f>F72+L70</f>
        <v>5723</v>
      </c>
      <c r="M72" s="63">
        <v>0.93</v>
      </c>
      <c r="N72" s="63">
        <v>7.0000000000000007E-2</v>
      </c>
      <c r="O72" s="63">
        <v>0.93</v>
      </c>
      <c r="P72" s="63">
        <v>0.39</v>
      </c>
      <c r="Q72" s="83"/>
      <c r="R72" s="271">
        <v>212</v>
      </c>
      <c r="S72" s="140">
        <v>2.7083333333333334E-2</v>
      </c>
      <c r="T72" s="106">
        <v>2</v>
      </c>
      <c r="U72" s="106" t="str">
        <f t="shared" si="42"/>
        <v>Normal</v>
      </c>
      <c r="V72" s="106" t="str">
        <f t="shared" si="43"/>
        <v>Normal</v>
      </c>
      <c r="W72" s="18">
        <f t="shared" si="44"/>
        <v>-1.9047619047619049E-2</v>
      </c>
      <c r="X72" s="18">
        <f t="shared" si="45"/>
        <v>1.0526315789473684E-2</v>
      </c>
    </row>
    <row r="73" spans="1:24">
      <c r="A73" s="201">
        <v>45454</v>
      </c>
      <c r="B73" s="387">
        <f>IF(YEAR(Table6[[#This Row],[Date]]) = 2024, WEEKNUM(Table6[[#This Row],[Date]])-13, WEEKNUM(Table6[[#This Row],[Date]])+40)</f>
        <v>11</v>
      </c>
      <c r="C73" s="30" t="s">
        <v>49</v>
      </c>
      <c r="D73" s="59" t="s">
        <v>48</v>
      </c>
      <c r="E73" s="28">
        <v>108</v>
      </c>
      <c r="F73" s="28">
        <v>101</v>
      </c>
      <c r="G73" s="60">
        <f t="shared" ref="G73:G74" si="49">(E73-E66)/E66</f>
        <v>0.1368421052631579</v>
      </c>
      <c r="H73" s="60">
        <f t="shared" ref="H73:H74" si="50">(F73-F66)/F66</f>
        <v>0.12222222222222222</v>
      </c>
      <c r="I73" s="28">
        <f>I72+E73</f>
        <v>902</v>
      </c>
      <c r="J73" s="28">
        <f>J72+F73</f>
        <v>815</v>
      </c>
      <c r="K73" s="28">
        <f t="shared" si="47"/>
        <v>6290</v>
      </c>
      <c r="L73" s="28">
        <f t="shared" si="48"/>
        <v>5824</v>
      </c>
      <c r="M73" s="64">
        <v>0.94</v>
      </c>
      <c r="N73" s="64">
        <v>0.06</v>
      </c>
      <c r="O73" s="64">
        <v>0.94</v>
      </c>
      <c r="P73" s="64">
        <v>0.93</v>
      </c>
      <c r="Q73" s="82"/>
      <c r="R73" s="279">
        <v>239</v>
      </c>
      <c r="S73" s="172">
        <v>2.0833333333333332E-2</v>
      </c>
      <c r="T73" s="174">
        <v>1</v>
      </c>
      <c r="U73" s="170" t="str">
        <f t="shared" si="42"/>
        <v>Normal</v>
      </c>
      <c r="V73" s="170" t="str">
        <f t="shared" si="43"/>
        <v>Normal</v>
      </c>
      <c r="W73" s="378">
        <f t="shared" si="44"/>
        <v>0.1368421052631579</v>
      </c>
      <c r="X73" s="378">
        <f t="shared" si="45"/>
        <v>0.12222222222222222</v>
      </c>
    </row>
    <row r="74" spans="1:24">
      <c r="A74" s="202">
        <v>45455</v>
      </c>
      <c r="B74" s="188">
        <f>IF(YEAR(Table6[[#This Row],[Date]]) = 2024, WEEKNUM(Table6[[#This Row],[Date]])-13, WEEKNUM(Table6[[#This Row],[Date]])+40)</f>
        <v>11</v>
      </c>
      <c r="C74" s="31" t="s">
        <v>50</v>
      </c>
      <c r="D74" s="59" t="s">
        <v>48</v>
      </c>
      <c r="E74" s="1">
        <v>91</v>
      </c>
      <c r="F74" s="1">
        <v>83</v>
      </c>
      <c r="G74" s="61">
        <f t="shared" si="49"/>
        <v>-0.26016260162601629</v>
      </c>
      <c r="H74" s="61">
        <f t="shared" si="50"/>
        <v>-0.27192982456140352</v>
      </c>
      <c r="I74" s="1">
        <f>I73+E74</f>
        <v>993</v>
      </c>
      <c r="J74" s="1">
        <f>J73+F74</f>
        <v>898</v>
      </c>
      <c r="K74" s="1">
        <f t="shared" si="47"/>
        <v>6381</v>
      </c>
      <c r="L74" s="1">
        <f t="shared" si="48"/>
        <v>5907</v>
      </c>
      <c r="M74" s="63">
        <v>0.91</v>
      </c>
      <c r="N74" s="63">
        <v>0.09</v>
      </c>
      <c r="O74" s="63">
        <v>0.91</v>
      </c>
      <c r="P74" s="63">
        <v>0.67</v>
      </c>
      <c r="Q74" s="83"/>
      <c r="R74" s="271">
        <v>209</v>
      </c>
      <c r="S74" s="140">
        <v>1.7361111111111112E-2</v>
      </c>
      <c r="T74" s="106">
        <v>1</v>
      </c>
      <c r="U74" s="106" t="str">
        <f t="shared" si="42"/>
        <v>Normal</v>
      </c>
      <c r="V74" s="106" t="str">
        <f t="shared" si="43"/>
        <v>Normal</v>
      </c>
      <c r="W74" s="18">
        <f t="shared" si="44"/>
        <v>-0.26016260162601629</v>
      </c>
      <c r="X74" s="18">
        <f t="shared" si="45"/>
        <v>-0.27192982456140352</v>
      </c>
    </row>
    <row r="75" spans="1:24">
      <c r="A75" s="201">
        <v>45456</v>
      </c>
      <c r="B75" s="387">
        <f>IF(YEAR(Table6[[#This Row],[Date]]) = 2024, WEEKNUM(Table6[[#This Row],[Date]])-13, WEEKNUM(Table6[[#This Row],[Date]])+40)</f>
        <v>11</v>
      </c>
      <c r="C75" s="30" t="s">
        <v>51</v>
      </c>
      <c r="D75" s="59" t="s">
        <v>48</v>
      </c>
      <c r="E75" s="28">
        <v>105</v>
      </c>
      <c r="F75" s="28">
        <v>92</v>
      </c>
      <c r="G75" s="60">
        <v>0.82352941176470584</v>
      </c>
      <c r="H75" s="60">
        <v>0.8</v>
      </c>
      <c r="I75" s="28">
        <f t="shared" ref="I75:I77" si="51">I74+E75</f>
        <v>1098</v>
      </c>
      <c r="J75" s="28">
        <f>J74+F75</f>
        <v>990</v>
      </c>
      <c r="K75" s="28">
        <f t="shared" si="47"/>
        <v>6486</v>
      </c>
      <c r="L75" s="28">
        <f t="shared" si="48"/>
        <v>5999</v>
      </c>
      <c r="M75" s="64">
        <v>0.88</v>
      </c>
      <c r="N75" s="64">
        <v>0.12</v>
      </c>
      <c r="O75" s="64">
        <v>0.88</v>
      </c>
      <c r="P75" s="64">
        <v>0.48</v>
      </c>
      <c r="Q75" s="82"/>
      <c r="R75" s="279">
        <v>268</v>
      </c>
      <c r="S75" s="172">
        <v>1.1805555555555555E-2</v>
      </c>
      <c r="T75" s="174">
        <v>2</v>
      </c>
      <c r="U75" s="170" t="str">
        <f t="shared" si="42"/>
        <v>Outlier</v>
      </c>
      <c r="V75" s="170" t="str">
        <f t="shared" si="43"/>
        <v>Outlier</v>
      </c>
      <c r="W75" s="378">
        <f t="shared" si="44"/>
        <v>0.82352941176470584</v>
      </c>
      <c r="X75" s="378">
        <f t="shared" si="45"/>
        <v>0.8</v>
      </c>
    </row>
    <row r="76" spans="1:24">
      <c r="A76" s="202">
        <v>45457</v>
      </c>
      <c r="B76" s="188">
        <f>IF(YEAR(Table6[[#This Row],[Date]]) = 2024, WEEKNUM(Table6[[#This Row],[Date]])-13, WEEKNUM(Table6[[#This Row],[Date]])+40)</f>
        <v>11</v>
      </c>
      <c r="C76" s="31" t="s">
        <v>52</v>
      </c>
      <c r="D76" s="59" t="s">
        <v>48</v>
      </c>
      <c r="E76" s="1">
        <v>114</v>
      </c>
      <c r="F76" s="1">
        <v>105</v>
      </c>
      <c r="G76" s="61">
        <v>-0.47560975609756095</v>
      </c>
      <c r="H76" s="61">
        <v>-0.41025641025641024</v>
      </c>
      <c r="I76" s="1">
        <f t="shared" si="51"/>
        <v>1212</v>
      </c>
      <c r="J76" s="1">
        <f>J75+F76</f>
        <v>1095</v>
      </c>
      <c r="K76" s="1">
        <f t="shared" si="47"/>
        <v>6600</v>
      </c>
      <c r="L76" s="1">
        <f t="shared" si="48"/>
        <v>6104</v>
      </c>
      <c r="M76" s="63">
        <v>0.92</v>
      </c>
      <c r="N76" s="63">
        <v>0.08</v>
      </c>
      <c r="O76" s="63">
        <v>0.92</v>
      </c>
      <c r="P76" s="63">
        <v>0.49</v>
      </c>
      <c r="Q76" s="83"/>
      <c r="R76" s="271">
        <v>241</v>
      </c>
      <c r="S76" s="140">
        <v>2.2222222222222223E-2</v>
      </c>
      <c r="T76" s="106">
        <v>2</v>
      </c>
      <c r="U76" s="106" t="str">
        <f t="shared" si="42"/>
        <v>Normal</v>
      </c>
      <c r="V76" s="106" t="str">
        <f t="shared" si="43"/>
        <v>Normal</v>
      </c>
      <c r="W76" s="18">
        <f t="shared" si="44"/>
        <v>-0.47560975609756095</v>
      </c>
      <c r="X76" s="18">
        <f t="shared" si="45"/>
        <v>-0.41025641025641024</v>
      </c>
    </row>
    <row r="77" spans="1:24">
      <c r="A77" s="201">
        <v>45458</v>
      </c>
      <c r="B77" s="387">
        <f>IF(YEAR(Table6[[#This Row],[Date]]) = 2024, WEEKNUM(Table6[[#This Row],[Date]])-13, WEEKNUM(Table6[[#This Row],[Date]])+40)</f>
        <v>11</v>
      </c>
      <c r="C77" s="30" t="s">
        <v>53</v>
      </c>
      <c r="D77" s="59" t="s">
        <v>48</v>
      </c>
      <c r="E77" s="28">
        <v>94</v>
      </c>
      <c r="F77" s="28">
        <v>86</v>
      </c>
      <c r="G77" s="60">
        <v>-0.30882352941176472</v>
      </c>
      <c r="H77" s="60">
        <v>-0.27559055118110237</v>
      </c>
      <c r="I77" s="28">
        <f t="shared" si="51"/>
        <v>1306</v>
      </c>
      <c r="J77" s="28">
        <f>J76+F77</f>
        <v>1181</v>
      </c>
      <c r="K77" s="28">
        <f t="shared" si="47"/>
        <v>6694</v>
      </c>
      <c r="L77" s="28">
        <f t="shared" si="48"/>
        <v>6190</v>
      </c>
      <c r="M77" s="64">
        <v>0.91</v>
      </c>
      <c r="N77" s="64">
        <v>0.09</v>
      </c>
      <c r="O77" s="64">
        <v>0.91</v>
      </c>
      <c r="P77" s="64">
        <v>0.36</v>
      </c>
      <c r="Q77" s="82"/>
      <c r="R77" s="279">
        <v>214</v>
      </c>
      <c r="S77" s="172">
        <v>1.3888888888888888E-2</v>
      </c>
      <c r="T77" s="174">
        <v>2</v>
      </c>
      <c r="U77" s="170" t="str">
        <f t="shared" si="42"/>
        <v>Normal</v>
      </c>
      <c r="V77" s="170" t="str">
        <f t="shared" si="43"/>
        <v>Normal</v>
      </c>
      <c r="W77" s="378">
        <f t="shared" si="44"/>
        <v>-0.30882352941176472</v>
      </c>
      <c r="X77" s="378">
        <f t="shared" si="45"/>
        <v>-0.27559055118110237</v>
      </c>
    </row>
    <row r="78" spans="1:24">
      <c r="A78" s="202">
        <v>45459</v>
      </c>
      <c r="B78" s="188">
        <f>IF(YEAR(Table6[[#This Row],[Date]]) = 2024, WEEKNUM(Table6[[#This Row],[Date]])-13, WEEKNUM(Table6[[#This Row],[Date]])+40)</f>
        <v>12</v>
      </c>
      <c r="C78" s="31" t="s">
        <v>54</v>
      </c>
      <c r="D78" s="59" t="s">
        <v>48</v>
      </c>
      <c r="E78" s="1">
        <v>0</v>
      </c>
      <c r="F78" s="1">
        <v>0</v>
      </c>
      <c r="G78" s="61">
        <v>0</v>
      </c>
      <c r="H78" s="61">
        <v>0</v>
      </c>
      <c r="I78" s="1">
        <v>0</v>
      </c>
      <c r="J78" s="1">
        <v>0</v>
      </c>
      <c r="K78" s="1">
        <f t="shared" si="47"/>
        <v>6694</v>
      </c>
      <c r="L78" s="1">
        <f t="shared" si="48"/>
        <v>6190</v>
      </c>
      <c r="M78" s="63">
        <v>0</v>
      </c>
      <c r="N78" s="63">
        <v>0</v>
      </c>
      <c r="O78" s="63">
        <v>0</v>
      </c>
      <c r="P78" s="63">
        <v>0</v>
      </c>
      <c r="Q78" s="83"/>
      <c r="R78" s="271">
        <v>0</v>
      </c>
      <c r="S78" s="140">
        <v>0</v>
      </c>
      <c r="T78" s="106">
        <v>0</v>
      </c>
      <c r="U78" s="106" t="str">
        <f t="shared" si="42"/>
        <v>Normal</v>
      </c>
      <c r="V78" s="106" t="str">
        <f t="shared" si="43"/>
        <v>Normal</v>
      </c>
      <c r="W78" s="18">
        <f t="shared" si="44"/>
        <v>0</v>
      </c>
      <c r="X78" s="18">
        <f t="shared" si="45"/>
        <v>0</v>
      </c>
    </row>
    <row r="79" spans="1:24">
      <c r="A79" s="201">
        <v>45460</v>
      </c>
      <c r="B79" s="387">
        <f>IF(YEAR(Table6[[#This Row],[Date]]) = 2024, WEEKNUM(Table6[[#This Row],[Date]])-13, WEEKNUM(Table6[[#This Row],[Date]])+40)</f>
        <v>12</v>
      </c>
      <c r="C79" s="30" t="s">
        <v>55</v>
      </c>
      <c r="D79" s="59" t="s">
        <v>48</v>
      </c>
      <c r="E79" s="28">
        <v>155</v>
      </c>
      <c r="F79" s="28">
        <v>139</v>
      </c>
      <c r="G79" s="60">
        <f>(E79-E72)/E72</f>
        <v>0.50485436893203883</v>
      </c>
      <c r="H79" s="60">
        <f>(F79-F72)/F72</f>
        <v>0.44791666666666669</v>
      </c>
      <c r="I79" s="28">
        <f>I77+E79</f>
        <v>1461</v>
      </c>
      <c r="J79" s="28">
        <f>J77+F79</f>
        <v>1320</v>
      </c>
      <c r="K79" s="28">
        <f t="shared" si="47"/>
        <v>6849</v>
      </c>
      <c r="L79" s="28">
        <f t="shared" si="48"/>
        <v>6329</v>
      </c>
      <c r="M79" s="64">
        <v>0.9</v>
      </c>
      <c r="N79" s="64">
        <v>0.1</v>
      </c>
      <c r="O79" s="64">
        <v>0.9</v>
      </c>
      <c r="P79" s="64">
        <v>0.54</v>
      </c>
      <c r="Q79" s="82"/>
      <c r="R79" s="279">
        <v>200</v>
      </c>
      <c r="S79" s="172">
        <v>1.3194444444444444E-2</v>
      </c>
      <c r="T79" s="174">
        <v>2</v>
      </c>
      <c r="U79" s="170" t="str">
        <f t="shared" si="42"/>
        <v>Normal</v>
      </c>
      <c r="V79" s="170" t="str">
        <f t="shared" si="43"/>
        <v>Normal</v>
      </c>
      <c r="W79" s="378">
        <f t="shared" si="44"/>
        <v>0.50485436893203883</v>
      </c>
      <c r="X79" s="378">
        <f t="shared" si="45"/>
        <v>0.44791666666666669</v>
      </c>
    </row>
    <row r="80" spans="1:24">
      <c r="A80" s="202">
        <v>45461</v>
      </c>
      <c r="B80" s="188">
        <f>IF(YEAR(Table6[[#This Row],[Date]]) = 2024, WEEKNUM(Table6[[#This Row],[Date]])-13, WEEKNUM(Table6[[#This Row],[Date]])+40)</f>
        <v>12</v>
      </c>
      <c r="C80" s="31" t="s">
        <v>49</v>
      </c>
      <c r="D80" s="59" t="s">
        <v>48</v>
      </c>
      <c r="E80" s="1">
        <v>192</v>
      </c>
      <c r="F80" s="1">
        <v>168</v>
      </c>
      <c r="G80" s="61">
        <f t="shared" ref="G80:G81" si="52">(E80-E73)/E73</f>
        <v>0.77777777777777779</v>
      </c>
      <c r="H80" s="61">
        <f t="shared" ref="H80:H81" si="53">(F80-F73)/F73</f>
        <v>0.6633663366336634</v>
      </c>
      <c r="I80" s="1">
        <f>I79+E80</f>
        <v>1653</v>
      </c>
      <c r="J80" s="1">
        <f>J79+F80</f>
        <v>1488</v>
      </c>
      <c r="K80" s="1">
        <f t="shared" si="47"/>
        <v>7041</v>
      </c>
      <c r="L80" s="1">
        <f t="shared" si="48"/>
        <v>6497</v>
      </c>
      <c r="M80" s="63">
        <v>0.88</v>
      </c>
      <c r="N80" s="63">
        <v>0.13</v>
      </c>
      <c r="O80" s="63">
        <v>0.87</v>
      </c>
      <c r="P80" s="63">
        <v>0.33</v>
      </c>
      <c r="Q80" s="83"/>
      <c r="R80" s="271">
        <v>151</v>
      </c>
      <c r="S80" s="140">
        <v>1.8749999999999999E-2</v>
      </c>
      <c r="T80" s="106">
        <v>3</v>
      </c>
      <c r="U80" s="106" t="str">
        <f t="shared" si="42"/>
        <v>Normal</v>
      </c>
      <c r="V80" s="106" t="str">
        <f t="shared" si="43"/>
        <v>Normal</v>
      </c>
      <c r="W80" s="18">
        <f t="shared" si="44"/>
        <v>0.77777777777777779</v>
      </c>
      <c r="X80" s="18">
        <f t="shared" si="45"/>
        <v>0.6633663366336634</v>
      </c>
    </row>
    <row r="81" spans="1:24">
      <c r="A81" s="201">
        <v>45462</v>
      </c>
      <c r="B81" s="387">
        <f>IF(YEAR(Table6[[#This Row],[Date]]) = 2024, WEEKNUM(Table6[[#This Row],[Date]])-13, WEEKNUM(Table6[[#This Row],[Date]])+40)</f>
        <v>12</v>
      </c>
      <c r="C81" s="30" t="s">
        <v>50</v>
      </c>
      <c r="D81" s="59" t="s">
        <v>48</v>
      </c>
      <c r="E81" s="28">
        <v>159</v>
      </c>
      <c r="F81" s="28">
        <v>137</v>
      </c>
      <c r="G81" s="60">
        <f t="shared" si="52"/>
        <v>0.74725274725274726</v>
      </c>
      <c r="H81" s="60">
        <f t="shared" si="53"/>
        <v>0.6506024096385542</v>
      </c>
      <c r="I81" s="28">
        <f>I80+E81</f>
        <v>1812</v>
      </c>
      <c r="J81" s="28">
        <f>J80+F81</f>
        <v>1625</v>
      </c>
      <c r="K81" s="28">
        <f t="shared" si="47"/>
        <v>7200</v>
      </c>
      <c r="L81" s="28">
        <f t="shared" si="48"/>
        <v>6634</v>
      </c>
      <c r="M81" s="64">
        <v>0.86</v>
      </c>
      <c r="N81" s="64">
        <v>0.14000000000000001</v>
      </c>
      <c r="O81" s="64">
        <v>0.86</v>
      </c>
      <c r="P81" s="64">
        <v>0.25</v>
      </c>
      <c r="Q81" s="82"/>
      <c r="R81" s="279">
        <v>142</v>
      </c>
      <c r="S81" s="172">
        <v>2.0833333333333332E-2</v>
      </c>
      <c r="T81" s="174">
        <v>3</v>
      </c>
      <c r="U81" s="170" t="str">
        <f t="shared" si="42"/>
        <v>Normal</v>
      </c>
      <c r="V81" s="170" t="str">
        <f t="shared" si="43"/>
        <v>Normal</v>
      </c>
      <c r="W81" s="378">
        <f t="shared" si="44"/>
        <v>0.74725274725274726</v>
      </c>
      <c r="X81" s="378">
        <f t="shared" si="45"/>
        <v>0.6506024096385542</v>
      </c>
    </row>
    <row r="82" spans="1:24">
      <c r="A82" s="202">
        <v>45463</v>
      </c>
      <c r="B82" s="188">
        <f>IF(YEAR(Table6[[#This Row],[Date]]) = 2024, WEEKNUM(Table6[[#This Row],[Date]])-13, WEEKNUM(Table6[[#This Row],[Date]])+40)</f>
        <v>12</v>
      </c>
      <c r="C82" s="31" t="s">
        <v>51</v>
      </c>
      <c r="D82" s="59" t="s">
        <v>48</v>
      </c>
      <c r="E82" s="1">
        <v>0</v>
      </c>
      <c r="F82" s="1">
        <v>0</v>
      </c>
      <c r="G82" s="61">
        <v>0</v>
      </c>
      <c r="H82" s="61">
        <v>0</v>
      </c>
      <c r="I82" s="1">
        <v>0</v>
      </c>
      <c r="J82" s="1">
        <v>0</v>
      </c>
      <c r="K82" s="1">
        <v>0</v>
      </c>
      <c r="L82" s="1">
        <v>0</v>
      </c>
      <c r="M82" s="63">
        <v>0</v>
      </c>
      <c r="N82" s="63">
        <v>0</v>
      </c>
      <c r="O82" s="63">
        <v>0</v>
      </c>
      <c r="P82" s="63">
        <v>0</v>
      </c>
      <c r="Q82" s="83"/>
      <c r="R82" s="271">
        <v>0</v>
      </c>
      <c r="S82" s="140">
        <v>0</v>
      </c>
      <c r="T82" s="106">
        <v>0</v>
      </c>
      <c r="U82" s="106" t="str">
        <f t="shared" si="42"/>
        <v>Normal</v>
      </c>
      <c r="V82" s="106" t="str">
        <f t="shared" si="43"/>
        <v>Normal</v>
      </c>
      <c r="W82" s="18">
        <f t="shared" si="44"/>
        <v>0</v>
      </c>
      <c r="X82" s="18">
        <f t="shared" si="45"/>
        <v>0</v>
      </c>
    </row>
    <row r="83" spans="1:24">
      <c r="A83" s="201">
        <v>45464</v>
      </c>
      <c r="B83" s="387">
        <f>IF(YEAR(Table6[[#This Row],[Date]]) = 2024, WEEKNUM(Table6[[#This Row],[Date]])-13, WEEKNUM(Table6[[#This Row],[Date]])+40)</f>
        <v>12</v>
      </c>
      <c r="C83" s="30" t="s">
        <v>52</v>
      </c>
      <c r="D83" s="59" t="s">
        <v>48</v>
      </c>
      <c r="E83" s="28">
        <v>0</v>
      </c>
      <c r="F83" s="28">
        <v>0</v>
      </c>
      <c r="G83" s="60">
        <v>0</v>
      </c>
      <c r="H83" s="60">
        <v>0</v>
      </c>
      <c r="I83" s="28">
        <v>0</v>
      </c>
      <c r="J83" s="28">
        <v>0</v>
      </c>
      <c r="K83" s="28">
        <v>0</v>
      </c>
      <c r="L83" s="28">
        <v>0</v>
      </c>
      <c r="M83" s="64">
        <v>0</v>
      </c>
      <c r="N83" s="64">
        <v>0</v>
      </c>
      <c r="O83" s="64">
        <v>0</v>
      </c>
      <c r="P83" s="64">
        <v>0</v>
      </c>
      <c r="Q83" s="82"/>
      <c r="R83" s="279">
        <v>0</v>
      </c>
      <c r="S83" s="172">
        <v>0</v>
      </c>
      <c r="T83" s="174">
        <v>0</v>
      </c>
      <c r="U83" s="170" t="str">
        <f t="shared" si="42"/>
        <v>Normal</v>
      </c>
      <c r="V83" s="170" t="str">
        <f t="shared" si="43"/>
        <v>Normal</v>
      </c>
      <c r="W83" s="378">
        <f t="shared" si="44"/>
        <v>0</v>
      </c>
      <c r="X83" s="378">
        <f t="shared" si="45"/>
        <v>0</v>
      </c>
    </row>
    <row r="84" spans="1:24">
      <c r="A84" s="202">
        <v>45465</v>
      </c>
      <c r="B84" s="188">
        <f>IF(YEAR(Table6[[#This Row],[Date]]) = 2024, WEEKNUM(Table6[[#This Row],[Date]])-13, WEEKNUM(Table6[[#This Row],[Date]])+40)</f>
        <v>12</v>
      </c>
      <c r="C84" s="31" t="s">
        <v>53</v>
      </c>
      <c r="D84" s="59" t="s">
        <v>48</v>
      </c>
      <c r="E84" s="1">
        <v>83</v>
      </c>
      <c r="F84" s="1">
        <v>68</v>
      </c>
      <c r="G84" s="61">
        <f>(E84-E77)/E77</f>
        <v>-0.11702127659574468</v>
      </c>
      <c r="H84" s="61">
        <f>(F84-F77)/F77</f>
        <v>-0.20930232558139536</v>
      </c>
      <c r="I84" s="1">
        <f>I81+E84</f>
        <v>1895</v>
      </c>
      <c r="J84" s="1">
        <f>J81+F84</f>
        <v>1693</v>
      </c>
      <c r="K84" s="1">
        <f>E84+K81</f>
        <v>7283</v>
      </c>
      <c r="L84" s="1">
        <f>F84+L81</f>
        <v>6702</v>
      </c>
      <c r="M84" s="63">
        <v>0.82</v>
      </c>
      <c r="N84" s="63">
        <v>0.18</v>
      </c>
      <c r="O84" s="63">
        <v>0.82</v>
      </c>
      <c r="P84" s="63">
        <v>0.28000000000000003</v>
      </c>
      <c r="Q84" s="83"/>
      <c r="R84" s="271">
        <v>105</v>
      </c>
      <c r="S84" s="140">
        <v>1.5277777777777777E-2</v>
      </c>
      <c r="T84" s="106">
        <v>1</v>
      </c>
      <c r="U84" s="106" t="str">
        <f t="shared" si="42"/>
        <v>Normal</v>
      </c>
      <c r="V84" s="106" t="str">
        <f t="shared" si="43"/>
        <v>Normal</v>
      </c>
      <c r="W84" s="18">
        <f t="shared" si="44"/>
        <v>-0.11702127659574468</v>
      </c>
      <c r="X84" s="18">
        <f t="shared" si="45"/>
        <v>-0.20930232558139536</v>
      </c>
    </row>
    <row r="85" spans="1:24">
      <c r="A85" s="201">
        <v>45466</v>
      </c>
      <c r="B85" s="387">
        <f>IF(YEAR(Table6[[#This Row],[Date]]) = 2024, WEEKNUM(Table6[[#This Row],[Date]])-13, WEEKNUM(Table6[[#This Row],[Date]])+40)</f>
        <v>13</v>
      </c>
      <c r="C85" s="30" t="s">
        <v>54</v>
      </c>
      <c r="D85" s="59" t="s">
        <v>48</v>
      </c>
      <c r="E85" s="28">
        <v>0</v>
      </c>
      <c r="F85" s="28">
        <v>0</v>
      </c>
      <c r="G85" s="60">
        <v>0</v>
      </c>
      <c r="H85" s="60">
        <v>0</v>
      </c>
      <c r="I85" s="28">
        <v>0</v>
      </c>
      <c r="J85" s="28">
        <v>0</v>
      </c>
      <c r="K85" s="28">
        <v>0</v>
      </c>
      <c r="L85" s="28">
        <v>0</v>
      </c>
      <c r="M85" s="64">
        <v>0</v>
      </c>
      <c r="N85" s="64">
        <v>0</v>
      </c>
      <c r="O85" s="64">
        <v>0</v>
      </c>
      <c r="P85" s="64">
        <v>0</v>
      </c>
      <c r="Q85" s="82"/>
      <c r="R85" s="279">
        <v>0</v>
      </c>
      <c r="S85" s="172">
        <v>0</v>
      </c>
      <c r="T85" s="174">
        <v>0</v>
      </c>
      <c r="U85" s="170" t="str">
        <f t="shared" si="42"/>
        <v>Normal</v>
      </c>
      <c r="V85" s="170" t="str">
        <f t="shared" si="43"/>
        <v>Normal</v>
      </c>
      <c r="W85" s="378">
        <f t="shared" si="44"/>
        <v>0</v>
      </c>
      <c r="X85" s="378">
        <f t="shared" si="45"/>
        <v>0</v>
      </c>
    </row>
    <row r="86" spans="1:24">
      <c r="A86" s="202">
        <v>45467</v>
      </c>
      <c r="B86" s="188">
        <f>IF(YEAR(Table6[[#This Row],[Date]]) = 2024, WEEKNUM(Table6[[#This Row],[Date]])-13, WEEKNUM(Table6[[#This Row],[Date]])+40)</f>
        <v>13</v>
      </c>
      <c r="C86" s="31" t="s">
        <v>55</v>
      </c>
      <c r="D86" s="59" t="s">
        <v>48</v>
      </c>
      <c r="E86" s="1">
        <v>63</v>
      </c>
      <c r="F86" s="1">
        <v>55</v>
      </c>
      <c r="G86" s="61">
        <f>(E86-E79)/E79</f>
        <v>-0.59354838709677415</v>
      </c>
      <c r="H86" s="61">
        <f>(F86-F79)/F79</f>
        <v>-0.60431654676258995</v>
      </c>
      <c r="I86" s="1">
        <f>I84+E86</f>
        <v>1958</v>
      </c>
      <c r="J86" s="1">
        <f>J84+F86</f>
        <v>1748</v>
      </c>
      <c r="K86" s="1">
        <f>E86+K84</f>
        <v>7346</v>
      </c>
      <c r="L86" s="1">
        <f>F86+L84</f>
        <v>6757</v>
      </c>
      <c r="M86" s="63">
        <v>0.78</v>
      </c>
      <c r="N86" s="63">
        <v>0.13</v>
      </c>
      <c r="O86" s="63">
        <v>0.87</v>
      </c>
      <c r="P86" s="63">
        <v>0.13</v>
      </c>
      <c r="Q86" s="83"/>
      <c r="R86" s="271">
        <v>123</v>
      </c>
      <c r="S86" s="140">
        <v>1.5972222222222224E-2</v>
      </c>
      <c r="T86" s="106">
        <v>2</v>
      </c>
      <c r="U86" s="106" t="str">
        <f t="shared" si="42"/>
        <v>Normal</v>
      </c>
      <c r="V86" s="106" t="str">
        <f t="shared" si="43"/>
        <v>Normal</v>
      </c>
      <c r="W86" s="18">
        <f t="shared" si="44"/>
        <v>-0.59354838709677415</v>
      </c>
      <c r="X86" s="18">
        <f t="shared" si="45"/>
        <v>-0.60431654676258995</v>
      </c>
    </row>
    <row r="87" spans="1:24">
      <c r="A87" s="201">
        <v>45468</v>
      </c>
      <c r="B87" s="387">
        <f>IF(YEAR(Table6[[#This Row],[Date]]) = 2024, WEEKNUM(Table6[[#This Row],[Date]])-13, WEEKNUM(Table6[[#This Row],[Date]])+40)</f>
        <v>13</v>
      </c>
      <c r="C87" s="30" t="s">
        <v>49</v>
      </c>
      <c r="D87" s="59" t="s">
        <v>48</v>
      </c>
      <c r="E87" s="28">
        <v>63</v>
      </c>
      <c r="F87" s="28">
        <v>49</v>
      </c>
      <c r="G87" s="60">
        <f t="shared" ref="G87:G88" si="54">(E87-E80)/E80</f>
        <v>-0.671875</v>
      </c>
      <c r="H87" s="60">
        <f t="shared" ref="H87:H88" si="55">(F87-F80)/F80</f>
        <v>-0.70833333333333337</v>
      </c>
      <c r="I87" s="28">
        <f>I86+E87</f>
        <v>2021</v>
      </c>
      <c r="J87" s="28">
        <f>J86+F87</f>
        <v>1797</v>
      </c>
      <c r="K87" s="28">
        <f t="shared" si="47"/>
        <v>7409</v>
      </c>
      <c r="L87" s="28">
        <f t="shared" si="48"/>
        <v>6806</v>
      </c>
      <c r="M87" s="64">
        <v>0.82</v>
      </c>
      <c r="N87" s="64">
        <v>0.22</v>
      </c>
      <c r="O87" s="64">
        <v>0.78</v>
      </c>
      <c r="P87" s="64">
        <v>0.1</v>
      </c>
      <c r="Q87" s="82"/>
      <c r="R87" s="279">
        <v>163</v>
      </c>
      <c r="S87" s="172">
        <v>1.7361111111111112E-2</v>
      </c>
      <c r="T87" s="174">
        <v>3</v>
      </c>
      <c r="U87" s="170" t="str">
        <f t="shared" si="42"/>
        <v>Normal</v>
      </c>
      <c r="V87" s="170" t="str">
        <f t="shared" si="43"/>
        <v>Normal</v>
      </c>
      <c r="W87" s="378">
        <f t="shared" si="44"/>
        <v>-0.671875</v>
      </c>
      <c r="X87" s="378">
        <f t="shared" si="45"/>
        <v>-0.70833333333333337</v>
      </c>
    </row>
    <row r="88" spans="1:24">
      <c r="A88" s="21">
        <v>45469</v>
      </c>
      <c r="B88" s="16">
        <f>IF(YEAR(Table6[[#This Row],[Date]]) = 2024, WEEKNUM(Table6[[#This Row],[Date]])-13, WEEKNUM(Table6[[#This Row],[Date]])+40)</f>
        <v>13</v>
      </c>
      <c r="C88" s="31" t="s">
        <v>50</v>
      </c>
      <c r="D88" s="59" t="s">
        <v>48</v>
      </c>
      <c r="E88" s="1">
        <v>82</v>
      </c>
      <c r="F88" s="1">
        <v>67</v>
      </c>
      <c r="G88" s="61">
        <f t="shared" si="54"/>
        <v>-0.48427672955974843</v>
      </c>
      <c r="H88" s="61">
        <f t="shared" si="55"/>
        <v>-0.51094890510948909</v>
      </c>
      <c r="I88" s="1">
        <f>I87+E88</f>
        <v>2103</v>
      </c>
      <c r="J88" s="1">
        <f>J87+F88</f>
        <v>1864</v>
      </c>
      <c r="K88" s="1">
        <f t="shared" si="47"/>
        <v>7491</v>
      </c>
      <c r="L88" s="1">
        <f t="shared" si="48"/>
        <v>6873</v>
      </c>
      <c r="M88" s="63">
        <v>0.82</v>
      </c>
      <c r="N88" s="63">
        <v>0.18</v>
      </c>
      <c r="O88" s="63">
        <v>0.82</v>
      </c>
      <c r="P88" s="63">
        <v>0.14000000000000001</v>
      </c>
      <c r="Q88" s="83"/>
      <c r="R88" s="271">
        <v>162</v>
      </c>
      <c r="S88" s="140">
        <v>6.9444444444444447E-4</v>
      </c>
      <c r="T88" s="106">
        <v>3</v>
      </c>
      <c r="U88" s="106" t="str">
        <f t="shared" si="42"/>
        <v>Normal</v>
      </c>
      <c r="V88" s="106" t="str">
        <f t="shared" si="43"/>
        <v>Normal</v>
      </c>
      <c r="W88" s="18">
        <f t="shared" si="44"/>
        <v>-0.48427672955974843</v>
      </c>
      <c r="X88" s="18">
        <f t="shared" si="45"/>
        <v>-0.51094890510948909</v>
      </c>
    </row>
    <row r="89" spans="1:24">
      <c r="A89" s="201">
        <v>45470</v>
      </c>
      <c r="B89" s="387">
        <f>IF(YEAR(Table6[[#This Row],[Date]]) = 2024, WEEKNUM(Table6[[#This Row],[Date]])-13, WEEKNUM(Table6[[#This Row],[Date]])+40)</f>
        <v>13</v>
      </c>
      <c r="C89" s="30" t="s">
        <v>51</v>
      </c>
      <c r="D89" s="59" t="s">
        <v>48</v>
      </c>
      <c r="E89" s="28">
        <v>71</v>
      </c>
      <c r="F89" s="28">
        <v>69</v>
      </c>
      <c r="G89" s="60">
        <v>0.82352941176470584</v>
      </c>
      <c r="H89" s="60">
        <v>0.8</v>
      </c>
      <c r="I89" s="28">
        <f t="shared" ref="I89:I91" si="56">I88+E89</f>
        <v>2174</v>
      </c>
      <c r="J89" s="28">
        <f>J88+F89</f>
        <v>1933</v>
      </c>
      <c r="K89" s="28">
        <f t="shared" si="47"/>
        <v>7562</v>
      </c>
      <c r="L89" s="28">
        <f t="shared" si="48"/>
        <v>6942</v>
      </c>
      <c r="M89" s="64">
        <v>0.97</v>
      </c>
      <c r="N89" s="64">
        <v>0.03</v>
      </c>
      <c r="O89" s="64">
        <v>0.97</v>
      </c>
      <c r="P89" s="64">
        <v>0.2</v>
      </c>
      <c r="Q89" s="82"/>
      <c r="R89" s="279">
        <v>154</v>
      </c>
      <c r="S89" s="172">
        <v>6.9444444444444447E-4</v>
      </c>
      <c r="T89" s="174">
        <v>2</v>
      </c>
      <c r="U89" s="170" t="str">
        <f t="shared" si="42"/>
        <v>Outlier</v>
      </c>
      <c r="V89" s="170" t="str">
        <f t="shared" si="43"/>
        <v>Outlier</v>
      </c>
      <c r="W89" s="378">
        <f t="shared" si="44"/>
        <v>0.82352941176470584</v>
      </c>
      <c r="X89" s="378">
        <f t="shared" si="45"/>
        <v>0.8</v>
      </c>
    </row>
    <row r="90" spans="1:24">
      <c r="A90" s="21">
        <v>45471</v>
      </c>
      <c r="B90" s="16">
        <f>IF(YEAR(Table6[[#This Row],[Date]]) = 2024, WEEKNUM(Table6[[#This Row],[Date]])-13, WEEKNUM(Table6[[#This Row],[Date]])+40)</f>
        <v>13</v>
      </c>
      <c r="C90" s="31" t="s">
        <v>52</v>
      </c>
      <c r="D90" s="59" t="s">
        <v>48</v>
      </c>
      <c r="E90" s="1">
        <v>73</v>
      </c>
      <c r="F90" s="1">
        <v>65</v>
      </c>
      <c r="G90" s="61">
        <v>-0.47560975609756095</v>
      </c>
      <c r="H90" s="61">
        <v>-0.41025641025641024</v>
      </c>
      <c r="I90" s="1">
        <f t="shared" si="56"/>
        <v>2247</v>
      </c>
      <c r="J90" s="1">
        <f>J89+F90</f>
        <v>1998</v>
      </c>
      <c r="K90" s="1">
        <f t="shared" si="47"/>
        <v>7635</v>
      </c>
      <c r="L90" s="1">
        <f t="shared" si="48"/>
        <v>7007</v>
      </c>
      <c r="M90" s="63">
        <v>0.89</v>
      </c>
      <c r="N90" s="63">
        <v>0.11</v>
      </c>
      <c r="O90" s="63">
        <v>0.89</v>
      </c>
      <c r="P90" s="63">
        <v>0.19</v>
      </c>
      <c r="Q90" s="83"/>
      <c r="R90" s="271">
        <v>150</v>
      </c>
      <c r="S90" s="140">
        <v>2.8472222222222222E-2</v>
      </c>
      <c r="T90" s="106">
        <v>2</v>
      </c>
      <c r="U90" s="106" t="str">
        <f t="shared" si="42"/>
        <v>Normal</v>
      </c>
      <c r="V90" s="106" t="str">
        <f t="shared" si="43"/>
        <v>Normal</v>
      </c>
      <c r="W90" s="18">
        <f t="shared" si="44"/>
        <v>-0.47560975609756095</v>
      </c>
      <c r="X90" s="18">
        <f t="shared" si="45"/>
        <v>-0.41025641025641024</v>
      </c>
    </row>
    <row r="91" spans="1:24">
      <c r="A91" s="201">
        <v>45472</v>
      </c>
      <c r="B91" s="387">
        <f>IF(YEAR(Table6[[#This Row],[Date]]) = 2024, WEEKNUM(Table6[[#This Row],[Date]])-13, WEEKNUM(Table6[[#This Row],[Date]])+40)</f>
        <v>13</v>
      </c>
      <c r="C91" s="30" t="s">
        <v>53</v>
      </c>
      <c r="D91" s="59" t="s">
        <v>48</v>
      </c>
      <c r="E91" s="28">
        <v>43</v>
      </c>
      <c r="F91" s="28">
        <v>40</v>
      </c>
      <c r="G91" s="60">
        <v>-0.30882352941176472</v>
      </c>
      <c r="H91" s="60">
        <v>-0.27559055118110237</v>
      </c>
      <c r="I91" s="28">
        <f t="shared" si="56"/>
        <v>2290</v>
      </c>
      <c r="J91" s="28">
        <f>J90+F91</f>
        <v>2038</v>
      </c>
      <c r="K91" s="28">
        <f t="shared" si="47"/>
        <v>7678</v>
      </c>
      <c r="L91" s="28">
        <f t="shared" si="48"/>
        <v>7047</v>
      </c>
      <c r="M91" s="64">
        <v>0.93</v>
      </c>
      <c r="N91" s="64">
        <v>7.0000000000000007E-2</v>
      </c>
      <c r="O91" s="64">
        <v>0.93</v>
      </c>
      <c r="P91" s="64">
        <v>0.2</v>
      </c>
      <c r="Q91" s="82"/>
      <c r="R91" s="279">
        <v>129</v>
      </c>
      <c r="S91" s="172">
        <v>6.2499999999999995E-3</v>
      </c>
      <c r="T91" s="174">
        <v>1</v>
      </c>
      <c r="U91" s="170" t="str">
        <f t="shared" si="42"/>
        <v>Normal</v>
      </c>
      <c r="V91" s="170" t="str">
        <f t="shared" si="43"/>
        <v>Normal</v>
      </c>
      <c r="W91" s="378">
        <f t="shared" si="44"/>
        <v>-0.30882352941176472</v>
      </c>
      <c r="X91" s="378">
        <f t="shared" si="45"/>
        <v>-0.27559055118110237</v>
      </c>
    </row>
    <row r="92" spans="1:24">
      <c r="A92" s="21">
        <v>45473</v>
      </c>
      <c r="B92" s="16">
        <f>IF(YEAR(Table6[[#This Row],[Date]]) = 2024, WEEKNUM(Table6[[#This Row],[Date]])-13, WEEKNUM(Table6[[#This Row],[Date]])+40)</f>
        <v>14</v>
      </c>
      <c r="C92" s="31" t="s">
        <v>54</v>
      </c>
      <c r="D92" s="59" t="s">
        <v>48</v>
      </c>
      <c r="E92" s="1">
        <v>0</v>
      </c>
      <c r="F92" s="1">
        <v>0</v>
      </c>
      <c r="G92" s="61">
        <v>0</v>
      </c>
      <c r="H92" s="61">
        <v>0</v>
      </c>
      <c r="I92" s="1">
        <v>0</v>
      </c>
      <c r="J92" s="1">
        <v>0</v>
      </c>
      <c r="K92" s="1">
        <v>0</v>
      </c>
      <c r="L92" s="1">
        <v>0</v>
      </c>
      <c r="M92" s="63">
        <v>0</v>
      </c>
      <c r="N92" s="63">
        <v>0</v>
      </c>
      <c r="O92" s="63">
        <v>0</v>
      </c>
      <c r="P92" s="63">
        <v>0</v>
      </c>
      <c r="Q92" s="83"/>
      <c r="R92" s="271">
        <v>0</v>
      </c>
      <c r="S92" s="140">
        <v>0</v>
      </c>
      <c r="T92" s="106">
        <v>0</v>
      </c>
      <c r="U92" s="106" t="str">
        <f t="shared" si="42"/>
        <v>Normal</v>
      </c>
      <c r="V92" s="106" t="str">
        <f t="shared" si="43"/>
        <v>Normal</v>
      </c>
      <c r="W92" s="18">
        <f t="shared" si="44"/>
        <v>0</v>
      </c>
      <c r="X92" s="18">
        <f t="shared" si="45"/>
        <v>0</v>
      </c>
    </row>
    <row r="93" spans="1:24">
      <c r="A93" s="201">
        <v>45474</v>
      </c>
      <c r="B93" s="387">
        <f>IF(YEAR(Table6[[#This Row],[Date]]) = 2024, WEEKNUM(Table6[[#This Row],[Date]])-13, WEEKNUM(Table6[[#This Row],[Date]])+40)</f>
        <v>14</v>
      </c>
      <c r="C93" s="30" t="s">
        <v>55</v>
      </c>
      <c r="D93" s="59" t="s">
        <v>48</v>
      </c>
      <c r="E93" s="28">
        <v>89</v>
      </c>
      <c r="F93" s="28">
        <v>68</v>
      </c>
      <c r="G93" s="60">
        <f>(E93-E86)/E86</f>
        <v>0.41269841269841268</v>
      </c>
      <c r="H93" s="60">
        <f>(F93-F86)/F86</f>
        <v>0.23636363636363636</v>
      </c>
      <c r="I93" s="28">
        <f>E93</f>
        <v>89</v>
      </c>
      <c r="J93" s="28">
        <f>F93</f>
        <v>68</v>
      </c>
      <c r="K93" s="28">
        <f>E93+K91</f>
        <v>7767</v>
      </c>
      <c r="L93" s="28">
        <f>F93+L91</f>
        <v>7115</v>
      </c>
      <c r="M93" s="64">
        <v>0.76</v>
      </c>
      <c r="N93" s="64">
        <v>0.24</v>
      </c>
      <c r="O93" s="64">
        <v>0.76</v>
      </c>
      <c r="P93" s="64">
        <v>0.17</v>
      </c>
      <c r="Q93" s="82"/>
      <c r="R93" s="279">
        <v>133</v>
      </c>
      <c r="S93" s="172">
        <v>1.9444444444444445E-2</v>
      </c>
      <c r="T93" s="174">
        <v>2</v>
      </c>
      <c r="U93" s="170" t="str">
        <f t="shared" si="42"/>
        <v>Normal</v>
      </c>
      <c r="V93" s="170" t="str">
        <f t="shared" si="43"/>
        <v>Normal</v>
      </c>
      <c r="W93" s="378">
        <f t="shared" si="44"/>
        <v>0.41269841269841268</v>
      </c>
      <c r="X93" s="378">
        <f t="shared" si="45"/>
        <v>0.23636363636363636</v>
      </c>
    </row>
    <row r="94" spans="1:24">
      <c r="A94" s="21">
        <v>45475</v>
      </c>
      <c r="B94" s="16">
        <f>IF(YEAR(Table6[[#This Row],[Date]]) = 2024, WEEKNUM(Table6[[#This Row],[Date]])-13, WEEKNUM(Table6[[#This Row],[Date]])+40)</f>
        <v>14</v>
      </c>
      <c r="C94" s="31" t="s">
        <v>49</v>
      </c>
      <c r="D94" s="59" t="s">
        <v>48</v>
      </c>
      <c r="E94" s="1">
        <v>80</v>
      </c>
      <c r="F94" s="1">
        <v>67</v>
      </c>
      <c r="G94" s="61">
        <f t="shared" ref="G94:G95" si="57">(E94-E87)/E87</f>
        <v>0.26984126984126983</v>
      </c>
      <c r="H94" s="61">
        <f t="shared" ref="H94:H95" si="58">(F94-F87)/F87</f>
        <v>0.36734693877551022</v>
      </c>
      <c r="I94" s="1">
        <f>I93+E94</f>
        <v>169</v>
      </c>
      <c r="J94" s="1">
        <f>J93+F94</f>
        <v>135</v>
      </c>
      <c r="K94" s="1">
        <f t="shared" si="47"/>
        <v>7847</v>
      </c>
      <c r="L94" s="1">
        <f t="shared" si="48"/>
        <v>7182</v>
      </c>
      <c r="M94" s="63">
        <v>0.84</v>
      </c>
      <c r="N94" s="63">
        <v>0.16</v>
      </c>
      <c r="O94" s="63">
        <v>0.84</v>
      </c>
      <c r="P94" s="63">
        <v>0.18</v>
      </c>
      <c r="Q94" s="83"/>
      <c r="R94" s="271">
        <v>141</v>
      </c>
      <c r="S94" s="140">
        <v>2.361111111111111E-2</v>
      </c>
      <c r="T94" s="106">
        <v>2</v>
      </c>
      <c r="U94" s="106" t="str">
        <f t="shared" si="42"/>
        <v>Normal</v>
      </c>
      <c r="V94" s="106" t="str">
        <f t="shared" si="43"/>
        <v>Normal</v>
      </c>
      <c r="W94" s="18">
        <f t="shared" si="44"/>
        <v>0.26984126984126983</v>
      </c>
      <c r="X94" s="18">
        <f t="shared" si="45"/>
        <v>0.36734693877551022</v>
      </c>
    </row>
    <row r="95" spans="1:24">
      <c r="A95" s="201">
        <v>45476</v>
      </c>
      <c r="B95" s="387">
        <f>IF(YEAR(Table6[[#This Row],[Date]]) = 2024, WEEKNUM(Table6[[#This Row],[Date]])-13, WEEKNUM(Table6[[#This Row],[Date]])+40)</f>
        <v>14</v>
      </c>
      <c r="C95" s="30" t="s">
        <v>50</v>
      </c>
      <c r="D95" s="59" t="s">
        <v>48</v>
      </c>
      <c r="E95" s="28">
        <v>83</v>
      </c>
      <c r="F95" s="28">
        <v>58</v>
      </c>
      <c r="G95" s="60">
        <f t="shared" si="57"/>
        <v>1.2195121951219513E-2</v>
      </c>
      <c r="H95" s="60">
        <f t="shared" si="58"/>
        <v>-0.13432835820895522</v>
      </c>
      <c r="I95" s="28">
        <f>I94+E95</f>
        <v>252</v>
      </c>
      <c r="J95" s="28">
        <f>J94+F95</f>
        <v>193</v>
      </c>
      <c r="K95" s="28">
        <f t="shared" si="47"/>
        <v>7930</v>
      </c>
      <c r="L95" s="28">
        <f t="shared" si="48"/>
        <v>7240</v>
      </c>
      <c r="M95" s="64">
        <v>0.7</v>
      </c>
      <c r="N95" s="64">
        <v>0.3</v>
      </c>
      <c r="O95" s="64">
        <v>0.7</v>
      </c>
      <c r="P95" s="64">
        <v>0.3</v>
      </c>
      <c r="Q95" s="82"/>
      <c r="R95" s="279">
        <v>136</v>
      </c>
      <c r="S95" s="172">
        <v>1.8749999999999999E-2</v>
      </c>
      <c r="T95" s="174">
        <v>2</v>
      </c>
      <c r="U95" s="170" t="str">
        <f t="shared" si="42"/>
        <v>Normal</v>
      </c>
      <c r="V95" s="170" t="str">
        <f t="shared" si="43"/>
        <v>Normal</v>
      </c>
      <c r="W95" s="378">
        <f t="shared" si="44"/>
        <v>1.2195121951219513E-2</v>
      </c>
      <c r="X95" s="378">
        <f t="shared" si="45"/>
        <v>-0.13432835820895522</v>
      </c>
    </row>
    <row r="96" spans="1:24">
      <c r="A96" s="21">
        <v>45477</v>
      </c>
      <c r="B96" s="16">
        <f>IF(YEAR(Table6[[#This Row],[Date]]) = 2024, WEEKNUM(Table6[[#This Row],[Date]])-13, WEEKNUM(Table6[[#This Row],[Date]])+40)</f>
        <v>14</v>
      </c>
      <c r="C96" s="31" t="s">
        <v>51</v>
      </c>
      <c r="D96" s="59" t="s">
        <v>48</v>
      </c>
      <c r="E96" s="1">
        <v>14</v>
      </c>
      <c r="F96" s="1">
        <v>11</v>
      </c>
      <c r="G96" s="61">
        <v>0.82352941176470584</v>
      </c>
      <c r="H96" s="61">
        <v>0.8</v>
      </c>
      <c r="I96" s="1">
        <f t="shared" ref="I96:I98" si="59">I95+E96</f>
        <v>266</v>
      </c>
      <c r="J96" s="1">
        <f>J95+F96</f>
        <v>204</v>
      </c>
      <c r="K96" s="1">
        <f t="shared" si="47"/>
        <v>7944</v>
      </c>
      <c r="L96" s="1">
        <f t="shared" si="48"/>
        <v>7251</v>
      </c>
      <c r="M96" s="63">
        <v>0.79</v>
      </c>
      <c r="N96" s="63">
        <v>0.21</v>
      </c>
      <c r="O96" s="63">
        <v>0.79</v>
      </c>
      <c r="P96" s="63">
        <v>0.01</v>
      </c>
      <c r="Q96" s="83"/>
      <c r="R96" s="271">
        <v>70</v>
      </c>
      <c r="S96" s="140">
        <v>1.1805555555555555E-2</v>
      </c>
      <c r="T96" s="106">
        <v>2</v>
      </c>
      <c r="U96" s="106" t="str">
        <f t="shared" si="42"/>
        <v>Outlier</v>
      </c>
      <c r="V96" s="106" t="str">
        <f t="shared" si="43"/>
        <v>Outlier</v>
      </c>
      <c r="W96" s="18">
        <f t="shared" si="44"/>
        <v>0.82352941176470584</v>
      </c>
      <c r="X96" s="18">
        <f t="shared" si="45"/>
        <v>0.8</v>
      </c>
    </row>
    <row r="97" spans="1:24">
      <c r="A97" s="201">
        <v>45478</v>
      </c>
      <c r="B97" s="387">
        <f>IF(YEAR(Table6[[#This Row],[Date]]) = 2024, WEEKNUM(Table6[[#This Row],[Date]])-13, WEEKNUM(Table6[[#This Row],[Date]])+40)</f>
        <v>14</v>
      </c>
      <c r="C97" s="30" t="s">
        <v>52</v>
      </c>
      <c r="D97" s="59" t="s">
        <v>48</v>
      </c>
      <c r="E97" s="28">
        <v>6</v>
      </c>
      <c r="F97" s="28">
        <v>5</v>
      </c>
      <c r="G97" s="60">
        <v>-0.47560975609756095</v>
      </c>
      <c r="H97" s="60">
        <v>-0.41025641025641024</v>
      </c>
      <c r="I97" s="28">
        <f t="shared" si="59"/>
        <v>272</v>
      </c>
      <c r="J97" s="28">
        <f>J96+F97</f>
        <v>209</v>
      </c>
      <c r="K97" s="28">
        <f t="shared" si="47"/>
        <v>7950</v>
      </c>
      <c r="L97" s="28">
        <f t="shared" si="48"/>
        <v>7256</v>
      </c>
      <c r="M97" s="64">
        <v>0.83</v>
      </c>
      <c r="N97" s="64">
        <v>0.17</v>
      </c>
      <c r="O97" s="64">
        <v>0.83</v>
      </c>
      <c r="P97" s="64">
        <v>0</v>
      </c>
      <c r="Q97" s="82"/>
      <c r="R97" s="279">
        <v>25</v>
      </c>
      <c r="S97" s="172">
        <v>1.0416666666666666E-2</v>
      </c>
      <c r="T97" s="174">
        <v>1</v>
      </c>
      <c r="U97" s="170" t="str">
        <f t="shared" si="42"/>
        <v>Normal</v>
      </c>
      <c r="V97" s="170" t="str">
        <f t="shared" si="43"/>
        <v>Normal</v>
      </c>
      <c r="W97" s="378">
        <f t="shared" si="44"/>
        <v>-0.47560975609756095</v>
      </c>
      <c r="X97" s="378">
        <f t="shared" si="45"/>
        <v>-0.41025641025641024</v>
      </c>
    </row>
    <row r="98" spans="1:24">
      <c r="A98" s="21">
        <v>45479</v>
      </c>
      <c r="B98" s="16">
        <f>IF(YEAR(Table6[[#This Row],[Date]]) = 2024, WEEKNUM(Table6[[#This Row],[Date]])-13, WEEKNUM(Table6[[#This Row],[Date]])+40)</f>
        <v>14</v>
      </c>
      <c r="C98" s="31" t="s">
        <v>53</v>
      </c>
      <c r="D98" s="59" t="s">
        <v>48</v>
      </c>
      <c r="E98" s="1">
        <v>7</v>
      </c>
      <c r="F98" s="1">
        <v>7</v>
      </c>
      <c r="G98" s="61">
        <v>-0.30882352941176472</v>
      </c>
      <c r="H98" s="61">
        <v>-0.27559055118110237</v>
      </c>
      <c r="I98" s="1">
        <f t="shared" si="59"/>
        <v>279</v>
      </c>
      <c r="J98" s="1">
        <f>J97+F98</f>
        <v>216</v>
      </c>
      <c r="K98" s="1">
        <f t="shared" si="47"/>
        <v>7957</v>
      </c>
      <c r="L98" s="1">
        <f t="shared" si="48"/>
        <v>7263</v>
      </c>
      <c r="M98" s="63">
        <v>1</v>
      </c>
      <c r="N98" s="63">
        <v>0</v>
      </c>
      <c r="O98" s="63">
        <v>1</v>
      </c>
      <c r="P98" s="63">
        <v>0.01</v>
      </c>
      <c r="Q98" s="83"/>
      <c r="R98" s="271">
        <v>30</v>
      </c>
      <c r="S98" s="140">
        <v>0</v>
      </c>
      <c r="T98" s="106">
        <v>1</v>
      </c>
      <c r="U98" s="106" t="str">
        <f t="shared" ref="U98:U134" si="60">IF(OR(G98&lt;$AB$5,G98&gt;$AC$5), "Outlier", "Normal")</f>
        <v>Normal</v>
      </c>
      <c r="V98" s="106" t="str">
        <f t="shared" ref="V98:V134" si="61">IF(OR(H98&lt;$AB$6,H98&gt;$AC$6), "Outlier", "Normal")</f>
        <v>Normal</v>
      </c>
      <c r="W98" s="18">
        <f t="shared" ref="W98:W134" si="62">IF(U98="Normal",$G98,IF($G98&lt;150%, $G98, $AB$9))</f>
        <v>-0.30882352941176472</v>
      </c>
      <c r="X98" s="18">
        <f t="shared" ref="X98:X134" si="63">IF(V98="Normal",$H98,IF($H98&lt;150%, $H98, $AF$9))</f>
        <v>-0.27559055118110237</v>
      </c>
    </row>
    <row r="99" spans="1:24">
      <c r="A99" s="201">
        <v>45480</v>
      </c>
      <c r="B99" s="387">
        <f>IF(YEAR(Table6[[#This Row],[Date]]) = 2024, WEEKNUM(Table6[[#This Row],[Date]])-13, WEEKNUM(Table6[[#This Row],[Date]])+40)</f>
        <v>15</v>
      </c>
      <c r="C99" s="30" t="s">
        <v>54</v>
      </c>
      <c r="D99" s="59" t="s">
        <v>48</v>
      </c>
      <c r="E99" s="28">
        <v>0</v>
      </c>
      <c r="F99" s="28">
        <v>0</v>
      </c>
      <c r="G99" s="60">
        <v>0</v>
      </c>
      <c r="H99" s="60">
        <v>0</v>
      </c>
      <c r="I99" s="28">
        <v>0</v>
      </c>
      <c r="J99" s="28">
        <v>0</v>
      </c>
      <c r="K99" s="28">
        <v>0</v>
      </c>
      <c r="L99" s="28">
        <v>0</v>
      </c>
      <c r="M99" s="64">
        <v>0</v>
      </c>
      <c r="N99" s="64">
        <v>0</v>
      </c>
      <c r="O99" s="64">
        <v>0</v>
      </c>
      <c r="P99" s="64">
        <v>0</v>
      </c>
      <c r="Q99" s="82"/>
      <c r="R99" s="279">
        <v>0</v>
      </c>
      <c r="S99" s="172">
        <v>0</v>
      </c>
      <c r="T99" s="174">
        <v>0</v>
      </c>
      <c r="U99" s="170" t="str">
        <f t="shared" si="60"/>
        <v>Normal</v>
      </c>
      <c r="V99" s="170" t="str">
        <f t="shared" si="61"/>
        <v>Normal</v>
      </c>
      <c r="W99" s="378">
        <f t="shared" si="62"/>
        <v>0</v>
      </c>
      <c r="X99" s="378">
        <f t="shared" si="63"/>
        <v>0</v>
      </c>
    </row>
    <row r="100" spans="1:24">
      <c r="A100" s="21">
        <v>45481</v>
      </c>
      <c r="B100" s="16">
        <f>IF(YEAR(Table6[[#This Row],[Date]]) = 2024, WEEKNUM(Table6[[#This Row],[Date]])-13, WEEKNUM(Table6[[#This Row],[Date]])+40)</f>
        <v>15</v>
      </c>
      <c r="C100" s="31" t="s">
        <v>55</v>
      </c>
      <c r="D100" s="59" t="s">
        <v>48</v>
      </c>
      <c r="E100" s="1">
        <v>137</v>
      </c>
      <c r="F100" s="1">
        <v>119</v>
      </c>
      <c r="G100" s="61">
        <f>(E100-E93)/E93</f>
        <v>0.5393258426966292</v>
      </c>
      <c r="H100" s="61">
        <f>(F100-F93)/F93</f>
        <v>0.75</v>
      </c>
      <c r="I100" s="1">
        <f>I98+E100</f>
        <v>416</v>
      </c>
      <c r="J100" s="1">
        <f>J98+F100</f>
        <v>335</v>
      </c>
      <c r="K100" s="1">
        <f>E100+K98</f>
        <v>8094</v>
      </c>
      <c r="L100" s="1">
        <f>F100+L98</f>
        <v>7382</v>
      </c>
      <c r="M100" s="63">
        <v>0.87</v>
      </c>
      <c r="N100" s="63">
        <v>0.13</v>
      </c>
      <c r="O100" s="63">
        <v>0.87</v>
      </c>
      <c r="P100" s="63">
        <v>0.53</v>
      </c>
      <c r="Q100" s="83"/>
      <c r="R100" s="271">
        <v>229</v>
      </c>
      <c r="S100" s="140">
        <v>2.1527777777777781E-2</v>
      </c>
      <c r="T100" s="106">
        <v>2</v>
      </c>
      <c r="U100" s="106" t="str">
        <f t="shared" si="60"/>
        <v>Normal</v>
      </c>
      <c r="V100" s="106" t="str">
        <f t="shared" si="61"/>
        <v>Outlier</v>
      </c>
      <c r="W100" s="18">
        <f t="shared" si="62"/>
        <v>0.5393258426966292</v>
      </c>
      <c r="X100" s="18">
        <f t="shared" si="63"/>
        <v>0.75</v>
      </c>
    </row>
    <row r="101" spans="1:24">
      <c r="A101" s="201">
        <v>45482</v>
      </c>
      <c r="B101" s="387">
        <f>IF(YEAR(Table6[[#This Row],[Date]]) = 2024, WEEKNUM(Table6[[#This Row],[Date]])-13, WEEKNUM(Table6[[#This Row],[Date]])+40)</f>
        <v>15</v>
      </c>
      <c r="C101" s="30" t="s">
        <v>49</v>
      </c>
      <c r="D101" s="59" t="s">
        <v>48</v>
      </c>
      <c r="E101" s="28">
        <v>182</v>
      </c>
      <c r="F101" s="28">
        <v>152</v>
      </c>
      <c r="G101" s="60">
        <f t="shared" ref="G101:G102" si="64">(E101-E94)/E94</f>
        <v>1.2749999999999999</v>
      </c>
      <c r="H101" s="60">
        <f t="shared" ref="H101:H102" si="65">(F101-F94)/F94</f>
        <v>1.2686567164179106</v>
      </c>
      <c r="I101" s="28">
        <f>I100+E101</f>
        <v>598</v>
      </c>
      <c r="J101" s="28">
        <f>J100+F101</f>
        <v>487</v>
      </c>
      <c r="K101" s="28">
        <f t="shared" si="47"/>
        <v>8276</v>
      </c>
      <c r="L101" s="28">
        <f t="shared" si="48"/>
        <v>7534</v>
      </c>
      <c r="M101" s="64">
        <v>0.84</v>
      </c>
      <c r="N101" s="64">
        <v>0.16</v>
      </c>
      <c r="O101" s="64">
        <v>0.84</v>
      </c>
      <c r="P101" s="64">
        <v>0.34</v>
      </c>
      <c r="Q101" s="82"/>
      <c r="R101" s="279">
        <v>116</v>
      </c>
      <c r="S101" s="172">
        <v>2.9166666666666664E-2</v>
      </c>
      <c r="T101" s="174">
        <v>2</v>
      </c>
      <c r="U101" s="170" t="str">
        <f t="shared" si="60"/>
        <v>Outlier</v>
      </c>
      <c r="V101" s="170" t="str">
        <f t="shared" si="61"/>
        <v>Outlier</v>
      </c>
      <c r="W101" s="378">
        <f t="shared" si="62"/>
        <v>1.2749999999999999</v>
      </c>
      <c r="X101" s="378">
        <f t="shared" si="63"/>
        <v>1.2686567164179106</v>
      </c>
    </row>
    <row r="102" spans="1:24">
      <c r="A102" s="21">
        <v>45483</v>
      </c>
      <c r="B102" s="16">
        <f>IF(YEAR(Table6[[#This Row],[Date]]) = 2024, WEEKNUM(Table6[[#This Row],[Date]])-13, WEEKNUM(Table6[[#This Row],[Date]])+40)</f>
        <v>15</v>
      </c>
      <c r="C102" s="31" t="s">
        <v>50</v>
      </c>
      <c r="D102" s="59" t="s">
        <v>48</v>
      </c>
      <c r="E102" s="1">
        <v>99</v>
      </c>
      <c r="F102" s="1">
        <v>88</v>
      </c>
      <c r="G102" s="61">
        <f t="shared" si="64"/>
        <v>0.19277108433734941</v>
      </c>
      <c r="H102" s="61">
        <f t="shared" si="65"/>
        <v>0.51724137931034486</v>
      </c>
      <c r="I102" s="1">
        <f>I101+E102</f>
        <v>697</v>
      </c>
      <c r="J102" s="1">
        <f>J101+F102</f>
        <v>575</v>
      </c>
      <c r="K102" s="1">
        <f t="shared" si="47"/>
        <v>8375</v>
      </c>
      <c r="L102" s="1">
        <f t="shared" si="48"/>
        <v>7622</v>
      </c>
      <c r="M102" s="63">
        <v>0.89</v>
      </c>
      <c r="N102" s="63">
        <v>0.11</v>
      </c>
      <c r="O102" s="63">
        <v>0.89</v>
      </c>
      <c r="P102" s="63">
        <v>0.24</v>
      </c>
      <c r="Q102" s="83"/>
      <c r="R102" s="271">
        <v>142</v>
      </c>
      <c r="S102" s="140">
        <v>4.7916666666666663E-2</v>
      </c>
      <c r="T102" s="106">
        <v>2</v>
      </c>
      <c r="U102" s="106" t="str">
        <f t="shared" si="60"/>
        <v>Normal</v>
      </c>
      <c r="V102" s="106" t="str">
        <f t="shared" si="61"/>
        <v>Normal</v>
      </c>
      <c r="W102" s="18">
        <f t="shared" si="62"/>
        <v>0.19277108433734941</v>
      </c>
      <c r="X102" s="18">
        <f t="shared" si="63"/>
        <v>0.51724137931034486</v>
      </c>
    </row>
    <row r="103" spans="1:24">
      <c r="A103" s="201">
        <v>45484</v>
      </c>
      <c r="B103" s="387">
        <f>IF(YEAR(Table6[[#This Row],[Date]]) = 2024, WEEKNUM(Table6[[#This Row],[Date]])-13, WEEKNUM(Table6[[#This Row],[Date]])+40)</f>
        <v>15</v>
      </c>
      <c r="C103" s="30" t="s">
        <v>51</v>
      </c>
      <c r="D103" s="59" t="s">
        <v>48</v>
      </c>
      <c r="E103" s="28">
        <v>119</v>
      </c>
      <c r="F103" s="28">
        <v>109</v>
      </c>
      <c r="G103" s="60">
        <v>0.82352941176470584</v>
      </c>
      <c r="H103" s="60">
        <v>0.8</v>
      </c>
      <c r="I103" s="28">
        <f t="shared" ref="I103:I105" si="66">I102+E103</f>
        <v>816</v>
      </c>
      <c r="J103" s="28">
        <f>J102+F103</f>
        <v>684</v>
      </c>
      <c r="K103" s="28">
        <f t="shared" si="47"/>
        <v>8494</v>
      </c>
      <c r="L103" s="28">
        <f t="shared" si="48"/>
        <v>7731</v>
      </c>
      <c r="M103" s="64">
        <v>0.92</v>
      </c>
      <c r="N103" s="64">
        <v>0.08</v>
      </c>
      <c r="O103" s="64">
        <v>0.92</v>
      </c>
      <c r="P103" s="64">
        <v>0.28999999999999998</v>
      </c>
      <c r="Q103" s="82"/>
      <c r="R103" s="279">
        <v>138</v>
      </c>
      <c r="S103" s="172">
        <v>1.9444444444444445E-2</v>
      </c>
      <c r="T103" s="174">
        <v>2</v>
      </c>
      <c r="U103" s="170" t="str">
        <f t="shared" si="60"/>
        <v>Outlier</v>
      </c>
      <c r="V103" s="170" t="str">
        <f t="shared" si="61"/>
        <v>Outlier</v>
      </c>
      <c r="W103" s="378">
        <f t="shared" si="62"/>
        <v>0.82352941176470584</v>
      </c>
      <c r="X103" s="378">
        <f t="shared" si="63"/>
        <v>0.8</v>
      </c>
    </row>
    <row r="104" spans="1:24">
      <c r="A104" s="21">
        <v>45485</v>
      </c>
      <c r="B104" s="16">
        <f>IF(YEAR(Table6[[#This Row],[Date]]) = 2024, WEEKNUM(Table6[[#This Row],[Date]])-13, WEEKNUM(Table6[[#This Row],[Date]])+40)</f>
        <v>15</v>
      </c>
      <c r="C104" s="31" t="s">
        <v>52</v>
      </c>
      <c r="D104" s="59" t="s">
        <v>48</v>
      </c>
      <c r="E104" s="1">
        <v>127</v>
      </c>
      <c r="F104" s="1">
        <v>113</v>
      </c>
      <c r="G104" s="61">
        <v>-0.47560975609756095</v>
      </c>
      <c r="H104" s="61">
        <v>-0.41025641025641024</v>
      </c>
      <c r="I104" s="1">
        <f t="shared" si="66"/>
        <v>943</v>
      </c>
      <c r="J104" s="1">
        <f>J103+F104</f>
        <v>797</v>
      </c>
      <c r="K104" s="1">
        <f t="shared" si="47"/>
        <v>8621</v>
      </c>
      <c r="L104" s="1">
        <f t="shared" si="48"/>
        <v>7844</v>
      </c>
      <c r="M104" s="63">
        <v>0.89</v>
      </c>
      <c r="N104" s="63">
        <v>0.11</v>
      </c>
      <c r="O104" s="63">
        <v>0.89</v>
      </c>
      <c r="P104" s="63">
        <v>0.36</v>
      </c>
      <c r="Q104" s="83"/>
      <c r="R104" s="271">
        <v>163</v>
      </c>
      <c r="S104" s="140">
        <v>1.6666666666666666E-2</v>
      </c>
      <c r="T104" s="106">
        <v>2</v>
      </c>
      <c r="U104" s="106" t="str">
        <f t="shared" si="60"/>
        <v>Normal</v>
      </c>
      <c r="V104" s="106" t="str">
        <f t="shared" si="61"/>
        <v>Normal</v>
      </c>
      <c r="W104" s="18">
        <f t="shared" si="62"/>
        <v>-0.47560975609756095</v>
      </c>
      <c r="X104" s="18">
        <f t="shared" si="63"/>
        <v>-0.41025641025641024</v>
      </c>
    </row>
    <row r="105" spans="1:24">
      <c r="A105" s="201">
        <v>45486</v>
      </c>
      <c r="B105" s="387">
        <f>IF(YEAR(Table6[[#This Row],[Date]]) = 2024, WEEKNUM(Table6[[#This Row],[Date]])-13, WEEKNUM(Table6[[#This Row],[Date]])+40)</f>
        <v>15</v>
      </c>
      <c r="C105" s="30" t="s">
        <v>53</v>
      </c>
      <c r="D105" s="59" t="s">
        <v>48</v>
      </c>
      <c r="E105" s="28">
        <v>87</v>
      </c>
      <c r="F105" s="28">
        <v>79</v>
      </c>
      <c r="G105" s="60">
        <v>-0.30882352941176472</v>
      </c>
      <c r="H105" s="60">
        <v>-0.27559055118110237</v>
      </c>
      <c r="I105" s="28">
        <f t="shared" si="66"/>
        <v>1030</v>
      </c>
      <c r="J105" s="28">
        <f>J104+F105</f>
        <v>876</v>
      </c>
      <c r="K105" s="28">
        <f t="shared" si="47"/>
        <v>8708</v>
      </c>
      <c r="L105" s="28">
        <f t="shared" si="48"/>
        <v>7923</v>
      </c>
      <c r="M105" s="64">
        <v>0.91</v>
      </c>
      <c r="N105" s="64">
        <v>0.09</v>
      </c>
      <c r="O105" s="64">
        <v>0.91</v>
      </c>
      <c r="P105" s="64">
        <v>0.26</v>
      </c>
      <c r="Q105" s="82"/>
      <c r="R105" s="279">
        <v>168</v>
      </c>
      <c r="S105" s="172">
        <v>1.8055555555555557E-2</v>
      </c>
      <c r="T105" s="174">
        <v>2</v>
      </c>
      <c r="U105" s="170" t="str">
        <f t="shared" si="60"/>
        <v>Normal</v>
      </c>
      <c r="V105" s="170" t="str">
        <f t="shared" si="61"/>
        <v>Normal</v>
      </c>
      <c r="W105" s="378">
        <f t="shared" si="62"/>
        <v>-0.30882352941176472</v>
      </c>
      <c r="X105" s="378">
        <f t="shared" si="63"/>
        <v>-0.27559055118110237</v>
      </c>
    </row>
    <row r="106" spans="1:24">
      <c r="A106" s="21">
        <v>45487</v>
      </c>
      <c r="B106" s="16">
        <f>IF(YEAR(Table6[[#This Row],[Date]]) = 2024, WEEKNUM(Table6[[#This Row],[Date]])-13, WEEKNUM(Table6[[#This Row],[Date]])+40)</f>
        <v>16</v>
      </c>
      <c r="C106" s="31" t="s">
        <v>54</v>
      </c>
      <c r="D106" s="59" t="s">
        <v>48</v>
      </c>
      <c r="E106" s="1">
        <v>0</v>
      </c>
      <c r="F106" s="1">
        <v>0</v>
      </c>
      <c r="G106" s="61">
        <v>0</v>
      </c>
      <c r="H106" s="61">
        <v>0</v>
      </c>
      <c r="I106" s="1">
        <v>0</v>
      </c>
      <c r="J106" s="1">
        <v>0</v>
      </c>
      <c r="K106" s="1">
        <v>0</v>
      </c>
      <c r="L106" s="1">
        <v>0</v>
      </c>
      <c r="M106" s="63">
        <v>0</v>
      </c>
      <c r="N106" s="63">
        <v>0</v>
      </c>
      <c r="O106" s="63">
        <v>0</v>
      </c>
      <c r="P106" s="63">
        <v>0</v>
      </c>
      <c r="Q106" s="83"/>
      <c r="R106" s="271">
        <v>0</v>
      </c>
      <c r="S106" s="140">
        <v>0</v>
      </c>
      <c r="T106" s="106">
        <v>0</v>
      </c>
      <c r="U106" s="106" t="str">
        <f t="shared" si="60"/>
        <v>Normal</v>
      </c>
      <c r="V106" s="106" t="str">
        <f t="shared" si="61"/>
        <v>Normal</v>
      </c>
      <c r="W106" s="18">
        <f t="shared" si="62"/>
        <v>0</v>
      </c>
      <c r="X106" s="18">
        <f t="shared" si="63"/>
        <v>0</v>
      </c>
    </row>
    <row r="107" spans="1:24">
      <c r="A107" s="201">
        <v>45488</v>
      </c>
      <c r="B107" s="387">
        <f>IF(YEAR(Table6[[#This Row],[Date]]) = 2024, WEEKNUM(Table6[[#This Row],[Date]])-13, WEEKNUM(Table6[[#This Row],[Date]])+40)</f>
        <v>16</v>
      </c>
      <c r="C107" s="30" t="s">
        <v>55</v>
      </c>
      <c r="D107" s="59" t="s">
        <v>48</v>
      </c>
      <c r="E107" s="28">
        <v>146</v>
      </c>
      <c r="F107" s="28">
        <v>132</v>
      </c>
      <c r="G107" s="60">
        <f>(E107-E100)/E100</f>
        <v>6.569343065693431E-2</v>
      </c>
      <c r="H107" s="60">
        <f>(F107-F100)/F100</f>
        <v>0.1092436974789916</v>
      </c>
      <c r="I107" s="28">
        <f>I105+E107</f>
        <v>1176</v>
      </c>
      <c r="J107" s="28">
        <f>J105+F107</f>
        <v>1008</v>
      </c>
      <c r="K107" s="28">
        <f>E107+K105</f>
        <v>8854</v>
      </c>
      <c r="L107" s="28">
        <f>F107+L105</f>
        <v>8055</v>
      </c>
      <c r="M107" s="64">
        <v>0.9</v>
      </c>
      <c r="N107" s="64">
        <v>0.1</v>
      </c>
      <c r="O107" s="64">
        <v>0.9</v>
      </c>
      <c r="P107" s="64">
        <v>0.51</v>
      </c>
      <c r="Q107" s="82"/>
      <c r="R107" s="279">
        <v>202</v>
      </c>
      <c r="S107" s="172">
        <v>1.9444444444444445E-2</v>
      </c>
      <c r="T107" s="174">
        <v>2</v>
      </c>
      <c r="U107" s="170" t="str">
        <f t="shared" si="60"/>
        <v>Normal</v>
      </c>
      <c r="V107" s="170" t="str">
        <f t="shared" si="61"/>
        <v>Normal</v>
      </c>
      <c r="W107" s="378">
        <f t="shared" si="62"/>
        <v>6.569343065693431E-2</v>
      </c>
      <c r="X107" s="378">
        <f t="shared" si="63"/>
        <v>0.1092436974789916</v>
      </c>
    </row>
    <row r="108" spans="1:24">
      <c r="A108" s="21">
        <v>45489</v>
      </c>
      <c r="B108" s="16">
        <f>IF(YEAR(Table6[[#This Row],[Date]]) = 2024, WEEKNUM(Table6[[#This Row],[Date]])-13, WEEKNUM(Table6[[#This Row],[Date]])+40)</f>
        <v>16</v>
      </c>
      <c r="C108" s="31" t="s">
        <v>49</v>
      </c>
      <c r="D108" s="59" t="s">
        <v>48</v>
      </c>
      <c r="E108" s="1">
        <v>160</v>
      </c>
      <c r="F108" s="1">
        <v>134</v>
      </c>
      <c r="G108" s="61">
        <f t="shared" ref="G108:G109" si="67">(E108-E101)/E101</f>
        <v>-0.12087912087912088</v>
      </c>
      <c r="H108" s="61">
        <f t="shared" ref="H108:H109" si="68">(F108-F101)/F101</f>
        <v>-0.11842105263157894</v>
      </c>
      <c r="I108" s="1">
        <f>I107+E108</f>
        <v>1336</v>
      </c>
      <c r="J108" s="1">
        <f>J107+F108</f>
        <v>1142</v>
      </c>
      <c r="K108" s="1">
        <f t="shared" si="47"/>
        <v>9014</v>
      </c>
      <c r="L108" s="1">
        <f t="shared" si="48"/>
        <v>8189</v>
      </c>
      <c r="M108" s="63">
        <v>0.83</v>
      </c>
      <c r="N108" s="63">
        <v>0.16</v>
      </c>
      <c r="O108" s="63">
        <v>0.84</v>
      </c>
      <c r="P108" s="63">
        <v>0.47</v>
      </c>
      <c r="Q108" s="83"/>
      <c r="R108" s="271">
        <v>181</v>
      </c>
      <c r="S108" s="140">
        <v>1.7361111111111112E-2</v>
      </c>
      <c r="T108" s="106">
        <v>2</v>
      </c>
      <c r="U108" s="106" t="str">
        <f t="shared" si="60"/>
        <v>Normal</v>
      </c>
      <c r="V108" s="106" t="str">
        <f t="shared" si="61"/>
        <v>Normal</v>
      </c>
      <c r="W108" s="18">
        <f t="shared" si="62"/>
        <v>-0.12087912087912088</v>
      </c>
      <c r="X108" s="18">
        <f t="shared" si="63"/>
        <v>-0.11842105263157894</v>
      </c>
    </row>
    <row r="109" spans="1:24">
      <c r="A109" s="201">
        <v>45490</v>
      </c>
      <c r="B109" s="387">
        <f>IF(YEAR(Table6[[#This Row],[Date]]) = 2024, WEEKNUM(Table6[[#This Row],[Date]])-13, WEEKNUM(Table6[[#This Row],[Date]])+40)</f>
        <v>16</v>
      </c>
      <c r="C109" s="30" t="s">
        <v>50</v>
      </c>
      <c r="D109" s="59" t="s">
        <v>48</v>
      </c>
      <c r="E109" s="28">
        <v>106</v>
      </c>
      <c r="F109" s="28">
        <v>99</v>
      </c>
      <c r="G109" s="60">
        <f t="shared" si="67"/>
        <v>7.0707070707070704E-2</v>
      </c>
      <c r="H109" s="60">
        <f t="shared" si="68"/>
        <v>0.125</v>
      </c>
      <c r="I109" s="28">
        <f>I108+E109</f>
        <v>1442</v>
      </c>
      <c r="J109" s="28">
        <f>J108+F109</f>
        <v>1241</v>
      </c>
      <c r="K109" s="28">
        <f t="shared" si="47"/>
        <v>9120</v>
      </c>
      <c r="L109" s="28">
        <f t="shared" si="48"/>
        <v>8288</v>
      </c>
      <c r="M109" s="64">
        <v>0.93</v>
      </c>
      <c r="N109" s="64">
        <v>7.0000000000000007E-2</v>
      </c>
      <c r="O109" s="64">
        <v>0.93</v>
      </c>
      <c r="P109" s="64">
        <v>0.42</v>
      </c>
      <c r="Q109" s="82"/>
      <c r="R109" s="279">
        <v>222</v>
      </c>
      <c r="S109" s="172">
        <v>2.9861111111111113E-2</v>
      </c>
      <c r="T109" s="174">
        <v>2</v>
      </c>
      <c r="U109" s="170" t="str">
        <f t="shared" si="60"/>
        <v>Normal</v>
      </c>
      <c r="V109" s="170" t="str">
        <f t="shared" si="61"/>
        <v>Normal</v>
      </c>
      <c r="W109" s="378">
        <f t="shared" si="62"/>
        <v>7.0707070707070704E-2</v>
      </c>
      <c r="X109" s="378">
        <f t="shared" si="63"/>
        <v>0.125</v>
      </c>
    </row>
    <row r="110" spans="1:24">
      <c r="A110" s="21">
        <v>45491</v>
      </c>
      <c r="B110" s="16">
        <f>IF(YEAR(Table6[[#This Row],[Date]]) = 2024, WEEKNUM(Table6[[#This Row],[Date]])-13, WEEKNUM(Table6[[#This Row],[Date]])+40)</f>
        <v>16</v>
      </c>
      <c r="C110" s="31" t="s">
        <v>51</v>
      </c>
      <c r="D110" s="59" t="s">
        <v>48</v>
      </c>
      <c r="E110" s="1">
        <v>89</v>
      </c>
      <c r="F110" s="1">
        <v>78</v>
      </c>
      <c r="G110" s="61">
        <v>0.82352941176470584</v>
      </c>
      <c r="H110" s="61">
        <v>0.8</v>
      </c>
      <c r="I110" s="1">
        <f t="shared" ref="I110:I112" si="69">I109+E110</f>
        <v>1531</v>
      </c>
      <c r="J110" s="1">
        <f>J109+F110</f>
        <v>1319</v>
      </c>
      <c r="K110" s="1">
        <f t="shared" si="47"/>
        <v>9209</v>
      </c>
      <c r="L110" s="1">
        <f t="shared" si="48"/>
        <v>8366</v>
      </c>
      <c r="M110" s="63">
        <v>0.88</v>
      </c>
      <c r="N110" s="63">
        <v>0.12</v>
      </c>
      <c r="O110" s="63">
        <v>0.88</v>
      </c>
      <c r="P110" s="63">
        <v>0.77</v>
      </c>
      <c r="Q110" s="83"/>
      <c r="R110" s="271">
        <v>257</v>
      </c>
      <c r="S110" s="140">
        <v>1.5972222222222224E-2</v>
      </c>
      <c r="T110" s="106">
        <v>1</v>
      </c>
      <c r="U110" s="106" t="str">
        <f t="shared" si="60"/>
        <v>Outlier</v>
      </c>
      <c r="V110" s="106" t="str">
        <f t="shared" si="61"/>
        <v>Outlier</v>
      </c>
      <c r="W110" s="18">
        <f t="shared" si="62"/>
        <v>0.82352941176470584</v>
      </c>
      <c r="X110" s="18">
        <f t="shared" si="63"/>
        <v>0.8</v>
      </c>
    </row>
    <row r="111" spans="1:24">
      <c r="A111" s="201">
        <v>45492</v>
      </c>
      <c r="B111" s="387">
        <f>IF(YEAR(Table6[[#This Row],[Date]]) = 2024, WEEKNUM(Table6[[#This Row],[Date]])-13, WEEKNUM(Table6[[#This Row],[Date]])+40)</f>
        <v>16</v>
      </c>
      <c r="C111" s="30" t="s">
        <v>52</v>
      </c>
      <c r="D111" s="59" t="s">
        <v>48</v>
      </c>
      <c r="E111" s="28">
        <v>92</v>
      </c>
      <c r="F111" s="28">
        <v>87</v>
      </c>
      <c r="G111" s="60">
        <v>-0.47560975609756095</v>
      </c>
      <c r="H111" s="60">
        <v>-0.41025641025641024</v>
      </c>
      <c r="I111" s="28">
        <f t="shared" si="69"/>
        <v>1623</v>
      </c>
      <c r="J111" s="28">
        <f>J110+F111</f>
        <v>1406</v>
      </c>
      <c r="K111" s="28">
        <f t="shared" si="47"/>
        <v>9301</v>
      </c>
      <c r="L111" s="28">
        <f t="shared" si="48"/>
        <v>8453</v>
      </c>
      <c r="M111" s="64">
        <v>0.95</v>
      </c>
      <c r="N111" s="64">
        <v>0.05</v>
      </c>
      <c r="O111" s="64">
        <v>0.95</v>
      </c>
      <c r="P111" s="64">
        <v>0.98</v>
      </c>
      <c r="Q111" s="82"/>
      <c r="R111" s="279">
        <v>293</v>
      </c>
      <c r="S111" s="172">
        <v>2.5694444444444447E-2</v>
      </c>
      <c r="T111" s="174">
        <v>1</v>
      </c>
      <c r="U111" s="170" t="str">
        <f t="shared" si="60"/>
        <v>Normal</v>
      </c>
      <c r="V111" s="170" t="str">
        <f t="shared" si="61"/>
        <v>Normal</v>
      </c>
      <c r="W111" s="378">
        <f t="shared" si="62"/>
        <v>-0.47560975609756095</v>
      </c>
      <c r="X111" s="378">
        <f t="shared" si="63"/>
        <v>-0.41025641025641024</v>
      </c>
    </row>
    <row r="112" spans="1:24">
      <c r="A112" s="21">
        <v>45493</v>
      </c>
      <c r="B112" s="16">
        <f>IF(YEAR(Table6[[#This Row],[Date]]) = 2024, WEEKNUM(Table6[[#This Row],[Date]])-13, WEEKNUM(Table6[[#This Row],[Date]])+40)</f>
        <v>16</v>
      </c>
      <c r="C112" s="31" t="s">
        <v>53</v>
      </c>
      <c r="D112" s="59" t="s">
        <v>48</v>
      </c>
      <c r="E112" s="1">
        <v>77</v>
      </c>
      <c r="F112" s="1">
        <v>68</v>
      </c>
      <c r="G112" s="61">
        <v>-0.30882352941176472</v>
      </c>
      <c r="H112" s="61">
        <v>-0.27559055118110237</v>
      </c>
      <c r="I112" s="1">
        <f t="shared" si="69"/>
        <v>1700</v>
      </c>
      <c r="J112" s="1">
        <f>J111+F112</f>
        <v>1474</v>
      </c>
      <c r="K112" s="1">
        <f t="shared" si="47"/>
        <v>9378</v>
      </c>
      <c r="L112" s="1">
        <f t="shared" si="48"/>
        <v>8521</v>
      </c>
      <c r="M112" s="63">
        <v>0.88</v>
      </c>
      <c r="N112" s="63">
        <v>0.12</v>
      </c>
      <c r="O112" s="63">
        <v>0.88</v>
      </c>
      <c r="P112" s="63">
        <v>0.44</v>
      </c>
      <c r="Q112" s="83"/>
      <c r="R112" s="271">
        <v>168</v>
      </c>
      <c r="S112" s="140">
        <v>1.4583333333333332E-2</v>
      </c>
      <c r="T112" s="106">
        <v>1</v>
      </c>
      <c r="U112" s="106" t="str">
        <f t="shared" si="60"/>
        <v>Normal</v>
      </c>
      <c r="V112" s="106" t="str">
        <f t="shared" si="61"/>
        <v>Normal</v>
      </c>
      <c r="W112" s="18">
        <f t="shared" si="62"/>
        <v>-0.30882352941176472</v>
      </c>
      <c r="X112" s="18">
        <f t="shared" si="63"/>
        <v>-0.27559055118110237</v>
      </c>
    </row>
    <row r="113" spans="1:24">
      <c r="A113" s="201">
        <v>45494</v>
      </c>
      <c r="B113" s="387">
        <f>IF(YEAR(Table6[[#This Row],[Date]]) = 2024, WEEKNUM(Table6[[#This Row],[Date]])-13, WEEKNUM(Table6[[#This Row],[Date]])+40)</f>
        <v>17</v>
      </c>
      <c r="C113" s="30" t="s">
        <v>54</v>
      </c>
      <c r="D113" s="59" t="s">
        <v>48</v>
      </c>
      <c r="E113" s="28">
        <v>0</v>
      </c>
      <c r="F113" s="28">
        <v>0</v>
      </c>
      <c r="G113" s="60">
        <v>0</v>
      </c>
      <c r="H113" s="60">
        <v>0</v>
      </c>
      <c r="I113" s="28">
        <v>0</v>
      </c>
      <c r="J113" s="28">
        <v>0</v>
      </c>
      <c r="K113" s="28">
        <v>0</v>
      </c>
      <c r="L113" s="28">
        <v>0</v>
      </c>
      <c r="M113" s="64">
        <v>0</v>
      </c>
      <c r="N113" s="64">
        <v>0</v>
      </c>
      <c r="O113" s="64">
        <v>0</v>
      </c>
      <c r="P113" s="64">
        <v>0</v>
      </c>
      <c r="Q113" s="82"/>
      <c r="R113" s="279">
        <v>0</v>
      </c>
      <c r="S113" s="172">
        <v>0</v>
      </c>
      <c r="T113" s="174">
        <v>0</v>
      </c>
      <c r="U113" s="170" t="str">
        <f t="shared" si="60"/>
        <v>Normal</v>
      </c>
      <c r="V113" s="170" t="str">
        <f t="shared" si="61"/>
        <v>Normal</v>
      </c>
      <c r="W113" s="378">
        <f t="shared" si="62"/>
        <v>0</v>
      </c>
      <c r="X113" s="378">
        <f t="shared" si="63"/>
        <v>0</v>
      </c>
    </row>
    <row r="114" spans="1:24">
      <c r="A114" s="21">
        <v>45495</v>
      </c>
      <c r="B114" s="16">
        <f>IF(YEAR(Table6[[#This Row],[Date]]) = 2024, WEEKNUM(Table6[[#This Row],[Date]])-13, WEEKNUM(Table6[[#This Row],[Date]])+40)</f>
        <v>17</v>
      </c>
      <c r="C114" s="31" t="s">
        <v>55</v>
      </c>
      <c r="D114" s="59" t="s">
        <v>48</v>
      </c>
      <c r="E114" s="1">
        <v>128</v>
      </c>
      <c r="F114" s="1">
        <v>118</v>
      </c>
      <c r="G114" s="61">
        <f>(E114-E107)/E107</f>
        <v>-0.12328767123287671</v>
      </c>
      <c r="H114" s="61">
        <f>(F114-F107)/F107</f>
        <v>-0.10606060606060606</v>
      </c>
      <c r="I114" s="1">
        <f>I112+E114</f>
        <v>1828</v>
      </c>
      <c r="J114" s="1">
        <f>J112+F114</f>
        <v>1592</v>
      </c>
      <c r="K114" s="1">
        <f>E114+K112</f>
        <v>9506</v>
      </c>
      <c r="L114" s="1">
        <f>F114+L112</f>
        <v>8639</v>
      </c>
      <c r="M114" s="63">
        <v>0.91</v>
      </c>
      <c r="N114" s="63">
        <v>0.08</v>
      </c>
      <c r="O114" s="63">
        <v>0.92</v>
      </c>
      <c r="P114" s="63">
        <v>0.45</v>
      </c>
      <c r="Q114" s="83"/>
      <c r="R114" s="271">
        <v>99</v>
      </c>
      <c r="S114" s="140">
        <v>1.1805555555555555E-2</v>
      </c>
      <c r="T114" s="106">
        <v>1</v>
      </c>
      <c r="U114" s="106" t="str">
        <f t="shared" si="60"/>
        <v>Normal</v>
      </c>
      <c r="V114" s="106" t="str">
        <f t="shared" si="61"/>
        <v>Normal</v>
      </c>
      <c r="W114" s="18">
        <f t="shared" si="62"/>
        <v>-0.12328767123287671</v>
      </c>
      <c r="X114" s="18">
        <f t="shared" si="63"/>
        <v>-0.10606060606060606</v>
      </c>
    </row>
    <row r="115" spans="1:24">
      <c r="A115" s="201">
        <v>45496</v>
      </c>
      <c r="B115" s="387">
        <f>IF(YEAR(Table6[[#This Row],[Date]]) = 2024, WEEKNUM(Table6[[#This Row],[Date]])-13, WEEKNUM(Table6[[#This Row],[Date]])+40)</f>
        <v>17</v>
      </c>
      <c r="C115" s="30" t="s">
        <v>49</v>
      </c>
      <c r="D115" s="59" t="s">
        <v>48</v>
      </c>
      <c r="E115" s="28">
        <v>127</v>
      </c>
      <c r="F115" s="28">
        <v>115</v>
      </c>
      <c r="G115" s="60">
        <f t="shared" ref="G115:G116" si="70">(E115-E108)/E108</f>
        <v>-0.20624999999999999</v>
      </c>
      <c r="H115" s="60">
        <f t="shared" ref="H115:H116" si="71">(F115-F108)/F108</f>
        <v>-0.1417910447761194</v>
      </c>
      <c r="I115" s="28">
        <f>I114+E115</f>
        <v>1955</v>
      </c>
      <c r="J115" s="28">
        <f>J114+F115</f>
        <v>1707</v>
      </c>
      <c r="K115" s="28">
        <f t="shared" si="47"/>
        <v>9633</v>
      </c>
      <c r="L115" s="28">
        <f t="shared" si="48"/>
        <v>8754</v>
      </c>
      <c r="M115" s="64">
        <v>0.93</v>
      </c>
      <c r="N115" s="64">
        <v>0.09</v>
      </c>
      <c r="O115" s="64">
        <v>0.91</v>
      </c>
      <c r="P115" s="64">
        <v>0.46</v>
      </c>
      <c r="Q115" s="82"/>
      <c r="R115" s="279">
        <v>103</v>
      </c>
      <c r="S115" s="172">
        <v>1.3194444444444444E-2</v>
      </c>
      <c r="T115" s="174">
        <v>1</v>
      </c>
      <c r="U115" s="170" t="str">
        <f t="shared" si="60"/>
        <v>Normal</v>
      </c>
      <c r="V115" s="170" t="str">
        <f t="shared" si="61"/>
        <v>Normal</v>
      </c>
      <c r="W115" s="378">
        <f t="shared" si="62"/>
        <v>-0.20624999999999999</v>
      </c>
      <c r="X115" s="378">
        <f t="shared" si="63"/>
        <v>-0.1417910447761194</v>
      </c>
    </row>
    <row r="116" spans="1:24">
      <c r="A116" s="21">
        <v>45497</v>
      </c>
      <c r="B116" s="16">
        <f>IF(YEAR(Table6[[#This Row],[Date]]) = 2024, WEEKNUM(Table6[[#This Row],[Date]])-13, WEEKNUM(Table6[[#This Row],[Date]])+40)</f>
        <v>17</v>
      </c>
      <c r="C116" s="31" t="s">
        <v>50</v>
      </c>
      <c r="D116" s="59" t="s">
        <v>48</v>
      </c>
      <c r="E116" s="1">
        <v>107</v>
      </c>
      <c r="F116" s="1">
        <v>99</v>
      </c>
      <c r="G116" s="61">
        <f t="shared" si="70"/>
        <v>9.433962264150943E-3</v>
      </c>
      <c r="H116" s="61">
        <f t="shared" si="71"/>
        <v>0</v>
      </c>
      <c r="I116" s="1">
        <f>I115+E116</f>
        <v>2062</v>
      </c>
      <c r="J116" s="1">
        <f>J115+F116</f>
        <v>1806</v>
      </c>
      <c r="K116" s="1">
        <f t="shared" si="47"/>
        <v>9740</v>
      </c>
      <c r="L116" s="1">
        <f t="shared" si="48"/>
        <v>8853</v>
      </c>
      <c r="M116" s="63">
        <v>0.88</v>
      </c>
      <c r="N116" s="63">
        <v>7.0000000000000007E-2</v>
      </c>
      <c r="O116" s="63">
        <v>0.93</v>
      </c>
      <c r="P116" s="63">
        <v>0.47</v>
      </c>
      <c r="Q116" s="83"/>
      <c r="R116" s="271">
        <v>122</v>
      </c>
      <c r="S116" s="140">
        <v>2.1527777777777781E-2</v>
      </c>
      <c r="T116" s="106">
        <v>1</v>
      </c>
      <c r="U116" s="106" t="str">
        <f t="shared" si="60"/>
        <v>Normal</v>
      </c>
      <c r="V116" s="106" t="str">
        <f t="shared" si="61"/>
        <v>Normal</v>
      </c>
      <c r="W116" s="18">
        <f t="shared" si="62"/>
        <v>9.433962264150943E-3</v>
      </c>
      <c r="X116" s="18">
        <f t="shared" si="63"/>
        <v>0</v>
      </c>
    </row>
    <row r="117" spans="1:24">
      <c r="A117" s="201">
        <v>45498</v>
      </c>
      <c r="B117" s="387">
        <f>IF(YEAR(Table6[[#This Row],[Date]]) = 2024, WEEKNUM(Table6[[#This Row],[Date]])-13, WEEKNUM(Table6[[#This Row],[Date]])+40)</f>
        <v>17</v>
      </c>
      <c r="C117" s="30" t="s">
        <v>51</v>
      </c>
      <c r="D117" s="59" t="s">
        <v>48</v>
      </c>
      <c r="E117" s="28">
        <v>119</v>
      </c>
      <c r="F117" s="28">
        <v>105</v>
      </c>
      <c r="G117" s="60">
        <v>0.82352941176470584</v>
      </c>
      <c r="H117" s="60">
        <v>0.8</v>
      </c>
      <c r="I117" s="28">
        <f t="shared" ref="I117:I119" si="72">I116+E117</f>
        <v>2181</v>
      </c>
      <c r="J117" s="28">
        <f>J116+F117</f>
        <v>1911</v>
      </c>
      <c r="K117" s="28">
        <f t="shared" si="47"/>
        <v>9859</v>
      </c>
      <c r="L117" s="28">
        <f t="shared" si="48"/>
        <v>8958</v>
      </c>
      <c r="M117" s="64">
        <v>0.92</v>
      </c>
      <c r="N117" s="64">
        <v>0.12</v>
      </c>
      <c r="O117" s="64">
        <v>0.88</v>
      </c>
      <c r="P117" s="64">
        <v>0.41</v>
      </c>
      <c r="Q117" s="82"/>
      <c r="R117" s="279">
        <v>102</v>
      </c>
      <c r="S117" s="172">
        <v>2.013888888888889E-2</v>
      </c>
      <c r="T117" s="174">
        <v>1</v>
      </c>
      <c r="U117" s="170" t="str">
        <f t="shared" si="60"/>
        <v>Outlier</v>
      </c>
      <c r="V117" s="170" t="str">
        <f t="shared" si="61"/>
        <v>Outlier</v>
      </c>
      <c r="W117" s="378">
        <f t="shared" si="62"/>
        <v>0.82352941176470584</v>
      </c>
      <c r="X117" s="378">
        <f t="shared" si="63"/>
        <v>0.8</v>
      </c>
    </row>
    <row r="118" spans="1:24">
      <c r="A118" s="21">
        <v>45499</v>
      </c>
      <c r="B118" s="16">
        <f>IF(YEAR(Table6[[#This Row],[Date]]) = 2024, WEEKNUM(Table6[[#This Row],[Date]])-13, WEEKNUM(Table6[[#This Row],[Date]])+40)</f>
        <v>17</v>
      </c>
      <c r="C118" s="31" t="s">
        <v>52</v>
      </c>
      <c r="D118" s="59" t="s">
        <v>48</v>
      </c>
      <c r="E118" s="1">
        <v>113</v>
      </c>
      <c r="F118" s="1">
        <v>104</v>
      </c>
      <c r="G118" s="61">
        <v>-0.47560975609756095</v>
      </c>
      <c r="H118" s="61">
        <v>-0.41025641025641024</v>
      </c>
      <c r="I118" s="1">
        <f t="shared" si="72"/>
        <v>2294</v>
      </c>
      <c r="J118" s="1">
        <f>J117+F118</f>
        <v>2015</v>
      </c>
      <c r="K118" s="1">
        <f t="shared" si="47"/>
        <v>9972</v>
      </c>
      <c r="L118" s="1">
        <f t="shared" si="48"/>
        <v>9062</v>
      </c>
      <c r="M118" s="63">
        <v>0.92</v>
      </c>
      <c r="N118" s="63">
        <v>0.08</v>
      </c>
      <c r="O118" s="63">
        <v>0.92</v>
      </c>
      <c r="P118" s="63">
        <v>0.33</v>
      </c>
      <c r="Q118" s="83"/>
      <c r="R118" s="271">
        <v>163</v>
      </c>
      <c r="S118" s="140">
        <v>1.4583333333333332E-2</v>
      </c>
      <c r="T118" s="106">
        <v>2</v>
      </c>
      <c r="U118" s="106" t="str">
        <f t="shared" si="60"/>
        <v>Normal</v>
      </c>
      <c r="V118" s="106" t="str">
        <f t="shared" si="61"/>
        <v>Normal</v>
      </c>
      <c r="W118" s="18">
        <f t="shared" si="62"/>
        <v>-0.47560975609756095</v>
      </c>
      <c r="X118" s="18">
        <f t="shared" si="63"/>
        <v>-0.41025641025641024</v>
      </c>
    </row>
    <row r="119" spans="1:24">
      <c r="A119" s="201">
        <v>45500</v>
      </c>
      <c r="B119" s="387">
        <f>IF(YEAR(Table6[[#This Row],[Date]]) = 2024, WEEKNUM(Table6[[#This Row],[Date]])-13, WEEKNUM(Table6[[#This Row],[Date]])+40)</f>
        <v>17</v>
      </c>
      <c r="C119" s="30" t="s">
        <v>53</v>
      </c>
      <c r="D119" s="59" t="s">
        <v>48</v>
      </c>
      <c r="E119" s="28">
        <v>93</v>
      </c>
      <c r="F119" s="28">
        <v>86</v>
      </c>
      <c r="G119" s="60">
        <v>-0.30882352941176472</v>
      </c>
      <c r="H119" s="60">
        <v>-0.27559055118110237</v>
      </c>
      <c r="I119" s="28">
        <f t="shared" si="72"/>
        <v>2387</v>
      </c>
      <c r="J119" s="28">
        <f>J118+F119</f>
        <v>2101</v>
      </c>
      <c r="K119" s="28">
        <f t="shared" si="47"/>
        <v>10065</v>
      </c>
      <c r="L119" s="28">
        <f t="shared" si="48"/>
        <v>9148</v>
      </c>
      <c r="M119" s="64">
        <v>0.92</v>
      </c>
      <c r="N119" s="64">
        <v>0.08</v>
      </c>
      <c r="O119" s="64">
        <v>0.92</v>
      </c>
      <c r="P119" s="64">
        <v>0.45</v>
      </c>
      <c r="Q119" s="82"/>
      <c r="R119" s="279">
        <v>135</v>
      </c>
      <c r="S119" s="172">
        <v>1.5972222222222224E-2</v>
      </c>
      <c r="T119" s="174">
        <v>1</v>
      </c>
      <c r="U119" s="170" t="str">
        <f t="shared" si="60"/>
        <v>Normal</v>
      </c>
      <c r="V119" s="170" t="str">
        <f t="shared" si="61"/>
        <v>Normal</v>
      </c>
      <c r="W119" s="378">
        <f t="shared" si="62"/>
        <v>-0.30882352941176472</v>
      </c>
      <c r="X119" s="378">
        <f t="shared" si="63"/>
        <v>-0.27559055118110237</v>
      </c>
    </row>
    <row r="120" spans="1:24">
      <c r="A120" s="21">
        <v>45501</v>
      </c>
      <c r="B120" s="16">
        <f>IF(YEAR(Table6[[#This Row],[Date]]) = 2024, WEEKNUM(Table6[[#This Row],[Date]])-13, WEEKNUM(Table6[[#This Row],[Date]])+40)</f>
        <v>18</v>
      </c>
      <c r="C120" s="31" t="s">
        <v>54</v>
      </c>
      <c r="D120" s="59" t="s">
        <v>48</v>
      </c>
      <c r="E120" s="1">
        <v>0</v>
      </c>
      <c r="F120" s="1">
        <v>0</v>
      </c>
      <c r="G120" s="61">
        <v>0</v>
      </c>
      <c r="H120" s="61">
        <v>0</v>
      </c>
      <c r="I120" s="1">
        <v>0</v>
      </c>
      <c r="J120" s="1">
        <v>0</v>
      </c>
      <c r="K120" s="1">
        <v>0</v>
      </c>
      <c r="L120" s="1">
        <v>0</v>
      </c>
      <c r="M120" s="63">
        <v>0</v>
      </c>
      <c r="N120" s="63">
        <v>0</v>
      </c>
      <c r="O120" s="63">
        <v>0</v>
      </c>
      <c r="P120" s="63">
        <v>0</v>
      </c>
      <c r="Q120" s="83"/>
      <c r="R120" s="271">
        <v>0</v>
      </c>
      <c r="S120" s="140">
        <v>0</v>
      </c>
      <c r="T120" s="106">
        <v>0</v>
      </c>
      <c r="U120" s="106" t="str">
        <f t="shared" si="60"/>
        <v>Normal</v>
      </c>
      <c r="V120" s="106" t="str">
        <f t="shared" si="61"/>
        <v>Normal</v>
      </c>
      <c r="W120" s="18">
        <f t="shared" si="62"/>
        <v>0</v>
      </c>
      <c r="X120" s="18">
        <f t="shared" si="63"/>
        <v>0</v>
      </c>
    </row>
    <row r="121" spans="1:24">
      <c r="A121" s="201">
        <v>45502</v>
      </c>
      <c r="B121" s="387">
        <f>IF(YEAR(Table6[[#This Row],[Date]]) = 2024, WEEKNUM(Table6[[#This Row],[Date]])-13, WEEKNUM(Table6[[#This Row],[Date]])+40)</f>
        <v>18</v>
      </c>
      <c r="C121" s="30" t="s">
        <v>55</v>
      </c>
      <c r="D121" s="59" t="s">
        <v>48</v>
      </c>
      <c r="E121" s="28">
        <v>111</v>
      </c>
      <c r="F121" s="28">
        <v>106</v>
      </c>
      <c r="G121" s="60">
        <f>(E121-E114)/E114</f>
        <v>-0.1328125</v>
      </c>
      <c r="H121" s="60">
        <f>(F121-F114)/F114</f>
        <v>-0.10169491525423729</v>
      </c>
      <c r="I121" s="28">
        <f>I119+E121</f>
        <v>2498</v>
      </c>
      <c r="J121" s="28">
        <f>J119+F121</f>
        <v>2207</v>
      </c>
      <c r="K121" s="28">
        <f>E121+K119</f>
        <v>10176</v>
      </c>
      <c r="L121" s="28">
        <f>F121+L119</f>
        <v>9254</v>
      </c>
      <c r="M121" s="64">
        <v>0.96</v>
      </c>
      <c r="N121" s="64">
        <v>0.05</v>
      </c>
      <c r="O121" s="64">
        <v>0.95</v>
      </c>
      <c r="P121" s="64">
        <v>0.3</v>
      </c>
      <c r="Q121" s="82"/>
      <c r="R121" s="279">
        <v>148</v>
      </c>
      <c r="S121" s="172">
        <v>2.0833333333333332E-2</v>
      </c>
      <c r="T121" s="174">
        <v>2</v>
      </c>
      <c r="U121" s="170" t="str">
        <f t="shared" si="60"/>
        <v>Normal</v>
      </c>
      <c r="V121" s="170" t="str">
        <f t="shared" si="61"/>
        <v>Normal</v>
      </c>
      <c r="W121" s="378">
        <f t="shared" si="62"/>
        <v>-0.1328125</v>
      </c>
      <c r="X121" s="378">
        <f t="shared" si="63"/>
        <v>-0.10169491525423729</v>
      </c>
    </row>
    <row r="122" spans="1:24">
      <c r="A122" s="21">
        <v>45503</v>
      </c>
      <c r="B122" s="16">
        <f>IF(YEAR(Table6[[#This Row],[Date]]) = 2024, WEEKNUM(Table6[[#This Row],[Date]])-13, WEEKNUM(Table6[[#This Row],[Date]])+40)</f>
        <v>18</v>
      </c>
      <c r="C122" s="31" t="s">
        <v>49</v>
      </c>
      <c r="D122" s="59" t="s">
        <v>48</v>
      </c>
      <c r="E122" s="1">
        <v>97</v>
      </c>
      <c r="F122" s="1">
        <v>91</v>
      </c>
      <c r="G122" s="61">
        <f t="shared" ref="G122:G123" si="73">(E122-E115)/E115</f>
        <v>-0.23622047244094488</v>
      </c>
      <c r="H122" s="61">
        <f t="shared" ref="H122:H123" si="74">(F122-F115)/F115</f>
        <v>-0.20869565217391303</v>
      </c>
      <c r="I122" s="1">
        <f>I121+E122</f>
        <v>2595</v>
      </c>
      <c r="J122" s="1">
        <f>J121+F122</f>
        <v>2298</v>
      </c>
      <c r="K122" s="1">
        <f t="shared" si="47"/>
        <v>10273</v>
      </c>
      <c r="L122" s="1">
        <f t="shared" si="48"/>
        <v>9345</v>
      </c>
      <c r="M122" s="63">
        <v>0.94</v>
      </c>
      <c r="N122" s="63">
        <v>0.06</v>
      </c>
      <c r="O122" s="63">
        <v>0.94</v>
      </c>
      <c r="P122" s="63">
        <v>0.47</v>
      </c>
      <c r="Q122" s="83"/>
      <c r="R122" s="271">
        <v>134</v>
      </c>
      <c r="S122" s="140">
        <v>1.8749999999999999E-2</v>
      </c>
      <c r="T122" s="106">
        <v>1</v>
      </c>
      <c r="U122" s="106" t="str">
        <f t="shared" si="60"/>
        <v>Normal</v>
      </c>
      <c r="V122" s="106" t="str">
        <f t="shared" si="61"/>
        <v>Normal</v>
      </c>
      <c r="W122" s="18">
        <f t="shared" si="62"/>
        <v>-0.23622047244094488</v>
      </c>
      <c r="X122" s="18">
        <f t="shared" si="63"/>
        <v>-0.20869565217391303</v>
      </c>
    </row>
    <row r="123" spans="1:24">
      <c r="A123" s="201">
        <v>45504</v>
      </c>
      <c r="B123" s="387">
        <f>IF(YEAR(Table6[[#This Row],[Date]]) = 2024, WEEKNUM(Table6[[#This Row],[Date]])-13, WEEKNUM(Table6[[#This Row],[Date]])+40)</f>
        <v>18</v>
      </c>
      <c r="C123" s="30" t="s">
        <v>50</v>
      </c>
      <c r="D123" s="59" t="s">
        <v>48</v>
      </c>
      <c r="E123" s="28">
        <v>103</v>
      </c>
      <c r="F123" s="28">
        <v>97</v>
      </c>
      <c r="G123" s="60">
        <f t="shared" si="73"/>
        <v>-3.7383177570093455E-2</v>
      </c>
      <c r="H123" s="60">
        <f t="shared" si="74"/>
        <v>-2.0202020202020204E-2</v>
      </c>
      <c r="I123" s="28">
        <f>I122+E123</f>
        <v>2698</v>
      </c>
      <c r="J123" s="28">
        <f>J122+F123</f>
        <v>2395</v>
      </c>
      <c r="K123" s="28">
        <f t="shared" si="47"/>
        <v>10376</v>
      </c>
      <c r="L123" s="28">
        <f t="shared" si="48"/>
        <v>9442</v>
      </c>
      <c r="M123" s="64">
        <v>0.94</v>
      </c>
      <c r="N123" s="64">
        <v>0.06</v>
      </c>
      <c r="O123" s="64">
        <v>0.94</v>
      </c>
      <c r="P123" s="64">
        <v>0.33</v>
      </c>
      <c r="Q123" s="82"/>
      <c r="R123" s="279">
        <v>87</v>
      </c>
      <c r="S123" s="172">
        <v>1.5972222222222224E-2</v>
      </c>
      <c r="T123" s="174">
        <v>1</v>
      </c>
      <c r="U123" s="170" t="str">
        <f t="shared" si="60"/>
        <v>Normal</v>
      </c>
      <c r="V123" s="170" t="str">
        <f t="shared" si="61"/>
        <v>Normal</v>
      </c>
      <c r="W123" s="378">
        <f t="shared" si="62"/>
        <v>-3.7383177570093455E-2</v>
      </c>
      <c r="X123" s="378">
        <f t="shared" si="63"/>
        <v>-2.0202020202020204E-2</v>
      </c>
    </row>
    <row r="124" spans="1:24">
      <c r="A124" s="21">
        <v>45505</v>
      </c>
      <c r="B124" s="188">
        <f>IF(YEAR(Table6[[#This Row],[Date]]) = 2024, WEEKNUM(Table6[[#This Row],[Date]])-13, WEEKNUM(Table6[[#This Row],[Date]])+40)</f>
        <v>18</v>
      </c>
      <c r="C124" s="31" t="s">
        <v>51</v>
      </c>
      <c r="D124" s="59" t="s">
        <v>48</v>
      </c>
      <c r="E124" s="1">
        <v>0</v>
      </c>
      <c r="F124" s="1">
        <v>0</v>
      </c>
      <c r="G124" s="61">
        <v>0</v>
      </c>
      <c r="H124" s="61">
        <v>0</v>
      </c>
      <c r="I124" s="1">
        <v>0</v>
      </c>
      <c r="J124" s="1">
        <v>0</v>
      </c>
      <c r="K124" s="1">
        <v>0</v>
      </c>
      <c r="L124" s="1">
        <v>0</v>
      </c>
      <c r="M124" s="63">
        <v>0</v>
      </c>
      <c r="N124" s="63">
        <v>0</v>
      </c>
      <c r="O124" s="63">
        <v>0</v>
      </c>
      <c r="P124" s="63">
        <v>0</v>
      </c>
      <c r="Q124" s="83"/>
      <c r="R124" s="271">
        <v>0</v>
      </c>
      <c r="S124" s="140">
        <v>0</v>
      </c>
      <c r="T124" s="106">
        <v>0</v>
      </c>
      <c r="U124" s="106" t="str">
        <f t="shared" si="60"/>
        <v>Normal</v>
      </c>
      <c r="V124" s="106" t="str">
        <f t="shared" si="61"/>
        <v>Normal</v>
      </c>
      <c r="W124" s="18">
        <f t="shared" si="62"/>
        <v>0</v>
      </c>
      <c r="X124" s="18">
        <f t="shared" si="63"/>
        <v>0</v>
      </c>
    </row>
    <row r="125" spans="1:24">
      <c r="A125" s="201">
        <v>45506</v>
      </c>
      <c r="B125" s="387">
        <f>IF(YEAR(Table6[[#This Row],[Date]]) = 2024, WEEKNUM(Table6[[#This Row],[Date]])-13, WEEKNUM(Table6[[#This Row],[Date]])+40)</f>
        <v>18</v>
      </c>
      <c r="C125" s="30" t="s">
        <v>52</v>
      </c>
      <c r="D125" s="59" t="s">
        <v>48</v>
      </c>
      <c r="E125" s="28">
        <v>116</v>
      </c>
      <c r="F125" s="28">
        <v>105</v>
      </c>
      <c r="G125" s="60">
        <v>-0.47560975609756095</v>
      </c>
      <c r="H125" s="60">
        <v>-0.41025641025641024</v>
      </c>
      <c r="I125" s="28">
        <f t="shared" ref="I125:I126" si="75">I124+E125</f>
        <v>116</v>
      </c>
      <c r="J125" s="28">
        <f>J124+F125</f>
        <v>105</v>
      </c>
      <c r="K125" s="28">
        <f>E125+K123</f>
        <v>10492</v>
      </c>
      <c r="L125" s="28">
        <f>F125+L123</f>
        <v>9547</v>
      </c>
      <c r="M125" s="64">
        <v>0.91</v>
      </c>
      <c r="N125" s="64">
        <v>0.09</v>
      </c>
      <c r="O125" s="64">
        <v>0.91</v>
      </c>
      <c r="P125" s="64">
        <v>0.38</v>
      </c>
      <c r="Q125" s="82"/>
      <c r="R125" s="279">
        <v>189</v>
      </c>
      <c r="S125" s="172">
        <v>3.4027777777777775E-2</v>
      </c>
      <c r="T125" s="174">
        <v>2</v>
      </c>
      <c r="U125" s="170" t="str">
        <f t="shared" si="60"/>
        <v>Normal</v>
      </c>
      <c r="V125" s="170" t="str">
        <f t="shared" si="61"/>
        <v>Normal</v>
      </c>
      <c r="W125" s="378">
        <f t="shared" si="62"/>
        <v>-0.47560975609756095</v>
      </c>
      <c r="X125" s="378">
        <f t="shared" si="63"/>
        <v>-0.41025641025641024</v>
      </c>
    </row>
    <row r="126" spans="1:24">
      <c r="A126" s="202">
        <v>45507</v>
      </c>
      <c r="B126" s="188">
        <f>IF(YEAR(Table6[[#This Row],[Date]]) = 2024, WEEKNUM(Table6[[#This Row],[Date]])-13, WEEKNUM(Table6[[#This Row],[Date]])+40)</f>
        <v>18</v>
      </c>
      <c r="C126" s="31" t="s">
        <v>53</v>
      </c>
      <c r="D126" s="59" t="s">
        <v>48</v>
      </c>
      <c r="E126" s="1">
        <v>85</v>
      </c>
      <c r="F126" s="1">
        <v>65</v>
      </c>
      <c r="G126" s="61">
        <v>-0.30882352941176472</v>
      </c>
      <c r="H126" s="61">
        <v>-0.27559055118110237</v>
      </c>
      <c r="I126" s="1">
        <f t="shared" si="75"/>
        <v>201</v>
      </c>
      <c r="J126" s="1">
        <f>J125+F126</f>
        <v>170</v>
      </c>
      <c r="K126" s="1">
        <f t="shared" si="47"/>
        <v>10577</v>
      </c>
      <c r="L126" s="1">
        <f t="shared" si="48"/>
        <v>9612</v>
      </c>
      <c r="M126" s="63">
        <v>0.76</v>
      </c>
      <c r="N126" s="63">
        <v>0.24</v>
      </c>
      <c r="O126" s="63">
        <v>0.76</v>
      </c>
      <c r="P126" s="63">
        <v>0.38</v>
      </c>
      <c r="Q126" s="83"/>
      <c r="R126" s="271">
        <v>151</v>
      </c>
      <c r="S126" s="140">
        <v>1.2499999999999999E-2</v>
      </c>
      <c r="T126" s="106">
        <v>1</v>
      </c>
      <c r="U126" s="106" t="str">
        <f t="shared" si="60"/>
        <v>Normal</v>
      </c>
      <c r="V126" s="106" t="str">
        <f t="shared" si="61"/>
        <v>Normal</v>
      </c>
      <c r="W126" s="18">
        <f t="shared" si="62"/>
        <v>-0.30882352941176472</v>
      </c>
      <c r="X126" s="18">
        <f t="shared" si="63"/>
        <v>-0.27559055118110237</v>
      </c>
    </row>
    <row r="127" spans="1:24">
      <c r="A127" s="201">
        <v>45508</v>
      </c>
      <c r="B127" s="387">
        <f>IF(YEAR(Table6[[#This Row],[Date]]) = 2024, WEEKNUM(Table6[[#This Row],[Date]])-13, WEEKNUM(Table6[[#This Row],[Date]])+40)</f>
        <v>19</v>
      </c>
      <c r="C127" s="30" t="s">
        <v>54</v>
      </c>
      <c r="D127" s="59" t="s">
        <v>48</v>
      </c>
      <c r="E127" s="28">
        <v>0</v>
      </c>
      <c r="F127" s="28">
        <v>0</v>
      </c>
      <c r="G127" s="60">
        <v>0</v>
      </c>
      <c r="H127" s="60">
        <v>0</v>
      </c>
      <c r="I127" s="28">
        <v>0</v>
      </c>
      <c r="J127" s="28">
        <v>0</v>
      </c>
      <c r="K127" s="28">
        <v>0</v>
      </c>
      <c r="L127" s="28">
        <v>0</v>
      </c>
      <c r="M127" s="64">
        <v>0</v>
      </c>
      <c r="N127" s="64">
        <v>0</v>
      </c>
      <c r="O127" s="64">
        <v>0</v>
      </c>
      <c r="P127" s="64">
        <v>0</v>
      </c>
      <c r="Q127" s="82"/>
      <c r="R127" s="279">
        <v>0</v>
      </c>
      <c r="S127" s="172">
        <v>0</v>
      </c>
      <c r="T127" s="174">
        <v>0</v>
      </c>
      <c r="U127" s="170" t="str">
        <f t="shared" si="60"/>
        <v>Normal</v>
      </c>
      <c r="V127" s="170" t="str">
        <f t="shared" si="61"/>
        <v>Normal</v>
      </c>
      <c r="W127" s="378">
        <f t="shared" si="62"/>
        <v>0</v>
      </c>
      <c r="X127" s="378">
        <f t="shared" si="63"/>
        <v>0</v>
      </c>
    </row>
    <row r="128" spans="1:24">
      <c r="A128" s="202">
        <v>45509</v>
      </c>
      <c r="B128" s="188">
        <f>IF(YEAR(Table6[[#This Row],[Date]]) = 2024, WEEKNUM(Table6[[#This Row],[Date]])-13, WEEKNUM(Table6[[#This Row],[Date]])+40)</f>
        <v>19</v>
      </c>
      <c r="C128" s="31" t="s">
        <v>55</v>
      </c>
      <c r="D128" s="59" t="s">
        <v>48</v>
      </c>
      <c r="E128" s="1">
        <v>112</v>
      </c>
      <c r="F128" s="1">
        <v>104</v>
      </c>
      <c r="G128" s="61">
        <f>(E128-E121)/E121</f>
        <v>9.0090090090090089E-3</v>
      </c>
      <c r="H128" s="61">
        <f>(F128-F121)/F121</f>
        <v>-1.8867924528301886E-2</v>
      </c>
      <c r="I128" s="1">
        <f>I125+E128</f>
        <v>228</v>
      </c>
      <c r="J128" s="1">
        <f>J126+F128</f>
        <v>274</v>
      </c>
      <c r="K128" s="1">
        <f>E128+K126</f>
        <v>10689</v>
      </c>
      <c r="L128" s="1">
        <f>F128+L126</f>
        <v>9716</v>
      </c>
      <c r="M128" s="63">
        <v>0.93</v>
      </c>
      <c r="N128" s="63">
        <v>7.0000000000000007E-2</v>
      </c>
      <c r="O128" s="63">
        <v>0.93</v>
      </c>
      <c r="P128" s="63">
        <v>0.22</v>
      </c>
      <c r="Q128" s="83"/>
      <c r="R128" s="271">
        <v>110</v>
      </c>
      <c r="S128" s="140">
        <v>1.3194444444444444E-2</v>
      </c>
      <c r="T128" s="106">
        <v>2</v>
      </c>
      <c r="U128" s="106" t="str">
        <f t="shared" si="60"/>
        <v>Normal</v>
      </c>
      <c r="V128" s="106" t="str">
        <f t="shared" si="61"/>
        <v>Normal</v>
      </c>
      <c r="W128" s="18">
        <f t="shared" si="62"/>
        <v>9.0090090090090089E-3</v>
      </c>
      <c r="X128" s="18">
        <f t="shared" si="63"/>
        <v>-1.8867924528301886E-2</v>
      </c>
    </row>
    <row r="129" spans="1:24">
      <c r="A129" s="201">
        <v>45510</v>
      </c>
      <c r="B129" s="387">
        <f>IF(YEAR(Table6[[#This Row],[Date]]) = 2024, WEEKNUM(Table6[[#This Row],[Date]])-13, WEEKNUM(Table6[[#This Row],[Date]])+40)</f>
        <v>19</v>
      </c>
      <c r="C129" s="30" t="s">
        <v>49</v>
      </c>
      <c r="D129" s="59" t="s">
        <v>48</v>
      </c>
      <c r="E129" s="28">
        <v>107</v>
      </c>
      <c r="F129" s="28">
        <v>93</v>
      </c>
      <c r="G129" s="60">
        <f t="shared" ref="G129:G130" si="76">(E129-E122)/E122</f>
        <v>0.10309278350515463</v>
      </c>
      <c r="H129" s="60">
        <f t="shared" ref="H129:H130" si="77">(F129-F122)/F122</f>
        <v>2.197802197802198E-2</v>
      </c>
      <c r="I129" s="28">
        <f>I128+E129</f>
        <v>335</v>
      </c>
      <c r="J129" s="28">
        <f>J128+F129</f>
        <v>367</v>
      </c>
      <c r="K129" s="28">
        <f t="shared" si="47"/>
        <v>10796</v>
      </c>
      <c r="L129" s="28">
        <f t="shared" si="48"/>
        <v>9809</v>
      </c>
      <c r="M129" s="64">
        <v>0.87</v>
      </c>
      <c r="N129" s="64">
        <v>0.13</v>
      </c>
      <c r="O129" s="64">
        <v>0.87</v>
      </c>
      <c r="P129" s="64">
        <v>0.46</v>
      </c>
      <c r="Q129" s="82"/>
      <c r="R129" s="279">
        <v>127</v>
      </c>
      <c r="S129" s="172">
        <v>2.361111111111111E-2</v>
      </c>
      <c r="T129" s="174">
        <v>1</v>
      </c>
      <c r="U129" s="170" t="str">
        <f t="shared" si="60"/>
        <v>Normal</v>
      </c>
      <c r="V129" s="170" t="str">
        <f t="shared" si="61"/>
        <v>Normal</v>
      </c>
      <c r="W129" s="378">
        <f t="shared" si="62"/>
        <v>0.10309278350515463</v>
      </c>
      <c r="X129" s="378">
        <f t="shared" si="63"/>
        <v>2.197802197802198E-2</v>
      </c>
    </row>
    <row r="130" spans="1:24">
      <c r="A130" s="202">
        <v>45511</v>
      </c>
      <c r="B130" s="188">
        <f>IF(YEAR(Table6[[#This Row],[Date]]) = 2024, WEEKNUM(Table6[[#This Row],[Date]])-13, WEEKNUM(Table6[[#This Row],[Date]])+40)</f>
        <v>19</v>
      </c>
      <c r="C130" s="31" t="s">
        <v>50</v>
      </c>
      <c r="D130" s="59" t="s">
        <v>48</v>
      </c>
      <c r="E130" s="1">
        <v>94</v>
      </c>
      <c r="F130" s="1">
        <v>87</v>
      </c>
      <c r="G130" s="61">
        <f t="shared" si="76"/>
        <v>-8.7378640776699032E-2</v>
      </c>
      <c r="H130" s="61">
        <f t="shared" si="77"/>
        <v>-0.10309278350515463</v>
      </c>
      <c r="I130" s="1">
        <f>I129+E130</f>
        <v>429</v>
      </c>
      <c r="J130" s="1">
        <f>J129+F130</f>
        <v>454</v>
      </c>
      <c r="K130" s="1">
        <f t="shared" si="47"/>
        <v>10890</v>
      </c>
      <c r="L130" s="1">
        <f t="shared" si="48"/>
        <v>9896</v>
      </c>
      <c r="M130" s="63">
        <v>0.93</v>
      </c>
      <c r="N130" s="63">
        <v>7.0000000000000007E-2</v>
      </c>
      <c r="O130" s="63">
        <v>0.93</v>
      </c>
      <c r="P130" s="63">
        <v>0.47</v>
      </c>
      <c r="Q130" s="83"/>
      <c r="R130" s="271">
        <v>141</v>
      </c>
      <c r="S130" s="140">
        <v>1.1805555555555555E-2</v>
      </c>
      <c r="T130" s="106">
        <v>1</v>
      </c>
      <c r="U130" s="106" t="str">
        <f t="shared" si="60"/>
        <v>Normal</v>
      </c>
      <c r="V130" s="106" t="str">
        <f t="shared" si="61"/>
        <v>Normal</v>
      </c>
      <c r="W130" s="18">
        <f t="shared" si="62"/>
        <v>-8.7378640776699032E-2</v>
      </c>
      <c r="X130" s="18">
        <f t="shared" si="63"/>
        <v>-0.10309278350515463</v>
      </c>
    </row>
    <row r="131" spans="1:24">
      <c r="A131" s="201">
        <v>45512</v>
      </c>
      <c r="B131" s="387">
        <f>IF(YEAR(Table6[[#This Row],[Date]]) = 2024, WEEKNUM(Table6[[#This Row],[Date]])-13, WEEKNUM(Table6[[#This Row],[Date]])+40)</f>
        <v>19</v>
      </c>
      <c r="C131" s="30" t="s">
        <v>51</v>
      </c>
      <c r="D131" s="59" t="s">
        <v>48</v>
      </c>
      <c r="E131" s="28">
        <v>106</v>
      </c>
      <c r="F131" s="28">
        <v>91</v>
      </c>
      <c r="G131" s="60">
        <v>0.82352941176470584</v>
      </c>
      <c r="H131" s="60">
        <v>0.8</v>
      </c>
      <c r="I131" s="28">
        <f t="shared" ref="I131:I133" si="78">I130+E131</f>
        <v>535</v>
      </c>
      <c r="J131" s="28">
        <f>J130+F131</f>
        <v>545</v>
      </c>
      <c r="K131" s="28">
        <f t="shared" si="47"/>
        <v>10996</v>
      </c>
      <c r="L131" s="28">
        <f t="shared" si="48"/>
        <v>9987</v>
      </c>
      <c r="M131" s="64">
        <v>0.86</v>
      </c>
      <c r="N131" s="64">
        <v>0.14000000000000001</v>
      </c>
      <c r="O131" s="64">
        <v>0.86</v>
      </c>
      <c r="P131" s="64">
        <v>0.15</v>
      </c>
      <c r="Q131" s="82"/>
      <c r="R131" s="279">
        <v>87</v>
      </c>
      <c r="S131" s="172">
        <v>1.7361111111111112E-2</v>
      </c>
      <c r="T131" s="174">
        <v>2</v>
      </c>
      <c r="U131" s="170" t="str">
        <f t="shared" si="60"/>
        <v>Outlier</v>
      </c>
      <c r="V131" s="170" t="str">
        <f t="shared" si="61"/>
        <v>Outlier</v>
      </c>
      <c r="W131" s="378">
        <f t="shared" si="62"/>
        <v>0.82352941176470584</v>
      </c>
      <c r="X131" s="378">
        <f t="shared" si="63"/>
        <v>0.8</v>
      </c>
    </row>
    <row r="132" spans="1:24">
      <c r="A132" s="202">
        <v>45513</v>
      </c>
      <c r="B132" s="188">
        <f>IF(YEAR(Table6[[#This Row],[Date]]) = 2024, WEEKNUM(Table6[[#This Row],[Date]])-13, WEEKNUM(Table6[[#This Row],[Date]])+40)</f>
        <v>19</v>
      </c>
      <c r="C132" s="31" t="s">
        <v>52</v>
      </c>
      <c r="D132" s="59" t="s">
        <v>48</v>
      </c>
      <c r="E132" s="1">
        <v>212</v>
      </c>
      <c r="F132" s="1">
        <v>164</v>
      </c>
      <c r="G132" s="61">
        <v>-0.47560975609756095</v>
      </c>
      <c r="H132" s="61">
        <v>-0.41025641025641024</v>
      </c>
      <c r="I132" s="1">
        <f t="shared" si="78"/>
        <v>747</v>
      </c>
      <c r="J132" s="1">
        <f>J131+F132</f>
        <v>709</v>
      </c>
      <c r="K132" s="1">
        <f t="shared" ref="K132:K133" si="79">E132+K131</f>
        <v>11208</v>
      </c>
      <c r="L132" s="1">
        <f t="shared" ref="L132:L133" si="80">F132+L131</f>
        <v>10151</v>
      </c>
      <c r="M132" s="63">
        <v>0.77</v>
      </c>
      <c r="N132" s="63">
        <v>0.23</v>
      </c>
      <c r="O132" s="63">
        <v>0.77</v>
      </c>
      <c r="P132" s="63">
        <v>0.33</v>
      </c>
      <c r="Q132" s="83"/>
      <c r="R132" s="271">
        <v>103</v>
      </c>
      <c r="S132" s="140">
        <v>9.7222222222222224E-3</v>
      </c>
      <c r="T132" s="106">
        <v>2</v>
      </c>
      <c r="U132" s="106" t="str">
        <f t="shared" si="60"/>
        <v>Normal</v>
      </c>
      <c r="V132" s="106" t="str">
        <f t="shared" si="61"/>
        <v>Normal</v>
      </c>
      <c r="W132" s="18">
        <f t="shared" si="62"/>
        <v>-0.47560975609756095</v>
      </c>
      <c r="X132" s="18">
        <f t="shared" si="63"/>
        <v>-0.41025641025641024</v>
      </c>
    </row>
    <row r="133" spans="1:24">
      <c r="A133" s="201">
        <v>45514</v>
      </c>
      <c r="B133" s="387">
        <f>IF(YEAR(Table6[[#This Row],[Date]]) = 2024, WEEKNUM(Table6[[#This Row],[Date]])-13, WEEKNUM(Table6[[#This Row],[Date]])+40)</f>
        <v>19</v>
      </c>
      <c r="C133" s="30" t="s">
        <v>53</v>
      </c>
      <c r="D133" s="59" t="s">
        <v>48</v>
      </c>
      <c r="E133" s="28">
        <v>79</v>
      </c>
      <c r="F133" s="28">
        <v>71</v>
      </c>
      <c r="G133" s="60">
        <v>-0.30882352941176472</v>
      </c>
      <c r="H133" s="60">
        <v>-0.27559055118110237</v>
      </c>
      <c r="I133" s="28">
        <f t="shared" si="78"/>
        <v>826</v>
      </c>
      <c r="J133" s="28">
        <f>J132+F133</f>
        <v>780</v>
      </c>
      <c r="K133" s="28">
        <f t="shared" si="79"/>
        <v>11287</v>
      </c>
      <c r="L133" s="28">
        <f t="shared" si="80"/>
        <v>10222</v>
      </c>
      <c r="M133" s="64">
        <v>0.9</v>
      </c>
      <c r="N133" s="64">
        <v>0.1</v>
      </c>
      <c r="O133" s="64">
        <v>0.9</v>
      </c>
      <c r="P133" s="64">
        <v>0.36</v>
      </c>
      <c r="Q133" s="82"/>
      <c r="R133" s="279">
        <v>132</v>
      </c>
      <c r="S133" s="172">
        <v>1.1805555555555555E-2</v>
      </c>
      <c r="T133" s="174">
        <v>1</v>
      </c>
      <c r="U133" s="170" t="str">
        <f t="shared" si="60"/>
        <v>Normal</v>
      </c>
      <c r="V133" s="170" t="str">
        <f t="shared" si="61"/>
        <v>Normal</v>
      </c>
      <c r="W133" s="378">
        <f t="shared" si="62"/>
        <v>-0.30882352941176472</v>
      </c>
      <c r="X133" s="378">
        <f t="shared" si="63"/>
        <v>-0.27559055118110237</v>
      </c>
    </row>
    <row r="134" spans="1:24">
      <c r="A134" s="202">
        <v>45515</v>
      </c>
      <c r="B134" s="188">
        <f>IF(YEAR(Table6[[#This Row],[Date]]) = 2024, WEEKNUM(Table6[[#This Row],[Date]])-13, WEEKNUM(Table6[[#This Row],[Date]])+40)</f>
        <v>20</v>
      </c>
      <c r="C134" s="31" t="s">
        <v>54</v>
      </c>
      <c r="D134" s="59" t="s">
        <v>48</v>
      </c>
      <c r="E134" s="1">
        <v>0</v>
      </c>
      <c r="F134" s="1">
        <v>0</v>
      </c>
      <c r="G134" s="61">
        <v>0</v>
      </c>
      <c r="H134" s="61">
        <v>0</v>
      </c>
      <c r="I134" s="1">
        <v>0</v>
      </c>
      <c r="J134" s="1">
        <v>0</v>
      </c>
      <c r="K134" s="1">
        <v>0</v>
      </c>
      <c r="L134" s="1">
        <v>0</v>
      </c>
      <c r="M134" s="63">
        <v>0</v>
      </c>
      <c r="N134" s="63">
        <v>0</v>
      </c>
      <c r="O134" s="63">
        <v>0</v>
      </c>
      <c r="P134" s="63">
        <v>0</v>
      </c>
      <c r="Q134" s="83"/>
      <c r="R134" s="271">
        <v>0</v>
      </c>
      <c r="S134" s="140">
        <v>0</v>
      </c>
      <c r="T134" s="106">
        <v>0</v>
      </c>
      <c r="U134" s="106" t="str">
        <f t="shared" si="60"/>
        <v>Normal</v>
      </c>
      <c r="V134" s="106" t="str">
        <f t="shared" si="61"/>
        <v>Normal</v>
      </c>
      <c r="W134" s="18">
        <f t="shared" si="62"/>
        <v>0</v>
      </c>
      <c r="X134" s="18">
        <f t="shared" si="63"/>
        <v>0</v>
      </c>
    </row>
    <row r="135" spans="1:24">
      <c r="A135" s="201">
        <v>45516</v>
      </c>
      <c r="B135" s="30"/>
      <c r="C135" s="30"/>
      <c r="D135" s="59"/>
      <c r="E135" s="28"/>
      <c r="F135" s="28"/>
      <c r="G135" s="60"/>
      <c r="H135" s="60"/>
      <c r="I135" s="28"/>
      <c r="J135" s="28"/>
      <c r="K135" s="28"/>
      <c r="L135" s="28"/>
      <c r="M135" s="64"/>
      <c r="N135" s="64"/>
      <c r="O135" s="64"/>
      <c r="P135" s="64"/>
      <c r="Q135" s="82"/>
      <c r="R135" s="279"/>
      <c r="S135" s="172"/>
      <c r="T135" s="174"/>
      <c r="U135" s="170"/>
      <c r="V135" s="170"/>
      <c r="W135" s="170"/>
      <c r="X135" s="170"/>
    </row>
    <row r="136" spans="1:24">
      <c r="A136" s="202">
        <v>45517</v>
      </c>
      <c r="B136" s="31"/>
      <c r="C136" s="31"/>
      <c r="D136" s="59"/>
      <c r="E136" s="1"/>
      <c r="F136" s="1"/>
      <c r="G136" s="61"/>
      <c r="H136" s="61"/>
      <c r="I136" s="1"/>
      <c r="J136" s="1"/>
      <c r="K136" s="1"/>
      <c r="L136" s="1"/>
      <c r="M136" s="63"/>
      <c r="N136" s="63"/>
      <c r="O136" s="63"/>
      <c r="P136" s="63"/>
      <c r="Q136" s="83"/>
      <c r="R136" s="271"/>
      <c r="S136" s="140"/>
      <c r="T136" s="106"/>
      <c r="U136" s="106"/>
      <c r="V136" s="106"/>
      <c r="W136" s="106"/>
      <c r="X136" s="106"/>
    </row>
    <row r="137" spans="1:24">
      <c r="A137" s="201">
        <v>45518</v>
      </c>
      <c r="B137" s="30"/>
      <c r="C137" s="30"/>
      <c r="D137" s="59"/>
      <c r="E137" s="28"/>
      <c r="F137" s="28"/>
      <c r="G137" s="60"/>
      <c r="H137" s="60"/>
      <c r="I137" s="28"/>
      <c r="J137" s="28"/>
      <c r="K137" s="28"/>
      <c r="L137" s="28"/>
      <c r="M137" s="64"/>
      <c r="N137" s="64"/>
      <c r="O137" s="64"/>
      <c r="P137" s="64"/>
      <c r="Q137" s="82"/>
      <c r="R137" s="279"/>
      <c r="S137" s="172"/>
      <c r="T137" s="174"/>
      <c r="U137" s="170"/>
      <c r="V137" s="170"/>
      <c r="W137" s="170"/>
      <c r="X137" s="170"/>
    </row>
    <row r="138" spans="1:24">
      <c r="A138" s="202">
        <v>45519</v>
      </c>
      <c r="B138" s="31"/>
      <c r="C138" s="31"/>
      <c r="D138" s="59"/>
      <c r="E138" s="1"/>
      <c r="F138" s="1"/>
      <c r="G138" s="61"/>
      <c r="H138" s="61"/>
      <c r="I138" s="1"/>
      <c r="J138" s="1"/>
      <c r="K138" s="1"/>
      <c r="L138" s="1"/>
      <c r="M138" s="63"/>
      <c r="N138" s="63"/>
      <c r="O138" s="63"/>
      <c r="P138" s="63"/>
      <c r="Q138" s="83"/>
      <c r="R138" s="271"/>
      <c r="S138" s="140"/>
      <c r="T138" s="106"/>
      <c r="U138" s="106"/>
      <c r="V138" s="106"/>
      <c r="W138" s="106"/>
      <c r="X138" s="106"/>
    </row>
    <row r="139" spans="1:24">
      <c r="A139" s="201">
        <v>45520</v>
      </c>
      <c r="B139" s="30"/>
      <c r="C139" s="30"/>
      <c r="D139" s="59"/>
      <c r="E139" s="28"/>
      <c r="F139" s="28"/>
      <c r="G139" s="60"/>
      <c r="H139" s="60"/>
      <c r="I139" s="28"/>
      <c r="J139" s="28"/>
      <c r="K139" s="28"/>
      <c r="L139" s="28"/>
      <c r="M139" s="64"/>
      <c r="N139" s="64"/>
      <c r="O139" s="64"/>
      <c r="P139" s="64"/>
      <c r="Q139" s="82"/>
      <c r="R139" s="279"/>
      <c r="S139" s="172"/>
      <c r="T139" s="174"/>
      <c r="U139" s="170"/>
      <c r="V139" s="170"/>
      <c r="W139" s="170"/>
      <c r="X139" s="170"/>
    </row>
    <row r="140" spans="1:24">
      <c r="A140" s="202">
        <v>45521</v>
      </c>
      <c r="B140" s="31"/>
      <c r="C140" s="31"/>
      <c r="D140" s="59"/>
      <c r="E140" s="1"/>
      <c r="F140" s="1"/>
      <c r="G140" s="61"/>
      <c r="H140" s="61"/>
      <c r="I140" s="1"/>
      <c r="J140" s="1"/>
      <c r="K140" s="1"/>
      <c r="L140" s="1"/>
      <c r="M140" s="63"/>
      <c r="N140" s="63"/>
      <c r="O140" s="63"/>
      <c r="P140" s="63"/>
      <c r="Q140" s="83"/>
      <c r="R140" s="271"/>
      <c r="S140" s="140"/>
      <c r="T140" s="106"/>
      <c r="U140" s="106"/>
      <c r="V140" s="106"/>
      <c r="W140" s="106"/>
      <c r="X140" s="106"/>
    </row>
    <row r="141" spans="1:24">
      <c r="A141" s="201">
        <v>45522</v>
      </c>
      <c r="B141" s="30"/>
      <c r="C141" s="30"/>
      <c r="D141" s="59"/>
      <c r="E141" s="28"/>
      <c r="F141" s="28"/>
      <c r="G141" s="60"/>
      <c r="H141" s="60"/>
      <c r="I141" s="28"/>
      <c r="J141" s="28"/>
      <c r="K141" s="28"/>
      <c r="L141" s="28"/>
      <c r="M141" s="64"/>
      <c r="N141" s="64"/>
      <c r="O141" s="64"/>
      <c r="P141" s="64"/>
      <c r="Q141" s="82"/>
      <c r="R141" s="279"/>
      <c r="S141" s="172"/>
      <c r="T141" s="174"/>
      <c r="U141" s="170"/>
      <c r="V141" s="170"/>
      <c r="W141" s="170"/>
      <c r="X141" s="170"/>
    </row>
    <row r="142" spans="1:24">
      <c r="A142" s="202">
        <v>45523</v>
      </c>
      <c r="B142" s="31"/>
      <c r="C142" s="31"/>
      <c r="D142" s="59"/>
      <c r="E142" s="1"/>
      <c r="F142" s="1"/>
      <c r="G142" s="61"/>
      <c r="H142" s="61"/>
      <c r="I142" s="1"/>
      <c r="J142" s="1"/>
      <c r="K142" s="1"/>
      <c r="L142" s="1"/>
      <c r="M142" s="63"/>
      <c r="N142" s="63"/>
      <c r="O142" s="63"/>
      <c r="P142" s="63"/>
      <c r="Q142" s="83"/>
      <c r="R142" s="271"/>
      <c r="S142" s="140"/>
      <c r="T142" s="106"/>
      <c r="U142" s="106"/>
      <c r="V142" s="106"/>
      <c r="W142" s="106"/>
      <c r="X142" s="106"/>
    </row>
    <row r="143" spans="1:24">
      <c r="A143" s="201">
        <v>45524</v>
      </c>
      <c r="B143" s="30"/>
      <c r="C143" s="30"/>
      <c r="D143" s="59"/>
      <c r="E143" s="28"/>
      <c r="F143" s="28"/>
      <c r="G143" s="60"/>
      <c r="H143" s="60"/>
      <c r="I143" s="28"/>
      <c r="J143" s="28"/>
      <c r="K143" s="28"/>
      <c r="L143" s="28"/>
      <c r="M143" s="64"/>
      <c r="N143" s="64"/>
      <c r="O143" s="64"/>
      <c r="P143" s="64"/>
      <c r="Q143" s="82"/>
      <c r="R143" s="279"/>
      <c r="S143" s="172"/>
      <c r="T143" s="174"/>
      <c r="U143" s="170"/>
      <c r="V143" s="170"/>
      <c r="W143" s="170"/>
      <c r="X143" s="170"/>
    </row>
    <row r="144" spans="1:24">
      <c r="A144" s="202">
        <v>45525</v>
      </c>
      <c r="B144" s="31"/>
      <c r="C144" s="31"/>
      <c r="D144" s="59"/>
      <c r="E144" s="1"/>
      <c r="F144" s="1"/>
      <c r="G144" s="61"/>
      <c r="H144" s="61"/>
      <c r="I144" s="1"/>
      <c r="J144" s="1"/>
      <c r="K144" s="1"/>
      <c r="L144" s="1"/>
      <c r="M144" s="63"/>
      <c r="N144" s="63"/>
      <c r="O144" s="63"/>
      <c r="P144" s="63"/>
      <c r="Q144" s="83"/>
      <c r="R144" s="271"/>
      <c r="S144" s="140"/>
      <c r="T144" s="106"/>
      <c r="U144" s="106"/>
      <c r="V144" s="106"/>
      <c r="W144" s="106"/>
      <c r="X144" s="106"/>
    </row>
    <row r="145" spans="1:29">
      <c r="A145" s="201">
        <v>45526</v>
      </c>
      <c r="B145" s="30"/>
      <c r="C145" s="30"/>
      <c r="D145" s="59"/>
      <c r="E145" s="28"/>
      <c r="F145" s="28"/>
      <c r="G145" s="60"/>
      <c r="H145" s="60"/>
      <c r="I145" s="28"/>
      <c r="J145" s="28"/>
      <c r="K145" s="28"/>
      <c r="L145" s="28"/>
      <c r="M145" s="64"/>
      <c r="N145" s="64"/>
      <c r="O145" s="64"/>
      <c r="P145" s="64"/>
      <c r="Q145" s="82"/>
      <c r="R145" s="279"/>
      <c r="S145" s="172"/>
      <c r="T145" s="174"/>
      <c r="U145" s="170"/>
      <c r="V145" s="170"/>
      <c r="W145" s="170"/>
      <c r="X145" s="170"/>
    </row>
    <row r="146" spans="1:29">
      <c r="A146" s="202">
        <v>45527</v>
      </c>
      <c r="B146" s="31"/>
      <c r="C146" s="31"/>
      <c r="D146" s="59"/>
      <c r="E146" s="1"/>
      <c r="F146" s="1"/>
      <c r="G146" s="61"/>
      <c r="H146" s="61"/>
      <c r="I146" s="1"/>
      <c r="J146" s="1"/>
      <c r="K146" s="1"/>
      <c r="L146" s="1"/>
      <c r="M146" s="63"/>
      <c r="N146" s="63"/>
      <c r="O146" s="63"/>
      <c r="P146" s="63"/>
      <c r="Q146" s="83"/>
      <c r="R146" s="271"/>
      <c r="S146" s="140"/>
      <c r="T146" s="106"/>
      <c r="U146" s="106"/>
      <c r="V146" s="106"/>
      <c r="W146" s="106"/>
      <c r="X146" s="106"/>
    </row>
    <row r="147" spans="1:29">
      <c r="A147" s="201">
        <v>45528</v>
      </c>
      <c r="B147" s="30"/>
      <c r="C147" s="30"/>
      <c r="D147" s="59"/>
      <c r="E147" s="28"/>
      <c r="F147" s="28"/>
      <c r="G147" s="60"/>
      <c r="H147" s="60"/>
      <c r="I147" s="28"/>
      <c r="J147" s="28"/>
      <c r="K147" s="28"/>
      <c r="L147" s="28"/>
      <c r="M147" s="64"/>
      <c r="N147" s="64"/>
      <c r="O147" s="64"/>
      <c r="P147" s="64"/>
      <c r="Q147" s="82"/>
      <c r="R147" s="279"/>
      <c r="S147" s="172"/>
      <c r="T147" s="174"/>
      <c r="U147" s="170"/>
      <c r="V147" s="170"/>
      <c r="W147" s="170"/>
      <c r="X147" s="170"/>
    </row>
    <row r="148" spans="1:29">
      <c r="A148" s="202">
        <v>45529</v>
      </c>
      <c r="B148" s="31"/>
      <c r="C148" s="31"/>
      <c r="D148" s="59"/>
      <c r="E148" s="1"/>
      <c r="F148" s="1"/>
      <c r="G148" s="61"/>
      <c r="H148" s="61"/>
      <c r="I148" s="1"/>
      <c r="J148" s="1"/>
      <c r="K148" s="1"/>
      <c r="L148" s="1"/>
      <c r="M148" s="63"/>
      <c r="N148" s="63"/>
      <c r="O148" s="63"/>
      <c r="P148" s="63"/>
      <c r="Q148" s="83"/>
      <c r="R148" s="271"/>
      <c r="S148" s="140"/>
      <c r="T148" s="106"/>
      <c r="U148" s="106"/>
      <c r="V148" s="106"/>
      <c r="W148" s="106"/>
      <c r="X148" s="106"/>
    </row>
    <row r="149" spans="1:29">
      <c r="A149" s="201">
        <v>45530</v>
      </c>
      <c r="B149" s="30"/>
      <c r="C149" s="30"/>
      <c r="D149" s="59"/>
      <c r="E149" s="28"/>
      <c r="F149" s="28"/>
      <c r="G149" s="60"/>
      <c r="H149" s="60"/>
      <c r="I149" s="28"/>
      <c r="J149" s="28"/>
      <c r="K149" s="28"/>
      <c r="L149" s="28"/>
      <c r="M149" s="64"/>
      <c r="N149" s="64"/>
      <c r="O149" s="64"/>
      <c r="P149" s="64"/>
      <c r="Q149" s="82"/>
      <c r="R149" s="279"/>
      <c r="S149" s="172"/>
      <c r="T149" s="174"/>
      <c r="U149" s="170"/>
      <c r="V149" s="170"/>
      <c r="W149" s="170"/>
      <c r="X149" s="170"/>
    </row>
    <row r="150" spans="1:29">
      <c r="A150" s="202">
        <v>45531</v>
      </c>
      <c r="B150" s="31"/>
      <c r="C150" s="31"/>
      <c r="D150" s="59"/>
      <c r="E150" s="1"/>
      <c r="F150" s="1"/>
      <c r="G150" s="61"/>
      <c r="H150" s="61"/>
      <c r="I150" s="1"/>
      <c r="J150" s="1"/>
      <c r="K150" s="1"/>
      <c r="L150" s="1"/>
      <c r="M150" s="63"/>
      <c r="N150" s="63"/>
      <c r="O150" s="63"/>
      <c r="P150" s="63"/>
      <c r="Q150" s="83"/>
      <c r="R150" s="271"/>
      <c r="S150" s="140"/>
      <c r="T150" s="106"/>
      <c r="U150" s="106"/>
      <c r="V150" s="106"/>
      <c r="W150" s="106"/>
      <c r="X150" s="106"/>
    </row>
    <row r="151" spans="1:29">
      <c r="A151" s="201">
        <v>45532</v>
      </c>
      <c r="B151" s="30"/>
      <c r="C151" s="30"/>
      <c r="D151" s="59"/>
      <c r="E151" s="28"/>
      <c r="F151" s="28"/>
      <c r="G151" s="60"/>
      <c r="H151" s="60"/>
      <c r="I151" s="28"/>
      <c r="J151" s="28"/>
      <c r="K151" s="28"/>
      <c r="L151" s="28"/>
      <c r="M151" s="64"/>
      <c r="N151" s="64"/>
      <c r="O151" s="64"/>
      <c r="P151" s="64"/>
      <c r="Q151" s="82"/>
      <c r="R151" s="279"/>
      <c r="S151" s="172"/>
      <c r="T151" s="174"/>
      <c r="U151" s="170"/>
      <c r="V151" s="170"/>
      <c r="W151" s="170"/>
      <c r="X151" s="170"/>
    </row>
    <row r="152" spans="1:29">
      <c r="A152" s="202">
        <v>45533</v>
      </c>
      <c r="B152" s="31"/>
      <c r="C152" s="31"/>
      <c r="D152" s="59"/>
      <c r="E152" s="1"/>
      <c r="F152" s="1"/>
      <c r="G152" s="61"/>
      <c r="H152" s="61"/>
      <c r="I152" s="1"/>
      <c r="J152" s="1"/>
      <c r="K152" s="1"/>
      <c r="L152" s="1"/>
      <c r="M152" s="63"/>
      <c r="N152" s="63"/>
      <c r="O152" s="63"/>
      <c r="P152" s="63"/>
      <c r="Q152" s="83"/>
      <c r="R152" s="271"/>
      <c r="S152" s="140"/>
      <c r="T152" s="106"/>
      <c r="U152" s="106"/>
      <c r="V152" s="106"/>
      <c r="W152" s="106"/>
      <c r="X152" s="106"/>
    </row>
    <row r="153" spans="1:29">
      <c r="A153" s="201">
        <v>45534</v>
      </c>
      <c r="B153" s="30"/>
      <c r="C153" s="30"/>
      <c r="D153" s="59"/>
      <c r="E153" s="28"/>
      <c r="F153" s="28"/>
      <c r="G153" s="60"/>
      <c r="H153" s="60"/>
      <c r="I153" s="28"/>
      <c r="J153" s="28"/>
      <c r="K153" s="28"/>
      <c r="L153" s="28"/>
      <c r="M153" s="64"/>
      <c r="N153" s="64"/>
      <c r="O153" s="64"/>
      <c r="P153" s="64"/>
      <c r="Q153" s="82"/>
      <c r="R153" s="279"/>
      <c r="S153" s="172"/>
      <c r="T153" s="174"/>
      <c r="U153" s="170"/>
      <c r="V153" s="170"/>
      <c r="W153" s="170"/>
      <c r="X153" s="170"/>
    </row>
    <row r="154" spans="1:29">
      <c r="A154" s="202">
        <v>45535</v>
      </c>
      <c r="B154" s="31"/>
      <c r="C154" s="31"/>
      <c r="D154" s="59"/>
      <c r="E154" s="1"/>
      <c r="F154" s="1"/>
      <c r="G154" s="61"/>
      <c r="H154" s="61"/>
      <c r="I154" s="1"/>
      <c r="J154" s="1"/>
      <c r="K154" s="1"/>
      <c r="L154" s="1"/>
      <c r="M154" s="63"/>
      <c r="N154" s="63"/>
      <c r="O154" s="63"/>
      <c r="P154" s="63"/>
      <c r="Q154" s="83"/>
      <c r="R154" s="271"/>
      <c r="S154" s="140"/>
      <c r="T154" s="106"/>
      <c r="U154" s="106"/>
      <c r="V154" s="106"/>
      <c r="W154" s="106"/>
      <c r="X154" s="106"/>
    </row>
    <row r="155" spans="1:29" s="44" customFormat="1">
      <c r="A155" s="388">
        <v>45536</v>
      </c>
      <c r="B155" s="192"/>
      <c r="C155" s="192"/>
      <c r="D155" s="72"/>
      <c r="E155" s="73"/>
      <c r="F155" s="73"/>
      <c r="G155" s="193"/>
      <c r="H155" s="193"/>
      <c r="I155" s="73"/>
      <c r="J155" s="73"/>
      <c r="K155" s="73"/>
      <c r="L155" s="73"/>
      <c r="M155" s="194"/>
      <c r="N155" s="194"/>
      <c r="O155" s="194"/>
      <c r="P155" s="194"/>
      <c r="Q155" s="266"/>
      <c r="R155" s="280"/>
      <c r="S155" s="267"/>
      <c r="T155" s="268"/>
      <c r="U155" s="196"/>
      <c r="V155" s="196"/>
      <c r="W155" s="196"/>
      <c r="X155" s="196"/>
      <c r="AB155"/>
      <c r="AC155"/>
    </row>
    <row r="156" spans="1:29">
      <c r="A156" s="202">
        <v>45537</v>
      </c>
      <c r="B156" s="31"/>
      <c r="C156" s="31"/>
      <c r="D156" s="59"/>
      <c r="E156" s="1"/>
      <c r="F156" s="1"/>
      <c r="G156" s="61"/>
      <c r="H156" s="61"/>
      <c r="I156" s="1"/>
      <c r="J156" s="1"/>
      <c r="K156" s="1"/>
      <c r="L156" s="1"/>
      <c r="M156" s="63"/>
      <c r="N156" s="63"/>
      <c r="O156" s="63"/>
      <c r="P156" s="63"/>
      <c r="Q156" s="83"/>
      <c r="R156" s="271"/>
      <c r="S156" s="140"/>
      <c r="T156" s="106"/>
      <c r="U156" s="106"/>
      <c r="V156" s="106"/>
      <c r="W156" s="106"/>
      <c r="X156" s="106"/>
    </row>
    <row r="157" spans="1:29">
      <c r="A157" s="201">
        <v>45538</v>
      </c>
      <c r="B157" s="30"/>
      <c r="C157" s="30"/>
      <c r="D157" s="59"/>
      <c r="E157" s="28"/>
      <c r="F157" s="28"/>
      <c r="G157" s="60"/>
      <c r="H157" s="60"/>
      <c r="I157" s="28"/>
      <c r="J157" s="28"/>
      <c r="K157" s="28"/>
      <c r="L157" s="28"/>
      <c r="M157" s="64"/>
      <c r="N157" s="64"/>
      <c r="O157" s="64"/>
      <c r="P157" s="64"/>
      <c r="Q157" s="82"/>
      <c r="R157" s="279"/>
      <c r="S157" s="172"/>
      <c r="T157" s="174"/>
      <c r="U157" s="170"/>
      <c r="V157" s="170"/>
      <c r="W157" s="170"/>
      <c r="X157" s="170"/>
    </row>
    <row r="158" spans="1:29">
      <c r="A158" s="202">
        <v>45539</v>
      </c>
      <c r="B158" s="31"/>
      <c r="C158" s="31"/>
      <c r="D158" s="59"/>
      <c r="E158" s="1"/>
      <c r="F158" s="1"/>
      <c r="G158" s="61"/>
      <c r="H158" s="61"/>
      <c r="I158" s="1"/>
      <c r="J158" s="1"/>
      <c r="K158" s="1"/>
      <c r="L158" s="1"/>
      <c r="M158" s="63"/>
      <c r="N158" s="63"/>
      <c r="O158" s="63"/>
      <c r="P158" s="63"/>
      <c r="Q158" s="83"/>
      <c r="R158" s="271"/>
      <c r="S158" s="140"/>
      <c r="T158" s="106"/>
      <c r="U158" s="106"/>
      <c r="V158" s="106"/>
      <c r="W158" s="106"/>
      <c r="X158" s="106"/>
    </row>
    <row r="159" spans="1:29">
      <c r="A159" s="201">
        <v>45540</v>
      </c>
      <c r="B159" s="30"/>
      <c r="C159" s="30"/>
      <c r="D159" s="59"/>
      <c r="E159" s="28"/>
      <c r="F159" s="28"/>
      <c r="G159" s="60"/>
      <c r="H159" s="60"/>
      <c r="I159" s="28"/>
      <c r="J159" s="28"/>
      <c r="K159" s="28"/>
      <c r="L159" s="28"/>
      <c r="M159" s="64"/>
      <c r="N159" s="64"/>
      <c r="O159" s="64"/>
      <c r="P159" s="64"/>
      <c r="Q159" s="82"/>
      <c r="R159" s="279"/>
      <c r="S159" s="172"/>
      <c r="T159" s="174"/>
      <c r="U159" s="170"/>
      <c r="V159" s="170"/>
      <c r="W159" s="170"/>
      <c r="X159" s="170"/>
    </row>
    <row r="160" spans="1:29">
      <c r="A160" s="202">
        <v>45541</v>
      </c>
      <c r="B160" s="31"/>
      <c r="C160" s="31"/>
      <c r="D160" s="59"/>
      <c r="E160" s="1"/>
      <c r="F160" s="1"/>
      <c r="G160" s="61"/>
      <c r="H160" s="61"/>
      <c r="I160" s="1"/>
      <c r="J160" s="1"/>
      <c r="K160" s="1"/>
      <c r="L160" s="1"/>
      <c r="M160" s="63"/>
      <c r="N160" s="63"/>
      <c r="O160" s="63"/>
      <c r="P160" s="63"/>
      <c r="Q160" s="83"/>
      <c r="R160" s="271"/>
      <c r="S160" s="140"/>
      <c r="T160" s="106"/>
      <c r="U160" s="106"/>
      <c r="V160" s="106"/>
      <c r="W160" s="106"/>
      <c r="X160" s="106"/>
    </row>
    <row r="161" spans="1:24">
      <c r="A161" s="201">
        <v>45542</v>
      </c>
      <c r="B161" s="30"/>
      <c r="C161" s="30"/>
      <c r="D161" s="59"/>
      <c r="E161" s="28"/>
      <c r="F161" s="28"/>
      <c r="G161" s="60"/>
      <c r="H161" s="60"/>
      <c r="I161" s="28"/>
      <c r="J161" s="28"/>
      <c r="K161" s="28"/>
      <c r="L161" s="28"/>
      <c r="M161" s="64"/>
      <c r="N161" s="64"/>
      <c r="O161" s="64"/>
      <c r="P161" s="64"/>
      <c r="Q161" s="82"/>
      <c r="R161" s="279"/>
      <c r="S161" s="172"/>
      <c r="T161" s="174"/>
      <c r="U161" s="170"/>
      <c r="V161" s="170"/>
      <c r="W161" s="170"/>
      <c r="X161" s="170"/>
    </row>
    <row r="162" spans="1:24">
      <c r="A162" s="202">
        <v>45543</v>
      </c>
      <c r="B162" s="31"/>
      <c r="C162" s="31"/>
      <c r="D162" s="59"/>
      <c r="E162" s="1"/>
      <c r="F162" s="1"/>
      <c r="G162" s="61"/>
      <c r="H162" s="61"/>
      <c r="I162" s="1"/>
      <c r="J162" s="1"/>
      <c r="K162" s="1"/>
      <c r="L162" s="1"/>
      <c r="M162" s="63"/>
      <c r="N162" s="63"/>
      <c r="O162" s="63"/>
      <c r="P162" s="63"/>
      <c r="Q162" s="83"/>
      <c r="R162" s="271"/>
      <c r="S162" s="140"/>
      <c r="T162" s="106"/>
      <c r="U162" s="106"/>
      <c r="V162" s="106"/>
      <c r="W162" s="106"/>
      <c r="X162" s="106"/>
    </row>
    <row r="163" spans="1:24">
      <c r="A163" s="201">
        <v>45544</v>
      </c>
      <c r="B163" s="30"/>
      <c r="C163" s="30"/>
      <c r="D163" s="59"/>
      <c r="E163" s="28"/>
      <c r="F163" s="28"/>
      <c r="G163" s="60"/>
      <c r="H163" s="60"/>
      <c r="I163" s="28"/>
      <c r="J163" s="28"/>
      <c r="K163" s="28"/>
      <c r="L163" s="28"/>
      <c r="M163" s="64"/>
      <c r="N163" s="64"/>
      <c r="O163" s="64"/>
      <c r="P163" s="64"/>
      <c r="Q163" s="82"/>
      <c r="R163" s="279"/>
      <c r="S163" s="172"/>
      <c r="T163" s="174"/>
      <c r="U163" s="170"/>
      <c r="V163" s="170"/>
      <c r="W163" s="170"/>
      <c r="X163" s="170"/>
    </row>
    <row r="164" spans="1:24">
      <c r="A164" s="202">
        <v>45545</v>
      </c>
      <c r="B164" s="31"/>
      <c r="C164" s="31"/>
      <c r="D164" s="59"/>
      <c r="E164" s="1"/>
      <c r="F164" s="1"/>
      <c r="G164" s="61"/>
      <c r="H164" s="61"/>
      <c r="I164" s="1"/>
      <c r="J164" s="1"/>
      <c r="K164" s="1"/>
      <c r="L164" s="1"/>
      <c r="M164" s="63"/>
      <c r="N164" s="63"/>
      <c r="O164" s="63"/>
      <c r="P164" s="63"/>
      <c r="Q164" s="83"/>
      <c r="R164" s="271"/>
      <c r="S164" s="140"/>
      <c r="T164" s="106"/>
      <c r="U164" s="106"/>
      <c r="V164" s="106"/>
      <c r="W164" s="106"/>
      <c r="X164" s="106"/>
    </row>
    <row r="165" spans="1:24">
      <c r="A165" s="201">
        <v>45546</v>
      </c>
      <c r="B165" s="30"/>
      <c r="C165" s="30"/>
      <c r="D165" s="59"/>
      <c r="E165" s="28"/>
      <c r="F165" s="28"/>
      <c r="G165" s="60"/>
      <c r="H165" s="60"/>
      <c r="I165" s="28"/>
      <c r="J165" s="28"/>
      <c r="K165" s="28"/>
      <c r="L165" s="28"/>
      <c r="M165" s="64"/>
      <c r="N165" s="64"/>
      <c r="O165" s="64"/>
      <c r="P165" s="64"/>
      <c r="Q165" s="82"/>
      <c r="R165" s="279"/>
      <c r="S165" s="172"/>
      <c r="T165" s="174"/>
      <c r="U165" s="170"/>
      <c r="V165" s="170"/>
      <c r="W165" s="170"/>
      <c r="X165" s="170"/>
    </row>
    <row r="166" spans="1:24">
      <c r="A166" s="202">
        <v>45547</v>
      </c>
      <c r="B166" s="31"/>
      <c r="C166" s="31"/>
      <c r="D166" s="59"/>
      <c r="E166" s="1"/>
      <c r="F166" s="1"/>
      <c r="G166" s="61"/>
      <c r="H166" s="61"/>
      <c r="I166" s="1"/>
      <c r="J166" s="1"/>
      <c r="K166" s="1"/>
      <c r="L166" s="1"/>
      <c r="M166" s="63"/>
      <c r="N166" s="63"/>
      <c r="O166" s="63"/>
      <c r="P166" s="63"/>
      <c r="Q166" s="83"/>
      <c r="R166" s="271"/>
      <c r="S166" s="140"/>
      <c r="T166" s="106"/>
      <c r="U166" s="106"/>
      <c r="V166" s="106"/>
      <c r="W166" s="106"/>
      <c r="X166" s="106"/>
    </row>
    <row r="167" spans="1:24">
      <c r="A167" s="201">
        <v>45548</v>
      </c>
      <c r="B167" s="30"/>
      <c r="C167" s="30"/>
      <c r="D167" s="59"/>
      <c r="E167" s="28"/>
      <c r="F167" s="28"/>
      <c r="G167" s="60"/>
      <c r="H167" s="60"/>
      <c r="I167" s="28"/>
      <c r="J167" s="28"/>
      <c r="K167" s="28"/>
      <c r="L167" s="28"/>
      <c r="M167" s="64"/>
      <c r="N167" s="64"/>
      <c r="O167" s="64"/>
      <c r="P167" s="64"/>
      <c r="Q167" s="82"/>
      <c r="R167" s="279"/>
      <c r="S167" s="172"/>
      <c r="T167" s="174"/>
      <c r="U167" s="170"/>
      <c r="V167" s="170"/>
      <c r="W167" s="170"/>
      <c r="X167" s="170"/>
    </row>
    <row r="168" spans="1:24">
      <c r="A168" s="202">
        <v>45549</v>
      </c>
      <c r="B168" s="31"/>
      <c r="C168" s="31"/>
      <c r="D168" s="59"/>
      <c r="E168" s="1"/>
      <c r="F168" s="1"/>
      <c r="G168" s="61"/>
      <c r="H168" s="61"/>
      <c r="I168" s="1"/>
      <c r="J168" s="1"/>
      <c r="K168" s="1"/>
      <c r="L168" s="1"/>
      <c r="M168" s="63"/>
      <c r="N168" s="63"/>
      <c r="O168" s="63"/>
      <c r="P168" s="63"/>
      <c r="Q168" s="83"/>
      <c r="R168" s="271"/>
      <c r="S168" s="140"/>
      <c r="T168" s="106"/>
      <c r="U168" s="106"/>
      <c r="V168" s="106"/>
      <c r="W168" s="106"/>
      <c r="X168" s="106"/>
    </row>
    <row r="169" spans="1:24">
      <c r="A169" s="201">
        <v>45550</v>
      </c>
      <c r="B169" s="30"/>
      <c r="C169" s="30"/>
      <c r="D169" s="59"/>
      <c r="E169" s="28"/>
      <c r="F169" s="28"/>
      <c r="G169" s="60"/>
      <c r="H169" s="60"/>
      <c r="I169" s="28"/>
      <c r="J169" s="28"/>
      <c r="K169" s="28"/>
      <c r="L169" s="28"/>
      <c r="M169" s="64"/>
      <c r="N169" s="64"/>
      <c r="O169" s="64"/>
      <c r="P169" s="64"/>
      <c r="Q169" s="82"/>
      <c r="R169" s="279"/>
      <c r="S169" s="172"/>
      <c r="T169" s="174"/>
      <c r="U169" s="170"/>
      <c r="V169" s="170"/>
      <c r="W169" s="170"/>
      <c r="X169" s="170"/>
    </row>
    <row r="170" spans="1:24">
      <c r="A170" s="202">
        <v>45551</v>
      </c>
      <c r="B170" s="31"/>
      <c r="C170" s="31"/>
      <c r="D170" s="59"/>
      <c r="E170" s="1"/>
      <c r="F170" s="1"/>
      <c r="G170" s="61"/>
      <c r="H170" s="61"/>
      <c r="I170" s="1"/>
      <c r="J170" s="1"/>
      <c r="K170" s="1"/>
      <c r="L170" s="1"/>
      <c r="M170" s="63"/>
      <c r="N170" s="63"/>
      <c r="O170" s="63"/>
      <c r="P170" s="63"/>
      <c r="Q170" s="83"/>
      <c r="R170" s="271"/>
      <c r="S170" s="140"/>
      <c r="T170" s="106"/>
      <c r="U170" s="106"/>
      <c r="V170" s="106"/>
      <c r="W170" s="106"/>
      <c r="X170" s="106"/>
    </row>
    <row r="171" spans="1:24">
      <c r="A171" s="201">
        <v>45552</v>
      </c>
      <c r="B171" s="30"/>
      <c r="C171" s="30"/>
      <c r="D171" s="59"/>
      <c r="E171" s="28"/>
      <c r="F171" s="28"/>
      <c r="G171" s="60"/>
      <c r="H171" s="60"/>
      <c r="I171" s="28"/>
      <c r="J171" s="28"/>
      <c r="K171" s="28"/>
      <c r="L171" s="28"/>
      <c r="M171" s="64"/>
      <c r="N171" s="64"/>
      <c r="O171" s="64"/>
      <c r="P171" s="64"/>
      <c r="Q171" s="82"/>
      <c r="R171" s="279"/>
      <c r="S171" s="172"/>
      <c r="T171" s="174"/>
      <c r="U171" s="170"/>
      <c r="V171" s="170"/>
      <c r="W171" s="170"/>
      <c r="X171" s="170"/>
    </row>
    <row r="172" spans="1:24">
      <c r="A172" s="202">
        <v>45553</v>
      </c>
      <c r="B172" s="31"/>
      <c r="C172" s="31"/>
      <c r="D172" s="59"/>
      <c r="E172" s="1"/>
      <c r="F172" s="1"/>
      <c r="G172" s="61"/>
      <c r="H172" s="61"/>
      <c r="I172" s="1"/>
      <c r="J172" s="1"/>
      <c r="K172" s="1"/>
      <c r="L172" s="1"/>
      <c r="M172" s="63"/>
      <c r="N172" s="63"/>
      <c r="O172" s="63"/>
      <c r="P172" s="63"/>
      <c r="Q172" s="83"/>
      <c r="R172" s="271"/>
      <c r="S172" s="140"/>
      <c r="T172" s="106"/>
      <c r="U172" s="106"/>
      <c r="V172" s="106"/>
      <c r="W172" s="106"/>
      <c r="X172" s="106"/>
    </row>
    <row r="173" spans="1:24">
      <c r="A173" s="201">
        <v>45554</v>
      </c>
      <c r="B173" s="30"/>
      <c r="C173" s="30"/>
      <c r="D173" s="59"/>
      <c r="E173" s="28"/>
      <c r="F173" s="28"/>
      <c r="G173" s="60"/>
      <c r="H173" s="60"/>
      <c r="I173" s="28"/>
      <c r="J173" s="28"/>
      <c r="K173" s="28"/>
      <c r="L173" s="28"/>
      <c r="M173" s="64"/>
      <c r="N173" s="64"/>
      <c r="O173" s="64"/>
      <c r="P173" s="64"/>
      <c r="Q173" s="82"/>
      <c r="R173" s="279"/>
      <c r="S173" s="172"/>
      <c r="T173" s="174"/>
      <c r="U173" s="170"/>
      <c r="V173" s="170"/>
      <c r="W173" s="170"/>
      <c r="X173" s="170"/>
    </row>
    <row r="174" spans="1:24">
      <c r="A174" s="202">
        <v>45555</v>
      </c>
      <c r="B174" s="31"/>
      <c r="C174" s="31"/>
      <c r="D174" s="59"/>
      <c r="E174" s="1"/>
      <c r="F174" s="1"/>
      <c r="G174" s="61"/>
      <c r="H174" s="61"/>
      <c r="I174" s="1"/>
      <c r="J174" s="1"/>
      <c r="K174" s="1"/>
      <c r="L174" s="1"/>
      <c r="M174" s="63"/>
      <c r="N174" s="63"/>
      <c r="O174" s="63"/>
      <c r="P174" s="63"/>
      <c r="Q174" s="83"/>
      <c r="R174" s="271"/>
      <c r="S174" s="140"/>
      <c r="T174" s="106"/>
      <c r="U174" s="106"/>
      <c r="V174" s="106"/>
      <c r="W174" s="106"/>
      <c r="X174" s="106"/>
    </row>
    <row r="175" spans="1:24">
      <c r="A175" s="201">
        <v>45556</v>
      </c>
      <c r="B175" s="30"/>
      <c r="C175" s="30"/>
      <c r="D175" s="59"/>
      <c r="E175" s="28"/>
      <c r="F175" s="28"/>
      <c r="G175" s="60"/>
      <c r="H175" s="60"/>
      <c r="I175" s="28"/>
      <c r="J175" s="28"/>
      <c r="K175" s="28"/>
      <c r="L175" s="28"/>
      <c r="M175" s="64"/>
      <c r="N175" s="64"/>
      <c r="O175" s="64"/>
      <c r="P175" s="64"/>
      <c r="Q175" s="82"/>
      <c r="R175" s="279"/>
      <c r="S175" s="172"/>
      <c r="T175" s="174"/>
      <c r="U175" s="170"/>
      <c r="V175" s="170"/>
      <c r="W175" s="170"/>
      <c r="X175" s="170"/>
    </row>
    <row r="176" spans="1:24">
      <c r="A176" s="202">
        <v>45557</v>
      </c>
      <c r="B176" s="31"/>
      <c r="C176" s="31"/>
      <c r="D176" s="59"/>
      <c r="E176" s="1"/>
      <c r="F176" s="1"/>
      <c r="G176" s="61"/>
      <c r="H176" s="61"/>
      <c r="I176" s="1"/>
      <c r="J176" s="1"/>
      <c r="K176" s="1"/>
      <c r="L176" s="1"/>
      <c r="M176" s="63"/>
      <c r="N176" s="63"/>
      <c r="O176" s="63"/>
      <c r="P176" s="63"/>
      <c r="Q176" s="83"/>
      <c r="R176" s="271"/>
      <c r="S176" s="140"/>
      <c r="T176" s="106"/>
      <c r="U176" s="106"/>
      <c r="V176" s="106"/>
      <c r="W176" s="106"/>
      <c r="X176" s="106"/>
    </row>
    <row r="177" spans="1:24">
      <c r="A177" s="201">
        <v>45558</v>
      </c>
      <c r="B177" s="30"/>
      <c r="C177" s="30"/>
      <c r="D177" s="59"/>
      <c r="E177" s="28"/>
      <c r="F177" s="28"/>
      <c r="G177" s="60"/>
      <c r="H177" s="60"/>
      <c r="I177" s="28"/>
      <c r="J177" s="28"/>
      <c r="K177" s="28"/>
      <c r="L177" s="28"/>
      <c r="M177" s="64"/>
      <c r="N177" s="64"/>
      <c r="O177" s="64"/>
      <c r="P177" s="64"/>
      <c r="Q177" s="82"/>
      <c r="R177" s="279"/>
      <c r="S177" s="172"/>
      <c r="T177" s="174"/>
      <c r="U177" s="170"/>
      <c r="V177" s="170"/>
      <c r="W177" s="170"/>
      <c r="X177" s="170"/>
    </row>
    <row r="178" spans="1:24">
      <c r="A178" s="202">
        <v>45559</v>
      </c>
      <c r="B178" s="31"/>
      <c r="C178" s="31"/>
      <c r="D178" s="59"/>
      <c r="E178" s="1"/>
      <c r="F178" s="1"/>
      <c r="G178" s="61"/>
      <c r="H178" s="61"/>
      <c r="I178" s="1"/>
      <c r="J178" s="1"/>
      <c r="K178" s="1"/>
      <c r="L178" s="1"/>
      <c r="M178" s="63"/>
      <c r="N178" s="63"/>
      <c r="O178" s="63"/>
      <c r="P178" s="63"/>
      <c r="Q178" s="83"/>
      <c r="R178" s="271"/>
      <c r="S178" s="140"/>
      <c r="T178" s="106"/>
      <c r="U178" s="106"/>
      <c r="V178" s="106"/>
      <c r="W178" s="106"/>
      <c r="X178" s="106"/>
    </row>
    <row r="179" spans="1:24">
      <c r="A179" s="201">
        <v>45560</v>
      </c>
      <c r="B179" s="30"/>
      <c r="C179" s="30"/>
      <c r="D179" s="59"/>
      <c r="E179" s="28"/>
      <c r="F179" s="28"/>
      <c r="G179" s="60"/>
      <c r="H179" s="60"/>
      <c r="I179" s="28"/>
      <c r="J179" s="28"/>
      <c r="K179" s="28"/>
      <c r="L179" s="28"/>
      <c r="M179" s="64"/>
      <c r="N179" s="64"/>
      <c r="O179" s="64"/>
      <c r="P179" s="64"/>
      <c r="Q179" s="82"/>
      <c r="R179" s="279"/>
      <c r="S179" s="172"/>
      <c r="T179" s="174"/>
      <c r="U179" s="170"/>
      <c r="V179" s="170"/>
      <c r="W179" s="170"/>
      <c r="X179" s="170"/>
    </row>
    <row r="180" spans="1:24">
      <c r="A180" s="202">
        <v>45561</v>
      </c>
      <c r="B180" s="31"/>
      <c r="C180" s="31"/>
      <c r="D180" s="59"/>
      <c r="E180" s="1"/>
      <c r="F180" s="1"/>
      <c r="G180" s="61"/>
      <c r="H180" s="61"/>
      <c r="I180" s="1"/>
      <c r="J180" s="1"/>
      <c r="K180" s="1"/>
      <c r="L180" s="1"/>
      <c r="M180" s="63"/>
      <c r="N180" s="63"/>
      <c r="O180" s="63"/>
      <c r="P180" s="63"/>
      <c r="Q180" s="83"/>
      <c r="R180" s="271"/>
      <c r="S180" s="140"/>
      <c r="T180" s="106"/>
      <c r="U180" s="106"/>
      <c r="V180" s="106"/>
      <c r="W180" s="106"/>
      <c r="X180" s="106"/>
    </row>
    <row r="181" spans="1:24">
      <c r="A181" s="201">
        <v>45562</v>
      </c>
      <c r="B181" s="30"/>
      <c r="C181" s="30"/>
      <c r="D181" s="59"/>
      <c r="E181" s="28"/>
      <c r="F181" s="28"/>
      <c r="G181" s="60"/>
      <c r="H181" s="60"/>
      <c r="I181" s="28"/>
      <c r="J181" s="28"/>
      <c r="K181" s="28"/>
      <c r="L181" s="28"/>
      <c r="M181" s="64"/>
      <c r="N181" s="64"/>
      <c r="O181" s="64"/>
      <c r="P181" s="64"/>
      <c r="Q181" s="82"/>
      <c r="R181" s="279"/>
      <c r="S181" s="172"/>
      <c r="T181" s="174"/>
      <c r="U181" s="170"/>
      <c r="V181" s="170"/>
      <c r="W181" s="170"/>
      <c r="X181" s="170"/>
    </row>
    <row r="182" spans="1:24">
      <c r="A182" s="202">
        <v>45563</v>
      </c>
      <c r="B182" s="31"/>
      <c r="C182" s="31"/>
      <c r="D182" s="59"/>
      <c r="E182" s="1"/>
      <c r="F182" s="1"/>
      <c r="G182" s="61"/>
      <c r="H182" s="61"/>
      <c r="I182" s="1"/>
      <c r="J182" s="1"/>
      <c r="K182" s="1"/>
      <c r="L182" s="1"/>
      <c r="M182" s="63"/>
      <c r="N182" s="63"/>
      <c r="O182" s="63"/>
      <c r="P182" s="63"/>
      <c r="Q182" s="83"/>
      <c r="R182" s="271"/>
      <c r="S182" s="140"/>
      <c r="T182" s="106"/>
      <c r="U182" s="106"/>
      <c r="V182" s="106"/>
      <c r="W182" s="106"/>
      <c r="X182" s="106"/>
    </row>
    <row r="183" spans="1:24">
      <c r="A183" s="201">
        <v>45564</v>
      </c>
      <c r="B183" s="30"/>
      <c r="C183" s="30"/>
      <c r="D183" s="59"/>
      <c r="E183" s="28"/>
      <c r="F183" s="28"/>
      <c r="G183" s="60"/>
      <c r="H183" s="60"/>
      <c r="I183" s="28"/>
      <c r="J183" s="265"/>
      <c r="K183" s="265"/>
      <c r="L183" s="265"/>
      <c r="M183" s="64"/>
      <c r="N183" s="64"/>
      <c r="O183" s="64"/>
      <c r="P183" s="64"/>
      <c r="Q183" s="82"/>
      <c r="R183" s="279"/>
      <c r="S183" s="172"/>
      <c r="T183" s="174"/>
      <c r="U183" s="170"/>
      <c r="V183" s="170"/>
      <c r="W183" s="170"/>
      <c r="X183" s="170"/>
    </row>
    <row r="184" spans="1:24">
      <c r="A184" s="202">
        <v>45565</v>
      </c>
      <c r="B184" s="31"/>
      <c r="C184" s="31"/>
      <c r="D184" s="59"/>
      <c r="E184" s="1"/>
      <c r="F184" s="1"/>
      <c r="G184" s="61"/>
      <c r="H184" s="61"/>
      <c r="I184" s="1"/>
      <c r="J184" s="1"/>
      <c r="K184" s="1"/>
      <c r="L184" s="1"/>
      <c r="M184" s="63"/>
      <c r="N184" s="63"/>
      <c r="O184" s="63"/>
      <c r="P184" s="63"/>
      <c r="Q184" s="83"/>
      <c r="R184" s="271"/>
      <c r="S184" s="140"/>
      <c r="T184" s="106"/>
      <c r="U184" s="106"/>
      <c r="V184" s="106"/>
      <c r="W184" s="106"/>
      <c r="X184" s="106"/>
    </row>
    <row r="185" spans="1:24" s="362" customFormat="1">
      <c r="A185" s="389">
        <v>45566</v>
      </c>
      <c r="B185" s="376"/>
      <c r="C185" s="376"/>
      <c r="D185" s="59"/>
      <c r="E185" s="363"/>
      <c r="F185" s="363"/>
      <c r="G185" s="377"/>
      <c r="H185" s="377"/>
      <c r="I185" s="363"/>
      <c r="J185" s="363"/>
      <c r="K185" s="363"/>
      <c r="L185" s="363"/>
      <c r="M185" s="117"/>
      <c r="N185" s="117"/>
      <c r="O185" s="117"/>
      <c r="P185" s="117"/>
      <c r="Q185" s="164"/>
      <c r="R185" s="273"/>
      <c r="S185" s="165"/>
      <c r="T185" s="166"/>
      <c r="U185" s="166"/>
      <c r="V185" s="166"/>
      <c r="W185" s="166"/>
      <c r="X185" s="166"/>
    </row>
    <row r="186" spans="1:24">
      <c r="A186" s="201">
        <v>45567</v>
      </c>
      <c r="B186" s="30"/>
      <c r="C186" s="30"/>
      <c r="D186" s="59"/>
      <c r="E186" s="28"/>
      <c r="F186" s="28"/>
      <c r="G186" s="60"/>
      <c r="H186" s="60"/>
      <c r="I186" s="28"/>
      <c r="J186" s="28"/>
      <c r="K186" s="28"/>
      <c r="L186" s="28"/>
      <c r="M186" s="64"/>
      <c r="N186" s="64"/>
      <c r="O186" s="64"/>
      <c r="P186" s="64"/>
      <c r="Q186" s="82"/>
      <c r="R186" s="279"/>
      <c r="S186" s="172"/>
      <c r="T186" s="174"/>
      <c r="U186" s="170"/>
      <c r="V186" s="170"/>
      <c r="W186" s="170"/>
      <c r="X186" s="170"/>
    </row>
    <row r="187" spans="1:24">
      <c r="A187" s="202">
        <v>45568</v>
      </c>
      <c r="B187" s="31"/>
      <c r="C187" s="31"/>
      <c r="D187" s="59"/>
      <c r="E187" s="1"/>
      <c r="F187" s="1"/>
      <c r="G187" s="61"/>
      <c r="H187" s="61"/>
      <c r="I187" s="1"/>
      <c r="J187" s="1"/>
      <c r="K187" s="1"/>
      <c r="L187" s="1"/>
      <c r="M187" s="63"/>
      <c r="N187" s="63"/>
      <c r="O187" s="63"/>
      <c r="P187" s="63"/>
      <c r="Q187" s="83"/>
      <c r="R187" s="271"/>
      <c r="S187" s="140"/>
      <c r="T187" s="106"/>
      <c r="U187" s="106"/>
      <c r="V187" s="106"/>
      <c r="W187" s="106"/>
      <c r="X187" s="106"/>
    </row>
    <row r="188" spans="1:24">
      <c r="A188" s="201">
        <v>45569</v>
      </c>
      <c r="B188" s="30"/>
      <c r="C188" s="30"/>
      <c r="D188" s="59"/>
      <c r="E188" s="28"/>
      <c r="F188" s="28"/>
      <c r="G188" s="60"/>
      <c r="H188" s="60"/>
      <c r="I188" s="28"/>
      <c r="J188" s="28"/>
      <c r="K188" s="28"/>
      <c r="L188" s="28"/>
      <c r="M188" s="64"/>
      <c r="N188" s="64"/>
      <c r="O188" s="64"/>
      <c r="P188" s="64"/>
      <c r="Q188" s="82"/>
      <c r="R188" s="272"/>
      <c r="S188" s="157"/>
      <c r="T188" s="170"/>
      <c r="U188" s="170"/>
      <c r="V188" s="170"/>
      <c r="W188" s="170"/>
      <c r="X188" s="170"/>
    </row>
    <row r="189" spans="1:24">
      <c r="A189" s="202">
        <v>45570</v>
      </c>
      <c r="B189" s="31"/>
      <c r="C189" s="31"/>
      <c r="D189" s="59"/>
      <c r="E189" s="1"/>
      <c r="F189" s="1"/>
      <c r="G189" s="61"/>
      <c r="H189" s="61"/>
      <c r="I189" s="1"/>
      <c r="J189" s="1"/>
      <c r="K189" s="1"/>
      <c r="L189" s="1"/>
      <c r="M189" s="63"/>
      <c r="N189" s="63"/>
      <c r="O189" s="63"/>
      <c r="P189" s="63"/>
      <c r="Q189" s="83"/>
      <c r="R189" s="271"/>
      <c r="S189" s="140"/>
      <c r="T189" s="106"/>
      <c r="U189" s="106"/>
      <c r="V189" s="106"/>
      <c r="W189" s="106"/>
      <c r="X189" s="106"/>
    </row>
    <row r="190" spans="1:24">
      <c r="A190" s="201">
        <v>45571</v>
      </c>
      <c r="B190" s="30"/>
      <c r="C190" s="30"/>
      <c r="D190" s="59"/>
      <c r="E190" s="28"/>
      <c r="F190" s="28"/>
      <c r="G190" s="60"/>
      <c r="H190" s="60"/>
      <c r="I190" s="28"/>
      <c r="J190" s="28"/>
      <c r="K190" s="28"/>
      <c r="L190" s="28"/>
      <c r="M190" s="64"/>
      <c r="N190" s="64"/>
      <c r="O190" s="64"/>
      <c r="P190" s="64"/>
      <c r="Q190" s="82"/>
      <c r="R190" s="272"/>
      <c r="S190" s="157"/>
      <c r="T190" s="170"/>
      <c r="U190" s="170"/>
      <c r="V190" s="170"/>
      <c r="W190" s="170"/>
      <c r="X190" s="170"/>
    </row>
    <row r="191" spans="1:24">
      <c r="A191" s="202">
        <v>45572</v>
      </c>
      <c r="B191" s="31"/>
      <c r="C191" s="31"/>
      <c r="D191" s="59"/>
      <c r="E191" s="1"/>
      <c r="F191" s="1"/>
      <c r="G191" s="61"/>
      <c r="H191" s="61"/>
      <c r="I191" s="1"/>
      <c r="J191" s="1"/>
      <c r="K191" s="1"/>
      <c r="L191" s="1"/>
      <c r="M191" s="63"/>
      <c r="N191" s="63"/>
      <c r="O191" s="63"/>
      <c r="P191" s="63"/>
      <c r="Q191" s="83"/>
      <c r="R191" s="271"/>
      <c r="S191" s="140"/>
      <c r="T191" s="106"/>
      <c r="U191" s="106"/>
      <c r="V191" s="106"/>
      <c r="W191" s="106"/>
      <c r="X191" s="106"/>
    </row>
    <row r="192" spans="1:24">
      <c r="A192" s="201">
        <v>45573</v>
      </c>
      <c r="B192" s="30"/>
      <c r="C192" s="30"/>
      <c r="D192" s="59"/>
      <c r="E192" s="28"/>
      <c r="F192" s="28"/>
      <c r="G192" s="60"/>
      <c r="H192" s="60"/>
      <c r="I192" s="28"/>
      <c r="J192" s="28"/>
      <c r="K192" s="28"/>
      <c r="L192" s="28"/>
      <c r="M192" s="64"/>
      <c r="N192" s="64"/>
      <c r="O192" s="64"/>
      <c r="P192" s="64"/>
      <c r="Q192" s="82"/>
      <c r="R192" s="272"/>
      <c r="S192" s="157"/>
      <c r="T192" s="170"/>
      <c r="U192" s="170"/>
      <c r="V192" s="170"/>
      <c r="W192" s="170"/>
      <c r="X192" s="170"/>
    </row>
    <row r="193" spans="1:24">
      <c r="A193" s="202">
        <v>45574</v>
      </c>
      <c r="B193" s="31"/>
      <c r="C193" s="31"/>
      <c r="D193" s="59"/>
      <c r="E193" s="1"/>
      <c r="F193" s="1"/>
      <c r="G193" s="61"/>
      <c r="H193" s="61"/>
      <c r="I193" s="1"/>
      <c r="J193" s="1"/>
      <c r="K193" s="1"/>
      <c r="L193" s="1"/>
      <c r="M193" s="63"/>
      <c r="N193" s="63"/>
      <c r="O193" s="63"/>
      <c r="P193" s="63"/>
      <c r="Q193" s="83"/>
      <c r="R193" s="278"/>
      <c r="S193" s="171"/>
      <c r="T193" s="173"/>
      <c r="U193" s="106"/>
      <c r="V193" s="106"/>
      <c r="W193" s="106"/>
      <c r="X193" s="106"/>
    </row>
    <row r="194" spans="1:24">
      <c r="A194" s="201">
        <v>45575</v>
      </c>
      <c r="B194" s="30"/>
      <c r="C194" s="30"/>
      <c r="D194" s="59"/>
      <c r="E194" s="28"/>
      <c r="F194" s="28"/>
      <c r="G194" s="60"/>
      <c r="H194" s="60"/>
      <c r="I194" s="28"/>
      <c r="J194" s="28"/>
      <c r="K194" s="28"/>
      <c r="L194" s="28"/>
      <c r="M194" s="64"/>
      <c r="N194" s="64"/>
      <c r="O194" s="64"/>
      <c r="P194" s="64"/>
      <c r="Q194" s="82"/>
      <c r="R194" s="272"/>
      <c r="S194" s="157"/>
      <c r="T194" s="170"/>
      <c r="U194" s="170"/>
      <c r="V194" s="170"/>
      <c r="W194" s="170"/>
      <c r="X194" s="170"/>
    </row>
    <row r="195" spans="1:24">
      <c r="A195" s="202">
        <v>45576</v>
      </c>
      <c r="B195" s="31"/>
      <c r="C195" s="31"/>
      <c r="D195" s="59"/>
      <c r="E195" s="1"/>
      <c r="F195" s="1"/>
      <c r="G195" s="61"/>
      <c r="H195" s="61"/>
      <c r="I195" s="1"/>
      <c r="J195" s="1"/>
      <c r="K195" s="1"/>
      <c r="L195" s="1"/>
      <c r="M195" s="63"/>
      <c r="N195" s="63"/>
      <c r="O195" s="63"/>
      <c r="P195" s="63"/>
      <c r="Q195" s="83"/>
      <c r="R195" s="271"/>
      <c r="S195" s="140"/>
      <c r="T195" s="106"/>
      <c r="U195" s="106"/>
      <c r="V195" s="106"/>
      <c r="W195" s="106"/>
      <c r="X195" s="106"/>
    </row>
    <row r="196" spans="1:24">
      <c r="A196" s="201">
        <v>45577</v>
      </c>
      <c r="B196" s="30"/>
      <c r="C196" s="30"/>
      <c r="D196" s="59"/>
      <c r="E196" s="28"/>
      <c r="F196" s="28"/>
      <c r="G196" s="60"/>
      <c r="H196" s="60"/>
      <c r="I196" s="28"/>
      <c r="J196" s="28"/>
      <c r="K196" s="28"/>
      <c r="L196" s="28"/>
      <c r="M196" s="64"/>
      <c r="N196" s="64"/>
      <c r="O196" s="64"/>
      <c r="P196" s="64"/>
      <c r="Q196" s="82"/>
      <c r="R196" s="272"/>
      <c r="S196" s="157"/>
      <c r="T196" s="170"/>
      <c r="U196" s="170"/>
      <c r="V196" s="170"/>
      <c r="W196" s="170"/>
      <c r="X196" s="170"/>
    </row>
    <row r="197" spans="1:24">
      <c r="A197" s="202">
        <v>45578</v>
      </c>
      <c r="B197" s="31"/>
      <c r="C197" s="31"/>
      <c r="D197" s="59"/>
      <c r="E197" s="1"/>
      <c r="F197" s="1"/>
      <c r="G197" s="61"/>
      <c r="H197" s="61"/>
      <c r="I197" s="1"/>
      <c r="J197" s="1"/>
      <c r="K197" s="1"/>
      <c r="L197" s="1"/>
      <c r="M197" s="63"/>
      <c r="N197" s="63"/>
      <c r="O197" s="63"/>
      <c r="P197" s="63"/>
      <c r="Q197" s="83"/>
      <c r="R197" s="271"/>
      <c r="S197" s="140"/>
      <c r="T197" s="106"/>
      <c r="U197" s="106"/>
      <c r="V197" s="106"/>
      <c r="W197" s="106"/>
      <c r="X197" s="106"/>
    </row>
    <row r="198" spans="1:24">
      <c r="A198" s="201">
        <v>45579</v>
      </c>
      <c r="B198" s="30"/>
      <c r="C198" s="30"/>
      <c r="D198" s="59"/>
      <c r="E198" s="28"/>
      <c r="F198" s="28"/>
      <c r="G198" s="60"/>
      <c r="H198" s="60"/>
      <c r="I198" s="28"/>
      <c r="J198" s="28"/>
      <c r="K198" s="28"/>
      <c r="L198" s="28"/>
      <c r="M198" s="64"/>
      <c r="N198" s="64"/>
      <c r="O198" s="64"/>
      <c r="P198" s="64"/>
      <c r="Q198" s="82"/>
      <c r="R198" s="272"/>
      <c r="S198" s="157"/>
      <c r="T198" s="170"/>
      <c r="U198" s="170"/>
      <c r="V198" s="170"/>
      <c r="W198" s="170"/>
      <c r="X198" s="170"/>
    </row>
    <row r="199" spans="1:24">
      <c r="A199" s="202">
        <v>45580</v>
      </c>
      <c r="B199" s="31"/>
      <c r="C199" s="31"/>
      <c r="D199" s="59"/>
      <c r="E199" s="1"/>
      <c r="F199" s="1"/>
      <c r="G199" s="61"/>
      <c r="H199" s="61"/>
      <c r="I199" s="1"/>
      <c r="J199" s="1"/>
      <c r="K199" s="1"/>
      <c r="L199" s="1"/>
      <c r="M199" s="63"/>
      <c r="N199" s="63"/>
      <c r="O199" s="63"/>
      <c r="P199" s="63"/>
      <c r="Q199" s="83"/>
      <c r="R199" s="271"/>
      <c r="S199" s="140"/>
      <c r="T199" s="106"/>
      <c r="U199" s="106"/>
      <c r="V199" s="106"/>
      <c r="W199" s="106"/>
      <c r="X199" s="106"/>
    </row>
    <row r="200" spans="1:24">
      <c r="A200" s="201">
        <v>45581</v>
      </c>
      <c r="B200" s="30"/>
      <c r="C200" s="30"/>
      <c r="D200" s="59"/>
      <c r="E200" s="28"/>
      <c r="F200" s="28"/>
      <c r="G200" s="60"/>
      <c r="H200" s="60"/>
      <c r="I200" s="28"/>
      <c r="J200" s="28"/>
      <c r="K200" s="28"/>
      <c r="L200" s="28"/>
      <c r="M200" s="64"/>
      <c r="N200" s="64"/>
      <c r="O200" s="64"/>
      <c r="P200" s="64"/>
      <c r="Q200" s="82"/>
      <c r="R200" s="279"/>
      <c r="S200" s="172"/>
      <c r="T200" s="174"/>
      <c r="U200" s="170"/>
      <c r="V200" s="170"/>
      <c r="W200" s="170"/>
      <c r="X200" s="170"/>
    </row>
    <row r="201" spans="1:24">
      <c r="A201" s="202">
        <v>45582</v>
      </c>
      <c r="B201" s="31"/>
      <c r="C201" s="31"/>
      <c r="D201" s="59"/>
      <c r="E201" s="1"/>
      <c r="F201" s="1"/>
      <c r="G201" s="61"/>
      <c r="H201" s="61"/>
      <c r="I201" s="1"/>
      <c r="J201" s="1"/>
      <c r="K201" s="1"/>
      <c r="L201" s="1"/>
      <c r="M201" s="63"/>
      <c r="N201" s="63"/>
      <c r="O201" s="63"/>
      <c r="P201" s="63"/>
      <c r="Q201" s="83"/>
      <c r="R201" s="271"/>
      <c r="S201" s="140"/>
      <c r="T201" s="106"/>
      <c r="U201" s="106"/>
      <c r="V201" s="106"/>
      <c r="W201" s="106"/>
      <c r="X201" s="106"/>
    </row>
    <row r="202" spans="1:24">
      <c r="A202" s="201">
        <v>45583</v>
      </c>
      <c r="B202" s="30"/>
      <c r="C202" s="30"/>
      <c r="D202" s="59"/>
      <c r="E202" s="28"/>
      <c r="F202" s="28"/>
      <c r="G202" s="60"/>
      <c r="H202" s="60"/>
      <c r="I202" s="28"/>
      <c r="J202" s="28"/>
      <c r="K202" s="28"/>
      <c r="L202" s="28"/>
      <c r="M202" s="64"/>
      <c r="N202" s="64"/>
      <c r="O202" s="64"/>
      <c r="P202" s="64"/>
      <c r="Q202" s="82"/>
      <c r="R202" s="272"/>
      <c r="S202" s="157"/>
      <c r="T202" s="170"/>
      <c r="U202" s="170"/>
      <c r="V202" s="170"/>
      <c r="W202" s="170"/>
      <c r="X202" s="170"/>
    </row>
    <row r="203" spans="1:24">
      <c r="A203" s="202">
        <v>45584</v>
      </c>
      <c r="B203" s="31"/>
      <c r="C203" s="31"/>
      <c r="D203" s="59"/>
      <c r="E203" s="1"/>
      <c r="F203" s="1"/>
      <c r="G203" s="61"/>
      <c r="H203" s="61"/>
      <c r="I203" s="1"/>
      <c r="J203" s="1"/>
      <c r="K203" s="1"/>
      <c r="L203" s="1"/>
      <c r="M203" s="63"/>
      <c r="N203" s="63"/>
      <c r="O203" s="63"/>
      <c r="P203" s="63"/>
      <c r="Q203" s="83"/>
      <c r="R203" s="271"/>
      <c r="S203" s="140"/>
      <c r="T203" s="106"/>
      <c r="U203" s="106"/>
      <c r="V203" s="106"/>
      <c r="W203" s="106"/>
      <c r="X203" s="106"/>
    </row>
    <row r="204" spans="1:24">
      <c r="A204" s="201">
        <v>45585</v>
      </c>
      <c r="B204" s="30"/>
      <c r="C204" s="30"/>
      <c r="D204" s="59"/>
      <c r="E204" s="28"/>
      <c r="F204" s="28"/>
      <c r="G204" s="60"/>
      <c r="H204" s="60"/>
      <c r="I204" s="28"/>
      <c r="J204" s="28"/>
      <c r="K204" s="28"/>
      <c r="L204" s="28"/>
      <c r="M204" s="64"/>
      <c r="N204" s="64"/>
      <c r="O204" s="117"/>
      <c r="P204" s="64"/>
      <c r="Q204" s="82"/>
      <c r="R204" s="272"/>
      <c r="S204" s="157"/>
      <c r="T204" s="170"/>
      <c r="U204" s="170"/>
      <c r="V204" s="170"/>
      <c r="W204" s="170"/>
      <c r="X204" s="170"/>
    </row>
    <row r="205" spans="1:24">
      <c r="A205" s="202">
        <v>45586</v>
      </c>
      <c r="B205" s="31"/>
      <c r="C205" s="31"/>
      <c r="D205" s="59"/>
      <c r="E205" s="1"/>
      <c r="F205" s="1"/>
      <c r="G205" s="61"/>
      <c r="H205" s="61"/>
      <c r="I205" s="1"/>
      <c r="J205" s="1"/>
      <c r="K205" s="1"/>
      <c r="L205" s="1"/>
      <c r="M205" s="63"/>
      <c r="N205" s="63"/>
      <c r="O205" s="63"/>
      <c r="P205" s="63"/>
      <c r="Q205" s="83"/>
      <c r="R205" s="271"/>
      <c r="S205" s="140"/>
      <c r="T205" s="106"/>
      <c r="U205" s="106"/>
      <c r="V205" s="106"/>
      <c r="W205" s="106"/>
      <c r="X205" s="106"/>
    </row>
    <row r="206" spans="1:24">
      <c r="A206" s="201">
        <v>45587</v>
      </c>
      <c r="B206" s="30"/>
      <c r="C206" s="30"/>
      <c r="D206" s="59"/>
      <c r="E206" s="28"/>
      <c r="F206" s="28"/>
      <c r="G206" s="60"/>
      <c r="H206" s="60"/>
      <c r="I206" s="28"/>
      <c r="J206" s="28"/>
      <c r="K206" s="28"/>
      <c r="L206" s="28"/>
      <c r="M206" s="64"/>
      <c r="N206" s="64"/>
      <c r="O206" s="64"/>
      <c r="P206" s="64"/>
      <c r="Q206" s="82"/>
      <c r="R206" s="272"/>
      <c r="S206" s="157"/>
      <c r="T206" s="170"/>
      <c r="U206" s="170"/>
      <c r="V206" s="170"/>
      <c r="W206" s="170"/>
      <c r="X206" s="170"/>
    </row>
    <row r="207" spans="1:24">
      <c r="A207" s="202">
        <v>45588</v>
      </c>
      <c r="B207" s="31"/>
      <c r="C207" s="31"/>
      <c r="D207" s="59"/>
      <c r="E207" s="1"/>
      <c r="F207" s="1"/>
      <c r="G207" s="61"/>
      <c r="H207" s="61"/>
      <c r="I207" s="1"/>
      <c r="J207" s="1"/>
      <c r="K207" s="1"/>
      <c r="L207" s="1"/>
      <c r="M207" s="63"/>
      <c r="N207" s="63"/>
      <c r="O207" s="63"/>
      <c r="P207" s="63"/>
      <c r="Q207" s="83"/>
      <c r="R207" s="271"/>
      <c r="S207" s="140"/>
      <c r="T207" s="106"/>
      <c r="U207" s="106"/>
      <c r="V207" s="106"/>
      <c r="W207" s="106"/>
      <c r="X207" s="106"/>
    </row>
    <row r="208" spans="1:24">
      <c r="A208" s="201">
        <v>45589</v>
      </c>
      <c r="B208" s="30"/>
      <c r="C208" s="30"/>
      <c r="D208" s="59"/>
      <c r="E208" s="28"/>
      <c r="F208" s="28"/>
      <c r="G208" s="60"/>
      <c r="H208" s="60"/>
      <c r="I208" s="28"/>
      <c r="J208" s="28"/>
      <c r="K208" s="28"/>
      <c r="L208" s="28"/>
      <c r="M208" s="64"/>
      <c r="N208" s="64"/>
      <c r="O208" s="64"/>
      <c r="P208" s="64"/>
      <c r="Q208" s="82"/>
      <c r="R208" s="272"/>
      <c r="S208" s="157"/>
      <c r="T208" s="170"/>
      <c r="U208" s="170"/>
      <c r="V208" s="170"/>
      <c r="W208" s="170"/>
      <c r="X208" s="170"/>
    </row>
    <row r="209" spans="1:29">
      <c r="A209" s="202">
        <v>45590</v>
      </c>
      <c r="B209" s="31"/>
      <c r="C209" s="31"/>
      <c r="D209" s="59"/>
      <c r="E209" s="1"/>
      <c r="F209" s="1"/>
      <c r="G209" s="61"/>
      <c r="H209" s="61"/>
      <c r="I209" s="1"/>
      <c r="J209" s="1"/>
      <c r="K209" s="1"/>
      <c r="L209" s="1"/>
      <c r="M209" s="63"/>
      <c r="N209" s="63"/>
      <c r="O209" s="63"/>
      <c r="P209" s="63"/>
      <c r="Q209" s="83"/>
      <c r="R209" s="271"/>
      <c r="S209" s="140"/>
      <c r="T209" s="106"/>
      <c r="U209" s="106"/>
      <c r="V209" s="106"/>
      <c r="W209" s="106"/>
      <c r="X209" s="106"/>
    </row>
    <row r="210" spans="1:29">
      <c r="A210" s="201">
        <v>45591</v>
      </c>
      <c r="B210" s="30"/>
      <c r="C210" s="30"/>
      <c r="D210" s="59"/>
      <c r="E210" s="28"/>
      <c r="F210" s="28"/>
      <c r="G210" s="60"/>
      <c r="H210" s="60"/>
      <c r="I210" s="28"/>
      <c r="J210" s="28"/>
      <c r="K210" s="28"/>
      <c r="L210" s="28"/>
      <c r="M210" s="64"/>
      <c r="N210" s="64"/>
      <c r="O210" s="64"/>
      <c r="P210" s="64"/>
      <c r="Q210" s="82"/>
      <c r="R210" s="272"/>
      <c r="S210" s="157"/>
      <c r="T210" s="170"/>
      <c r="U210" s="170"/>
      <c r="V210" s="170"/>
      <c r="W210" s="170"/>
      <c r="X210" s="170"/>
    </row>
    <row r="211" spans="1:29">
      <c r="A211" s="202">
        <v>45592</v>
      </c>
      <c r="B211" s="31"/>
      <c r="C211" s="31"/>
      <c r="D211" s="59"/>
      <c r="E211" s="1"/>
      <c r="F211" s="1"/>
      <c r="G211" s="61"/>
      <c r="H211" s="61"/>
      <c r="I211" s="1"/>
      <c r="J211" s="1"/>
      <c r="K211" s="1"/>
      <c r="L211" s="1"/>
      <c r="M211" s="63"/>
      <c r="N211" s="63"/>
      <c r="O211" s="63"/>
      <c r="P211" s="63"/>
      <c r="Q211" s="83"/>
      <c r="R211" s="271"/>
      <c r="S211" s="140"/>
      <c r="T211" s="106"/>
      <c r="U211" s="106"/>
      <c r="V211" s="106"/>
      <c r="W211" s="106"/>
      <c r="X211" s="106"/>
    </row>
    <row r="212" spans="1:29">
      <c r="A212" s="201">
        <v>45593</v>
      </c>
      <c r="B212" s="30"/>
      <c r="C212" s="30"/>
      <c r="D212" s="59"/>
      <c r="E212" s="28"/>
      <c r="F212" s="28"/>
      <c r="G212" s="60"/>
      <c r="H212" s="60"/>
      <c r="I212" s="28"/>
      <c r="J212" s="28"/>
      <c r="K212" s="28"/>
      <c r="L212" s="28"/>
      <c r="M212" s="64"/>
      <c r="N212" s="64"/>
      <c r="O212" s="64"/>
      <c r="P212" s="64"/>
      <c r="Q212" s="82"/>
      <c r="R212" s="272"/>
      <c r="S212" s="157"/>
      <c r="T212" s="170"/>
      <c r="U212" s="170"/>
      <c r="V212" s="170"/>
      <c r="W212" s="170"/>
      <c r="X212" s="170"/>
    </row>
    <row r="213" spans="1:29">
      <c r="A213" s="202">
        <v>45594</v>
      </c>
      <c r="B213" s="31"/>
      <c r="C213" s="31"/>
      <c r="D213" s="59"/>
      <c r="E213" s="1"/>
      <c r="F213" s="1"/>
      <c r="G213" s="61"/>
      <c r="H213" s="61"/>
      <c r="I213" s="1"/>
      <c r="J213" s="1"/>
      <c r="K213" s="1"/>
      <c r="L213" s="1"/>
      <c r="M213" s="63"/>
      <c r="N213" s="63"/>
      <c r="O213" s="63"/>
      <c r="P213" s="63"/>
      <c r="Q213" s="83"/>
      <c r="R213" s="271"/>
      <c r="S213" s="140"/>
      <c r="T213" s="106"/>
      <c r="U213" s="106"/>
      <c r="V213" s="106"/>
      <c r="W213" s="106"/>
      <c r="X213" s="106"/>
    </row>
    <row r="214" spans="1:29">
      <c r="A214" s="201">
        <v>45595</v>
      </c>
      <c r="B214" s="30"/>
      <c r="C214" s="30"/>
      <c r="D214" s="59"/>
      <c r="E214" s="28"/>
      <c r="F214" s="28"/>
      <c r="G214" s="60"/>
      <c r="H214" s="60"/>
      <c r="I214" s="28"/>
      <c r="J214" s="28"/>
      <c r="K214" s="28"/>
      <c r="L214" s="28"/>
      <c r="M214" s="64"/>
      <c r="N214" s="64"/>
      <c r="O214" s="64"/>
      <c r="P214" s="64"/>
      <c r="Q214" s="82"/>
      <c r="R214" s="272"/>
      <c r="S214" s="157"/>
      <c r="T214" s="170"/>
      <c r="U214" s="170"/>
      <c r="V214" s="170"/>
      <c r="W214" s="170"/>
      <c r="X214" s="170"/>
    </row>
    <row r="215" spans="1:29" s="44" customFormat="1">
      <c r="A215" s="390">
        <v>45596</v>
      </c>
      <c r="B215" s="72"/>
      <c r="C215" s="72"/>
      <c r="D215" s="72"/>
      <c r="E215" s="62"/>
      <c r="F215" s="62"/>
      <c r="G215" s="75"/>
      <c r="H215" s="75"/>
      <c r="I215" s="62"/>
      <c r="J215" s="62"/>
      <c r="K215" s="62"/>
      <c r="L215" s="62"/>
      <c r="M215" s="134"/>
      <c r="N215" s="134"/>
      <c r="O215" s="134"/>
      <c r="P215" s="134"/>
      <c r="Q215" s="135"/>
      <c r="R215" s="277"/>
      <c r="S215" s="160"/>
      <c r="T215" s="136"/>
      <c r="U215" s="136"/>
      <c r="V215" s="136"/>
      <c r="W215" s="136"/>
      <c r="X215" s="136"/>
      <c r="AB215"/>
      <c r="AC215"/>
    </row>
    <row r="216" spans="1:29">
      <c r="A216" s="391">
        <v>45597</v>
      </c>
      <c r="B216" s="177"/>
      <c r="C216" s="177"/>
      <c r="D216" s="59"/>
      <c r="E216" s="176"/>
      <c r="F216" s="176"/>
      <c r="G216" s="60"/>
      <c r="H216" s="60"/>
      <c r="I216" s="28"/>
      <c r="J216" s="28"/>
      <c r="K216" s="426"/>
      <c r="L216" s="426"/>
      <c r="M216" s="178"/>
      <c r="N216" s="178"/>
      <c r="O216" s="178"/>
      <c r="P216" s="178"/>
      <c r="Q216" s="179"/>
      <c r="R216" s="272"/>
      <c r="S216" s="172"/>
      <c r="T216" s="170"/>
      <c r="U216" s="170"/>
      <c r="V216" s="170"/>
      <c r="W216" s="170"/>
      <c r="X216" s="170"/>
    </row>
    <row r="217" spans="1:29">
      <c r="A217" s="202">
        <v>45598</v>
      </c>
      <c r="B217" s="31"/>
      <c r="C217" s="31"/>
      <c r="D217" s="59"/>
      <c r="E217" s="1"/>
      <c r="F217" s="1"/>
      <c r="G217" s="61"/>
      <c r="H217" s="61"/>
      <c r="I217" s="1"/>
      <c r="J217" s="1"/>
      <c r="K217" s="1"/>
      <c r="L217" s="1"/>
      <c r="M217" s="63"/>
      <c r="N217" s="63"/>
      <c r="O217" s="63"/>
      <c r="P217" s="63"/>
      <c r="Q217" s="83"/>
      <c r="R217" s="273"/>
      <c r="S217" s="140"/>
      <c r="T217" s="106"/>
      <c r="U217" s="106"/>
      <c r="V217" s="106"/>
      <c r="W217" s="106"/>
      <c r="X217" s="106"/>
    </row>
    <row r="218" spans="1:29">
      <c r="A218" s="201">
        <v>45599</v>
      </c>
      <c r="B218" s="30"/>
      <c r="C218" s="30"/>
      <c r="D218" s="59"/>
      <c r="E218" s="28"/>
      <c r="F218" s="28"/>
      <c r="G218" s="60"/>
      <c r="H218" s="60"/>
      <c r="I218" s="28"/>
      <c r="J218" s="28"/>
      <c r="K218" s="28"/>
      <c r="L218" s="28"/>
      <c r="M218" s="64"/>
      <c r="N218" s="64"/>
      <c r="O218" s="64"/>
      <c r="P218" s="64"/>
      <c r="Q218" s="82"/>
      <c r="R218" s="281"/>
      <c r="S218" s="157"/>
      <c r="T218" s="170"/>
      <c r="U218" s="170"/>
      <c r="V218" s="170"/>
      <c r="W218" s="170"/>
      <c r="X218" s="170"/>
    </row>
    <row r="219" spans="1:29">
      <c r="A219" s="202">
        <v>45600</v>
      </c>
      <c r="B219" s="31"/>
      <c r="C219" s="31"/>
      <c r="D219" s="59"/>
      <c r="E219" s="1"/>
      <c r="F219" s="1"/>
      <c r="G219" s="61"/>
      <c r="H219" s="61"/>
      <c r="I219" s="1"/>
      <c r="J219" s="1"/>
      <c r="K219" s="1"/>
      <c r="L219" s="1"/>
      <c r="M219" s="63"/>
      <c r="N219" s="63"/>
      <c r="O219" s="63"/>
      <c r="P219" s="63"/>
      <c r="Q219" s="83"/>
      <c r="R219" s="273"/>
      <c r="S219" s="140"/>
      <c r="T219" s="106"/>
      <c r="U219" s="106"/>
      <c r="V219" s="106"/>
      <c r="W219" s="106"/>
      <c r="X219" s="106"/>
    </row>
    <row r="220" spans="1:29">
      <c r="A220" s="201">
        <v>45601</v>
      </c>
      <c r="B220" s="30"/>
      <c r="C220" s="30"/>
      <c r="D220" s="59"/>
      <c r="E220" s="28"/>
      <c r="F220" s="28"/>
      <c r="G220" s="60"/>
      <c r="H220" s="60"/>
      <c r="I220" s="28"/>
      <c r="J220" s="28"/>
      <c r="K220" s="28"/>
      <c r="L220" s="28"/>
      <c r="M220" s="64"/>
      <c r="N220" s="82"/>
      <c r="O220" s="64"/>
      <c r="P220" s="64"/>
      <c r="Q220" s="82"/>
      <c r="R220" s="281"/>
      <c r="S220" s="157"/>
      <c r="T220" s="170"/>
      <c r="U220" s="170"/>
      <c r="V220" s="170"/>
      <c r="W220" s="170"/>
      <c r="X220" s="170"/>
    </row>
    <row r="221" spans="1:29">
      <c r="A221" s="202">
        <v>45602</v>
      </c>
      <c r="B221" s="31"/>
      <c r="C221" s="31"/>
      <c r="D221" s="59"/>
      <c r="E221" s="1"/>
      <c r="F221" s="1"/>
      <c r="G221" s="61"/>
      <c r="H221" s="61"/>
      <c r="I221" s="1"/>
      <c r="J221" s="1"/>
      <c r="K221" s="1"/>
      <c r="L221" s="1"/>
      <c r="M221" s="63"/>
      <c r="N221" s="63"/>
      <c r="O221" s="63"/>
      <c r="P221" s="63"/>
      <c r="Q221" s="83"/>
      <c r="R221" s="273"/>
      <c r="S221" s="140"/>
      <c r="T221" s="106"/>
      <c r="U221" s="106"/>
      <c r="V221" s="106"/>
      <c r="W221" s="106"/>
      <c r="X221" s="106"/>
    </row>
    <row r="222" spans="1:29">
      <c r="A222" s="201">
        <v>45603</v>
      </c>
      <c r="B222" s="30"/>
      <c r="C222" s="30"/>
      <c r="D222" s="59"/>
      <c r="E222" s="28"/>
      <c r="F222" s="28"/>
      <c r="G222" s="60"/>
      <c r="H222" s="60"/>
      <c r="I222" s="28"/>
      <c r="J222" s="28"/>
      <c r="K222" s="28"/>
      <c r="L222" s="28"/>
      <c r="M222" s="64"/>
      <c r="N222" s="64"/>
      <c r="O222" s="64"/>
      <c r="P222" s="64"/>
      <c r="Q222" s="82"/>
      <c r="R222" s="281"/>
      <c r="S222" s="157"/>
      <c r="T222" s="170"/>
      <c r="U222" s="170"/>
      <c r="V222" s="170"/>
      <c r="W222" s="170"/>
      <c r="X222" s="170"/>
      <c r="Z222" t="s">
        <v>56</v>
      </c>
      <c r="AA222">
        <f>SUM($E$93:$E$123)</f>
        <v>2698</v>
      </c>
    </row>
    <row r="223" spans="1:29">
      <c r="A223" s="202">
        <v>45604</v>
      </c>
      <c r="B223" s="31"/>
      <c r="C223" s="31"/>
      <c r="D223" s="59"/>
      <c r="E223" s="1"/>
      <c r="F223" s="1"/>
      <c r="G223" s="61"/>
      <c r="H223" s="61"/>
      <c r="I223" s="1"/>
      <c r="J223" s="1"/>
      <c r="K223" s="1"/>
      <c r="L223" s="1"/>
      <c r="M223" s="63"/>
      <c r="N223" s="63"/>
      <c r="O223" s="63"/>
      <c r="P223" s="63"/>
      <c r="Q223" s="83"/>
      <c r="R223" s="273"/>
      <c r="S223" s="140"/>
      <c r="T223" s="106"/>
      <c r="U223" s="106"/>
      <c r="V223" s="106"/>
      <c r="W223" s="106"/>
      <c r="X223" s="106"/>
      <c r="Z223" t="s">
        <v>57</v>
      </c>
      <c r="AA223">
        <f>SUM($F$93:$F$123)</f>
        <v>2395</v>
      </c>
    </row>
    <row r="224" spans="1:29">
      <c r="A224" s="201">
        <v>45605</v>
      </c>
      <c r="B224" s="30"/>
      <c r="C224" s="30"/>
      <c r="D224" s="59"/>
      <c r="E224" s="28"/>
      <c r="F224" s="28"/>
      <c r="G224" s="60"/>
      <c r="H224" s="60"/>
      <c r="I224" s="28"/>
      <c r="J224" s="28"/>
      <c r="K224" s="28"/>
      <c r="L224" s="28"/>
      <c r="M224" s="64"/>
      <c r="N224" s="64"/>
      <c r="O224" s="64"/>
      <c r="P224" s="64"/>
      <c r="Q224" s="82"/>
      <c r="R224" s="281"/>
      <c r="S224" s="157"/>
      <c r="T224" s="170"/>
      <c r="U224" s="170"/>
      <c r="V224" s="170"/>
      <c r="W224" s="170"/>
      <c r="X224" s="170"/>
      <c r="Z224" t="s">
        <v>71</v>
      </c>
      <c r="AA224" s="146">
        <f>AVERAGEIF($M$93:$M$123, "&lt;&gt;0")</f>
        <v>0.88629629629629658</v>
      </c>
    </row>
    <row r="225" spans="1:27">
      <c r="A225" s="202">
        <v>45606</v>
      </c>
      <c r="B225" s="31"/>
      <c r="C225" s="31"/>
      <c r="D225" s="59"/>
      <c r="E225" s="1"/>
      <c r="F225" s="1"/>
      <c r="G225" s="61"/>
      <c r="H225" s="61"/>
      <c r="I225" s="1"/>
      <c r="J225" s="1"/>
      <c r="K225" s="1"/>
      <c r="L225" s="1"/>
      <c r="M225" s="63"/>
      <c r="N225" s="63"/>
      <c r="O225" s="63"/>
      <c r="P225" s="63"/>
      <c r="Q225" s="83"/>
      <c r="R225" s="273"/>
      <c r="S225" s="140"/>
      <c r="T225" s="106"/>
      <c r="U225" s="106"/>
      <c r="V225" s="106"/>
      <c r="W225" s="106"/>
      <c r="X225" s="106"/>
      <c r="Z225" t="s">
        <v>42</v>
      </c>
      <c r="AA225" s="146">
        <f>AVERAGEIF($P$93:$P$123, "&lt;&gt;0")</f>
        <v>0.38269230769230772</v>
      </c>
    </row>
    <row r="226" spans="1:27">
      <c r="A226" s="201">
        <v>45607</v>
      </c>
      <c r="B226" s="30"/>
      <c r="C226" s="30"/>
      <c r="D226" s="59"/>
      <c r="E226" s="28"/>
      <c r="F226" s="28"/>
      <c r="G226" s="60"/>
      <c r="H226" s="60"/>
      <c r="I226" s="28"/>
      <c r="J226" s="28"/>
      <c r="K226" s="28"/>
      <c r="L226" s="28"/>
      <c r="M226" s="64"/>
      <c r="N226" s="64"/>
      <c r="O226" s="64"/>
      <c r="P226" s="64"/>
      <c r="Q226" s="82"/>
      <c r="R226" s="281"/>
      <c r="S226" s="157"/>
      <c r="T226" s="170"/>
      <c r="U226" s="170"/>
      <c r="V226" s="170"/>
      <c r="W226" s="170"/>
      <c r="X226" s="170"/>
      <c r="Z226" t="s">
        <v>43</v>
      </c>
    </row>
    <row r="227" spans="1:27">
      <c r="A227" s="202">
        <v>45608</v>
      </c>
      <c r="B227" s="31"/>
      <c r="C227" s="31"/>
      <c r="D227" s="59"/>
      <c r="E227" s="1"/>
      <c r="F227" s="1"/>
      <c r="G227" s="61"/>
      <c r="H227" s="61"/>
      <c r="I227" s="1"/>
      <c r="J227" s="1"/>
      <c r="K227" s="1"/>
      <c r="L227" s="1"/>
      <c r="M227" s="63"/>
      <c r="N227" s="63"/>
      <c r="O227" s="63"/>
      <c r="P227" s="63"/>
      <c r="Q227" s="83"/>
      <c r="R227" s="273"/>
      <c r="S227" s="140"/>
      <c r="T227" s="106"/>
      <c r="U227" s="106"/>
      <c r="V227" s="106"/>
      <c r="W227" s="106"/>
      <c r="X227" s="106"/>
    </row>
    <row r="228" spans="1:27">
      <c r="A228" s="201">
        <v>45609</v>
      </c>
      <c r="B228" s="30"/>
      <c r="C228" s="30"/>
      <c r="D228" s="59"/>
      <c r="E228" s="28"/>
      <c r="F228" s="28"/>
      <c r="G228" s="60"/>
      <c r="H228" s="60"/>
      <c r="I228" s="28"/>
      <c r="J228" s="28"/>
      <c r="K228" s="28"/>
      <c r="L228" s="28"/>
      <c r="M228" s="64"/>
      <c r="N228" s="64"/>
      <c r="O228" s="64"/>
      <c r="P228" s="64"/>
      <c r="Q228" s="82"/>
      <c r="R228" s="281"/>
      <c r="S228" s="157"/>
      <c r="T228" s="170"/>
      <c r="U228" s="170"/>
      <c r="V228" s="170"/>
      <c r="W228" s="170"/>
      <c r="X228" s="170"/>
    </row>
    <row r="229" spans="1:27">
      <c r="A229" s="202">
        <v>45610</v>
      </c>
      <c r="B229" s="31"/>
      <c r="C229" s="31"/>
      <c r="D229" s="59"/>
      <c r="E229" s="1"/>
      <c r="F229" s="1"/>
      <c r="G229" s="61"/>
      <c r="H229" s="61"/>
      <c r="I229" s="1"/>
      <c r="J229" s="1"/>
      <c r="K229" s="1"/>
      <c r="L229" s="1"/>
      <c r="M229" s="63"/>
      <c r="N229" s="63"/>
      <c r="O229" s="63"/>
      <c r="P229" s="63"/>
      <c r="Q229" s="83"/>
      <c r="R229" s="273"/>
      <c r="S229" s="140"/>
      <c r="T229" s="106"/>
      <c r="U229" s="106"/>
      <c r="V229" s="106"/>
      <c r="W229" s="106"/>
      <c r="X229" s="106"/>
    </row>
    <row r="230" spans="1:27">
      <c r="A230" s="201">
        <v>45611</v>
      </c>
      <c r="B230" s="30"/>
      <c r="C230" s="30"/>
      <c r="D230" s="59"/>
      <c r="E230" s="28"/>
      <c r="F230" s="28"/>
      <c r="G230" s="60"/>
      <c r="H230" s="60"/>
      <c r="I230" s="28"/>
      <c r="J230" s="28"/>
      <c r="K230" s="28"/>
      <c r="L230" s="28"/>
      <c r="M230" s="64"/>
      <c r="N230" s="64"/>
      <c r="O230" s="64"/>
      <c r="P230" s="64"/>
      <c r="Q230" s="64"/>
      <c r="R230" s="282"/>
      <c r="S230" s="189"/>
      <c r="T230" s="170"/>
      <c r="U230" s="170"/>
      <c r="V230" s="170"/>
      <c r="W230" s="170"/>
      <c r="X230" s="170"/>
    </row>
    <row r="231" spans="1:27">
      <c r="A231" s="202">
        <v>45612</v>
      </c>
      <c r="B231" s="31"/>
      <c r="C231" s="31"/>
      <c r="D231" s="59"/>
      <c r="E231" s="1"/>
      <c r="F231" s="1"/>
      <c r="G231" s="61"/>
      <c r="H231" s="61"/>
      <c r="I231" s="1"/>
      <c r="J231" s="1"/>
      <c r="K231" s="1"/>
      <c r="L231" s="1"/>
      <c r="M231" s="63"/>
      <c r="N231" s="63"/>
      <c r="O231" s="63"/>
      <c r="P231" s="63"/>
      <c r="Q231" s="83"/>
      <c r="R231" s="273"/>
      <c r="S231" s="140"/>
      <c r="T231" s="106"/>
      <c r="U231" s="106"/>
      <c r="V231" s="106"/>
      <c r="W231" s="106"/>
      <c r="X231" s="106"/>
    </row>
    <row r="232" spans="1:27">
      <c r="A232" s="201">
        <v>45613</v>
      </c>
      <c r="B232" s="30"/>
      <c r="C232" s="30"/>
      <c r="D232" s="59"/>
      <c r="E232" s="28"/>
      <c r="F232" s="28"/>
      <c r="G232" s="60"/>
      <c r="H232" s="60"/>
      <c r="I232" s="28"/>
      <c r="J232" s="28"/>
      <c r="K232" s="28"/>
      <c r="L232" s="28"/>
      <c r="M232" s="64"/>
      <c r="N232" s="64"/>
      <c r="O232" s="64"/>
      <c r="P232" s="64"/>
      <c r="Q232" s="64"/>
      <c r="R232" s="282"/>
      <c r="S232" s="189"/>
      <c r="T232" s="170"/>
      <c r="U232" s="170"/>
      <c r="V232" s="170"/>
      <c r="W232" s="170"/>
      <c r="X232" s="170"/>
    </row>
    <row r="233" spans="1:27">
      <c r="A233" s="202">
        <v>45614</v>
      </c>
      <c r="B233" s="31"/>
      <c r="C233" s="31"/>
      <c r="D233" s="59"/>
      <c r="E233" s="1"/>
      <c r="F233" s="1"/>
      <c r="G233" s="61"/>
      <c r="H233" s="61"/>
      <c r="I233" s="1"/>
      <c r="J233" s="1"/>
      <c r="K233" s="1"/>
      <c r="L233" s="1"/>
      <c r="M233" s="63"/>
      <c r="N233" s="63"/>
      <c r="O233" s="63"/>
      <c r="P233" s="63"/>
      <c r="Q233" s="83"/>
      <c r="R233" s="273"/>
      <c r="S233" s="140"/>
      <c r="T233" s="106"/>
      <c r="U233" s="106"/>
      <c r="V233" s="106"/>
      <c r="W233" s="106"/>
      <c r="X233" s="106"/>
    </row>
    <row r="234" spans="1:27">
      <c r="A234" s="201">
        <v>45615</v>
      </c>
      <c r="B234" s="30"/>
      <c r="C234" s="30"/>
      <c r="D234" s="59"/>
      <c r="E234" s="28"/>
      <c r="F234" s="28"/>
      <c r="G234" s="60"/>
      <c r="H234" s="60"/>
      <c r="I234" s="28"/>
      <c r="J234" s="28"/>
      <c r="K234" s="28"/>
      <c r="L234" s="28"/>
      <c r="M234" s="64"/>
      <c r="N234" s="64"/>
      <c r="O234" s="64"/>
      <c r="P234" s="64"/>
      <c r="Q234" s="64"/>
      <c r="R234" s="282"/>
      <c r="S234" s="189"/>
      <c r="T234" s="170"/>
      <c r="U234" s="170"/>
      <c r="V234" s="170"/>
      <c r="W234" s="170"/>
      <c r="X234" s="170"/>
    </row>
    <row r="235" spans="1:27">
      <c r="A235" s="202">
        <v>45616</v>
      </c>
      <c r="B235" s="31"/>
      <c r="C235" s="31"/>
      <c r="D235" s="59"/>
      <c r="E235" s="1"/>
      <c r="F235" s="1"/>
      <c r="G235" s="61"/>
      <c r="H235" s="61"/>
      <c r="I235" s="1"/>
      <c r="J235" s="1"/>
      <c r="K235" s="1"/>
      <c r="L235" s="1"/>
      <c r="M235" s="63"/>
      <c r="N235" s="63"/>
      <c r="O235" s="63"/>
      <c r="P235" s="63"/>
      <c r="Q235" s="83"/>
      <c r="R235" s="273"/>
      <c r="S235" s="140"/>
      <c r="T235" s="106"/>
      <c r="U235" s="106"/>
      <c r="V235" s="106"/>
      <c r="W235" s="106"/>
      <c r="X235" s="106"/>
    </row>
    <row r="236" spans="1:27">
      <c r="A236" s="201">
        <v>45617</v>
      </c>
      <c r="B236" s="30"/>
      <c r="C236" s="30"/>
      <c r="D236" s="59"/>
      <c r="E236" s="28"/>
      <c r="F236" s="28"/>
      <c r="G236" s="60"/>
      <c r="H236" s="60"/>
      <c r="I236" s="28"/>
      <c r="J236" s="28"/>
      <c r="K236" s="28"/>
      <c r="L236" s="28"/>
      <c r="M236" s="64"/>
      <c r="N236" s="64"/>
      <c r="O236" s="64"/>
      <c r="P236" s="64"/>
      <c r="Q236" s="64"/>
      <c r="R236" s="282"/>
      <c r="S236" s="189"/>
      <c r="T236" s="170"/>
      <c r="U236" s="170"/>
      <c r="V236" s="170"/>
      <c r="W236" s="170"/>
      <c r="X236" s="170"/>
    </row>
    <row r="237" spans="1:27">
      <c r="A237" s="202">
        <v>45618</v>
      </c>
      <c r="B237" s="31"/>
      <c r="C237" s="31"/>
      <c r="D237" s="59"/>
      <c r="E237" s="1"/>
      <c r="F237" s="1"/>
      <c r="G237" s="61"/>
      <c r="H237" s="61"/>
      <c r="I237" s="1"/>
      <c r="J237" s="1"/>
      <c r="K237" s="1"/>
      <c r="L237" s="1"/>
      <c r="M237" s="63"/>
      <c r="N237" s="63"/>
      <c r="O237" s="63"/>
      <c r="P237" s="63"/>
      <c r="Q237" s="83"/>
      <c r="R237" s="273"/>
      <c r="S237" s="140"/>
      <c r="T237" s="106"/>
      <c r="U237" s="106"/>
      <c r="V237" s="106"/>
      <c r="W237" s="106"/>
      <c r="X237" s="106"/>
    </row>
    <row r="238" spans="1:27">
      <c r="A238" s="201">
        <v>45619</v>
      </c>
      <c r="B238" s="30"/>
      <c r="C238" s="30"/>
      <c r="D238" s="59"/>
      <c r="E238" s="28"/>
      <c r="F238" s="28"/>
      <c r="G238" s="60"/>
      <c r="H238" s="60"/>
      <c r="I238" s="28"/>
      <c r="J238" s="28"/>
      <c r="K238" s="28"/>
      <c r="L238" s="28"/>
      <c r="M238" s="64"/>
      <c r="N238" s="64"/>
      <c r="O238" s="64"/>
      <c r="P238" s="64"/>
      <c r="Q238" s="64"/>
      <c r="R238" s="282"/>
      <c r="S238" s="189"/>
      <c r="T238" s="170"/>
      <c r="U238" s="170"/>
      <c r="V238" s="170"/>
      <c r="W238" s="170"/>
      <c r="X238" s="170"/>
    </row>
    <row r="239" spans="1:27">
      <c r="A239" s="202">
        <v>45620</v>
      </c>
      <c r="B239" s="31"/>
      <c r="C239" s="31"/>
      <c r="D239" s="59"/>
      <c r="E239" s="1"/>
      <c r="F239" s="1"/>
      <c r="G239" s="61"/>
      <c r="H239" s="61"/>
      <c r="I239" s="1"/>
      <c r="J239" s="1"/>
      <c r="K239" s="1"/>
      <c r="L239" s="1"/>
      <c r="M239" s="63"/>
      <c r="N239" s="63"/>
      <c r="O239" s="63"/>
      <c r="P239" s="63"/>
      <c r="Q239" s="83"/>
      <c r="R239" s="273"/>
      <c r="S239" s="140"/>
      <c r="T239" s="106"/>
      <c r="U239" s="106"/>
      <c r="V239" s="106"/>
      <c r="W239" s="106"/>
      <c r="X239" s="106"/>
    </row>
    <row r="240" spans="1:27">
      <c r="A240" s="201">
        <v>45621</v>
      </c>
      <c r="B240" s="30"/>
      <c r="C240" s="30"/>
      <c r="D240" s="59"/>
      <c r="E240" s="28"/>
      <c r="F240" s="28"/>
      <c r="G240" s="60"/>
      <c r="H240" s="60"/>
      <c r="I240" s="28"/>
      <c r="J240" s="28"/>
      <c r="K240" s="28"/>
      <c r="L240" s="28"/>
      <c r="M240" s="64"/>
      <c r="N240" s="64"/>
      <c r="O240" s="64"/>
      <c r="P240" s="64"/>
      <c r="Q240" s="64"/>
      <c r="R240" s="282"/>
      <c r="S240" s="189"/>
      <c r="T240" s="170"/>
      <c r="U240" s="170"/>
      <c r="V240" s="170"/>
      <c r="W240" s="170"/>
      <c r="X240" s="170"/>
    </row>
    <row r="241" spans="1:26">
      <c r="A241" s="202">
        <v>45622</v>
      </c>
      <c r="B241" s="31"/>
      <c r="C241" s="31"/>
      <c r="D241" s="59"/>
      <c r="E241" s="1"/>
      <c r="F241" s="1"/>
      <c r="G241" s="61"/>
      <c r="H241" s="61"/>
      <c r="I241" s="1"/>
      <c r="J241" s="1"/>
      <c r="K241" s="1"/>
      <c r="L241" s="1"/>
      <c r="M241" s="63"/>
      <c r="N241" s="63"/>
      <c r="O241" s="63"/>
      <c r="P241" s="63"/>
      <c r="Q241" s="83"/>
      <c r="R241" s="273"/>
      <c r="S241" s="140"/>
      <c r="T241" s="106"/>
      <c r="U241" s="106"/>
      <c r="V241" s="106"/>
      <c r="W241" s="106"/>
      <c r="X241" s="106"/>
    </row>
    <row r="242" spans="1:26">
      <c r="A242" s="201">
        <v>45623</v>
      </c>
      <c r="B242" s="30"/>
      <c r="C242" s="30"/>
      <c r="D242" s="59"/>
      <c r="E242" s="28"/>
      <c r="F242" s="28"/>
      <c r="G242" s="60"/>
      <c r="H242" s="60"/>
      <c r="I242" s="28"/>
      <c r="J242" s="28"/>
      <c r="K242" s="28"/>
      <c r="L242" s="28"/>
      <c r="M242" s="64"/>
      <c r="N242" s="64"/>
      <c r="O242" s="64"/>
      <c r="P242" s="64"/>
      <c r="Q242" s="64"/>
      <c r="R242" s="282"/>
      <c r="S242" s="189"/>
      <c r="T242" s="170"/>
      <c r="U242" s="170"/>
      <c r="V242" s="170"/>
      <c r="W242" s="170"/>
      <c r="X242" s="170"/>
    </row>
    <row r="243" spans="1:26">
      <c r="A243" s="202">
        <v>45624</v>
      </c>
      <c r="B243" s="31"/>
      <c r="C243" s="31"/>
      <c r="D243" s="59"/>
      <c r="E243" s="1"/>
      <c r="F243" s="1"/>
      <c r="G243" s="61"/>
      <c r="H243" s="61"/>
      <c r="I243" s="1"/>
      <c r="J243" s="1"/>
      <c r="K243" s="1"/>
      <c r="L243" s="1"/>
      <c r="M243" s="63"/>
      <c r="N243" s="63"/>
      <c r="O243" s="63"/>
      <c r="P243" s="63"/>
      <c r="Q243" s="83"/>
      <c r="R243" s="273"/>
      <c r="S243" s="140"/>
      <c r="T243" s="106"/>
      <c r="U243" s="106"/>
      <c r="V243" s="106"/>
      <c r="W243" s="106"/>
      <c r="X243" s="106"/>
    </row>
    <row r="244" spans="1:26">
      <c r="A244" s="201">
        <v>45625</v>
      </c>
      <c r="B244" s="30"/>
      <c r="C244" s="30"/>
      <c r="D244" s="59"/>
      <c r="E244" s="28"/>
      <c r="F244" s="28"/>
      <c r="G244" s="60"/>
      <c r="H244" s="60"/>
      <c r="I244" s="28"/>
      <c r="J244" s="28"/>
      <c r="K244" s="28"/>
      <c r="L244" s="28"/>
      <c r="M244" s="64"/>
      <c r="N244" s="64"/>
      <c r="O244" s="64"/>
      <c r="P244" s="64"/>
      <c r="Q244" s="64"/>
      <c r="R244" s="282"/>
      <c r="S244" s="189"/>
      <c r="T244" s="170"/>
      <c r="U244" s="170"/>
      <c r="V244" s="170"/>
      <c r="W244" s="170"/>
      <c r="X244" s="170"/>
    </row>
    <row r="245" spans="1:26">
      <c r="A245" s="202">
        <v>45626</v>
      </c>
      <c r="B245" s="31"/>
      <c r="C245" s="31"/>
      <c r="D245" s="59"/>
      <c r="E245" s="1"/>
      <c r="F245" s="1"/>
      <c r="G245" s="61"/>
      <c r="H245" s="61"/>
      <c r="I245" s="1"/>
      <c r="J245" s="1"/>
      <c r="K245" s="1"/>
      <c r="L245" s="1"/>
      <c r="M245" s="63"/>
      <c r="N245" s="63"/>
      <c r="O245" s="63"/>
      <c r="P245" s="63"/>
      <c r="Q245" s="83"/>
      <c r="R245" s="273"/>
      <c r="S245" s="140"/>
      <c r="T245" s="106"/>
      <c r="U245" s="106"/>
      <c r="V245" s="106"/>
      <c r="W245" s="106"/>
      <c r="X245" s="106"/>
    </row>
    <row r="246" spans="1:26">
      <c r="A246" s="388">
        <v>45627</v>
      </c>
      <c r="B246" s="192"/>
      <c r="C246" s="192"/>
      <c r="D246" s="72"/>
      <c r="E246" s="73"/>
      <c r="F246" s="73"/>
      <c r="G246" s="193"/>
      <c r="H246" s="193"/>
      <c r="I246" s="73"/>
      <c r="J246" s="73"/>
      <c r="K246" s="73"/>
      <c r="L246" s="73"/>
      <c r="M246" s="194"/>
      <c r="N246" s="194"/>
      <c r="O246" s="194"/>
      <c r="P246" s="194"/>
      <c r="Q246" s="194"/>
      <c r="R246" s="283"/>
      <c r="S246" s="195"/>
      <c r="T246" s="196"/>
      <c r="U246" s="196"/>
      <c r="V246" s="196"/>
      <c r="W246" s="196"/>
      <c r="X246" s="196"/>
    </row>
    <row r="247" spans="1:26">
      <c r="A247" s="202">
        <v>45628</v>
      </c>
      <c r="B247" s="31"/>
      <c r="C247" s="31"/>
      <c r="D247" s="59"/>
      <c r="E247" s="1"/>
      <c r="F247" s="1"/>
      <c r="G247" s="61"/>
      <c r="H247" s="61"/>
      <c r="I247" s="1"/>
      <c r="J247" s="1"/>
      <c r="K247" s="1"/>
      <c r="L247" s="1"/>
      <c r="M247" s="63"/>
      <c r="N247" s="63"/>
      <c r="O247" s="63"/>
      <c r="P247" s="63"/>
      <c r="Q247" s="83"/>
      <c r="R247" s="273"/>
      <c r="S247" s="197"/>
      <c r="T247" s="106"/>
      <c r="U247" s="106"/>
      <c r="V247" s="106"/>
      <c r="W247" s="106"/>
      <c r="X247" s="106"/>
      <c r="Z247" s="20"/>
    </row>
    <row r="248" spans="1:26">
      <c r="A248" s="201">
        <v>45629</v>
      </c>
      <c r="B248" s="30"/>
      <c r="C248" s="30"/>
      <c r="D248" s="59"/>
      <c r="E248" s="28"/>
      <c r="F248" s="28"/>
      <c r="G248" s="60"/>
      <c r="H248" s="60"/>
      <c r="I248" s="28"/>
      <c r="J248" s="28"/>
      <c r="K248" s="28"/>
      <c r="L248" s="28"/>
      <c r="M248" s="64"/>
      <c r="N248" s="64"/>
      <c r="O248" s="64"/>
      <c r="P248" s="64"/>
      <c r="Q248" s="64"/>
      <c r="R248" s="282"/>
      <c r="S248" s="198"/>
      <c r="T248" s="170"/>
      <c r="U248" s="170"/>
      <c r="V248" s="170"/>
      <c r="W248" s="170"/>
      <c r="X248" s="170"/>
      <c r="Z248" s="20"/>
    </row>
    <row r="249" spans="1:26">
      <c r="A249" s="202">
        <v>45630</v>
      </c>
      <c r="B249" s="31"/>
      <c r="C249" s="31"/>
      <c r="D249" s="59"/>
      <c r="E249" s="1"/>
      <c r="F249" s="1"/>
      <c r="G249" s="61"/>
      <c r="H249" s="61"/>
      <c r="I249" s="1"/>
      <c r="J249" s="1"/>
      <c r="K249" s="1"/>
      <c r="L249" s="1"/>
      <c r="M249" s="63"/>
      <c r="N249" s="63"/>
      <c r="O249" s="63"/>
      <c r="P249" s="63"/>
      <c r="Q249" s="83"/>
      <c r="R249" s="273"/>
      <c r="S249" s="197"/>
      <c r="T249" s="106"/>
      <c r="U249" s="106"/>
      <c r="V249" s="106"/>
      <c r="W249" s="106"/>
      <c r="X249" s="106"/>
      <c r="Z249" s="20"/>
    </row>
    <row r="250" spans="1:26">
      <c r="A250" s="201">
        <v>45631</v>
      </c>
      <c r="B250" s="30"/>
      <c r="C250" s="30"/>
      <c r="D250" s="59"/>
      <c r="E250" s="28"/>
      <c r="F250" s="28"/>
      <c r="G250" s="60"/>
      <c r="H250" s="60"/>
      <c r="I250" s="28"/>
      <c r="J250" s="28"/>
      <c r="K250" s="28"/>
      <c r="L250" s="28"/>
      <c r="M250" s="64"/>
      <c r="N250" s="64"/>
      <c r="O250" s="64"/>
      <c r="P250" s="64"/>
      <c r="Q250" s="64"/>
      <c r="R250" s="282"/>
      <c r="S250" s="198"/>
      <c r="T250" s="170"/>
      <c r="U250" s="170"/>
      <c r="V250" s="170"/>
      <c r="W250" s="170"/>
      <c r="X250" s="170"/>
      <c r="Z250" s="20"/>
    </row>
    <row r="251" spans="1:26">
      <c r="A251" s="202">
        <v>45632</v>
      </c>
      <c r="B251" s="31"/>
      <c r="C251" s="31"/>
      <c r="D251" s="59"/>
      <c r="E251" s="1"/>
      <c r="F251" s="1"/>
      <c r="G251" s="61"/>
      <c r="H251" s="61"/>
      <c r="I251" s="1"/>
      <c r="J251" s="1"/>
      <c r="K251" s="1"/>
      <c r="L251" s="1"/>
      <c r="M251" s="63"/>
      <c r="N251" s="63"/>
      <c r="O251" s="63"/>
      <c r="P251" s="63"/>
      <c r="Q251" s="83"/>
      <c r="R251" s="273"/>
      <c r="S251" s="197"/>
      <c r="T251" s="106"/>
      <c r="U251" s="106"/>
      <c r="V251" s="106"/>
      <c r="W251" s="106"/>
      <c r="X251" s="106"/>
      <c r="Z251" s="20"/>
    </row>
    <row r="252" spans="1:26">
      <c r="A252" s="201">
        <v>45633</v>
      </c>
      <c r="B252" s="30"/>
      <c r="C252" s="30"/>
      <c r="D252" s="59"/>
      <c r="E252" s="28"/>
      <c r="F252" s="28"/>
      <c r="G252" s="60"/>
      <c r="H252" s="60"/>
      <c r="I252" s="28"/>
      <c r="J252" s="28"/>
      <c r="K252" s="28"/>
      <c r="L252" s="28"/>
      <c r="M252" s="64"/>
      <c r="N252" s="64"/>
      <c r="O252" s="64"/>
      <c r="P252" s="64"/>
      <c r="Q252" s="64"/>
      <c r="R252" s="282"/>
      <c r="S252" s="198"/>
      <c r="T252" s="170"/>
      <c r="U252" s="170"/>
      <c r="V252" s="170"/>
      <c r="W252" s="170"/>
      <c r="X252" s="170"/>
      <c r="Z252" s="20"/>
    </row>
    <row r="253" spans="1:26">
      <c r="A253" s="202">
        <v>45634</v>
      </c>
      <c r="B253" s="31"/>
      <c r="C253" s="31"/>
      <c r="D253" s="59"/>
      <c r="E253" s="1"/>
      <c r="F253" s="1"/>
      <c r="G253" s="61"/>
      <c r="H253" s="61"/>
      <c r="I253" s="1"/>
      <c r="J253" s="1"/>
      <c r="K253" s="1"/>
      <c r="L253" s="1"/>
      <c r="M253" s="63"/>
      <c r="N253" s="63"/>
      <c r="O253" s="63"/>
      <c r="P253" s="63"/>
      <c r="Q253" s="83"/>
      <c r="R253" s="273"/>
      <c r="S253" s="197"/>
      <c r="T253" s="106"/>
      <c r="U253" s="106"/>
      <c r="V253" s="106"/>
      <c r="W253" s="106"/>
      <c r="X253" s="106"/>
      <c r="Z253" s="20"/>
    </row>
    <row r="254" spans="1:26">
      <c r="A254" s="201">
        <v>45635</v>
      </c>
      <c r="B254" s="30"/>
      <c r="C254" s="30"/>
      <c r="D254" s="59"/>
      <c r="E254" s="28"/>
      <c r="F254" s="28"/>
      <c r="G254" s="60"/>
      <c r="H254" s="60"/>
      <c r="I254" s="28"/>
      <c r="J254" s="28"/>
      <c r="K254" s="28"/>
      <c r="L254" s="28"/>
      <c r="M254" s="64"/>
      <c r="N254" s="64"/>
      <c r="O254" s="64"/>
      <c r="P254" s="64"/>
      <c r="Q254" s="64"/>
      <c r="R254" s="282"/>
      <c r="S254" s="198"/>
      <c r="T254" s="170"/>
      <c r="U254" s="170"/>
      <c r="V254" s="170"/>
      <c r="W254" s="170"/>
      <c r="X254" s="170"/>
      <c r="Z254" s="20"/>
    </row>
    <row r="255" spans="1:26">
      <c r="A255" s="202">
        <v>45636</v>
      </c>
      <c r="B255" s="31"/>
      <c r="C255" s="31"/>
      <c r="D255" s="59"/>
      <c r="E255" s="1"/>
      <c r="F255" s="1"/>
      <c r="G255" s="61"/>
      <c r="H255" s="61"/>
      <c r="I255" s="1"/>
      <c r="J255" s="1"/>
      <c r="K255" s="1"/>
      <c r="L255" s="1"/>
      <c r="M255" s="63"/>
      <c r="N255" s="63"/>
      <c r="O255" s="63"/>
      <c r="P255" s="63"/>
      <c r="Q255" s="83"/>
      <c r="R255" s="273"/>
      <c r="S255" s="197"/>
      <c r="T255" s="106"/>
      <c r="U255" s="106"/>
      <c r="V255" s="106"/>
      <c r="W255" s="106"/>
      <c r="X255" s="106"/>
      <c r="Z255" s="20"/>
    </row>
    <row r="256" spans="1:26">
      <c r="A256" s="201">
        <v>45637</v>
      </c>
      <c r="B256" s="30"/>
      <c r="C256" s="30"/>
      <c r="D256" s="59"/>
      <c r="E256" s="28"/>
      <c r="F256" s="28"/>
      <c r="G256" s="60"/>
      <c r="H256" s="60"/>
      <c r="I256" s="28"/>
      <c r="J256" s="28"/>
      <c r="K256" s="28"/>
      <c r="L256" s="28"/>
      <c r="M256" s="64"/>
      <c r="N256" s="64"/>
      <c r="O256" s="64"/>
      <c r="P256" s="64"/>
      <c r="Q256" s="64"/>
      <c r="R256" s="282"/>
      <c r="S256" s="198"/>
      <c r="T256" s="170"/>
      <c r="U256" s="170"/>
      <c r="V256" s="170"/>
      <c r="W256" s="170"/>
      <c r="X256" s="170"/>
      <c r="Z256" s="20"/>
    </row>
    <row r="257" spans="1:26">
      <c r="A257" s="202">
        <v>45638</v>
      </c>
      <c r="B257" s="31"/>
      <c r="C257" s="31"/>
      <c r="D257" s="59"/>
      <c r="E257" s="1"/>
      <c r="F257" s="1"/>
      <c r="G257" s="61"/>
      <c r="H257" s="61"/>
      <c r="I257" s="1"/>
      <c r="J257" s="1"/>
      <c r="K257" s="1"/>
      <c r="L257" s="1"/>
      <c r="M257" s="63"/>
      <c r="N257" s="63"/>
      <c r="O257" s="63"/>
      <c r="P257" s="63"/>
      <c r="Q257" s="83"/>
      <c r="R257" s="273"/>
      <c r="S257" s="197"/>
      <c r="T257" s="106"/>
      <c r="U257" s="106"/>
      <c r="V257" s="106"/>
      <c r="W257" s="106"/>
      <c r="X257" s="106"/>
      <c r="Z257" s="20"/>
    </row>
    <row r="258" spans="1:26">
      <c r="A258" s="201">
        <v>45639</v>
      </c>
      <c r="B258" s="30"/>
      <c r="C258" s="30"/>
      <c r="D258" s="59"/>
      <c r="E258" s="28"/>
      <c r="F258" s="28"/>
      <c r="G258" s="60"/>
      <c r="H258" s="60"/>
      <c r="I258" s="28"/>
      <c r="J258" s="28"/>
      <c r="K258" s="28"/>
      <c r="L258" s="28"/>
      <c r="M258" s="64"/>
      <c r="N258" s="64"/>
      <c r="O258" s="64"/>
      <c r="P258" s="64"/>
      <c r="Q258" s="64"/>
      <c r="R258" s="282"/>
      <c r="S258" s="198"/>
      <c r="T258" s="170"/>
      <c r="U258" s="170"/>
      <c r="V258" s="170"/>
      <c r="W258" s="170"/>
      <c r="X258" s="170"/>
      <c r="Z258" s="20"/>
    </row>
    <row r="259" spans="1:26">
      <c r="A259" s="202">
        <v>45640</v>
      </c>
      <c r="B259" s="31"/>
      <c r="C259" s="31"/>
      <c r="D259" s="59"/>
      <c r="E259" s="1"/>
      <c r="F259" s="1"/>
      <c r="G259" s="61"/>
      <c r="H259" s="61"/>
      <c r="I259" s="1"/>
      <c r="J259" s="1"/>
      <c r="K259" s="1"/>
      <c r="L259" s="1"/>
      <c r="M259" s="63"/>
      <c r="N259" s="63"/>
      <c r="O259" s="63"/>
      <c r="P259" s="63"/>
      <c r="Q259" s="83"/>
      <c r="R259" s="273"/>
      <c r="S259" s="197"/>
      <c r="T259" s="106"/>
      <c r="U259" s="106"/>
      <c r="V259" s="106"/>
      <c r="W259" s="106"/>
      <c r="X259" s="106"/>
      <c r="Z259" s="20"/>
    </row>
    <row r="260" spans="1:26">
      <c r="A260" s="201">
        <v>45641</v>
      </c>
      <c r="B260" s="30"/>
      <c r="C260" s="30"/>
      <c r="D260" s="59"/>
      <c r="E260" s="28"/>
      <c r="F260" s="28"/>
      <c r="G260" s="60"/>
      <c r="H260" s="60"/>
      <c r="I260" s="28"/>
      <c r="J260" s="28"/>
      <c r="K260" s="28"/>
      <c r="L260" s="28"/>
      <c r="M260" s="64"/>
      <c r="N260" s="64"/>
      <c r="O260" s="64"/>
      <c r="P260" s="64"/>
      <c r="Q260" s="64"/>
      <c r="R260" s="282"/>
      <c r="S260" s="198"/>
      <c r="T260" s="170"/>
      <c r="U260" s="170"/>
      <c r="V260" s="170"/>
      <c r="W260" s="170"/>
      <c r="X260" s="170"/>
      <c r="Z260" s="20"/>
    </row>
    <row r="261" spans="1:26">
      <c r="A261" s="202">
        <v>45642</v>
      </c>
      <c r="B261" s="31"/>
      <c r="C261" s="31"/>
      <c r="D261" s="59"/>
      <c r="E261" s="1"/>
      <c r="F261" s="1"/>
      <c r="G261" s="61"/>
      <c r="H261" s="61"/>
      <c r="I261" s="1"/>
      <c r="J261" s="1"/>
      <c r="K261" s="1"/>
      <c r="L261" s="1"/>
      <c r="M261" s="63"/>
      <c r="N261" s="63"/>
      <c r="O261" s="63"/>
      <c r="P261" s="63"/>
      <c r="Q261" s="83"/>
      <c r="R261" s="273"/>
      <c r="S261" s="197"/>
      <c r="T261" s="106"/>
      <c r="U261" s="106"/>
      <c r="V261" s="106"/>
      <c r="W261" s="106"/>
      <c r="X261" s="106"/>
      <c r="Z261" s="20"/>
    </row>
    <row r="262" spans="1:26">
      <c r="A262" s="201">
        <v>45643</v>
      </c>
      <c r="B262" s="30"/>
      <c r="C262" s="30"/>
      <c r="D262" s="59"/>
      <c r="E262" s="28"/>
      <c r="F262" s="28"/>
      <c r="G262" s="60"/>
      <c r="H262" s="60"/>
      <c r="I262" s="28"/>
      <c r="J262" s="28"/>
      <c r="K262" s="28"/>
      <c r="L262" s="28"/>
      <c r="M262" s="64"/>
      <c r="N262" s="64"/>
      <c r="O262" s="64"/>
      <c r="P262" s="64"/>
      <c r="Q262" s="64"/>
      <c r="R262" s="282"/>
      <c r="S262" s="198"/>
      <c r="T262" s="170"/>
      <c r="U262" s="170"/>
      <c r="V262" s="170"/>
      <c r="W262" s="170"/>
      <c r="X262" s="170"/>
      <c r="Z262" s="20"/>
    </row>
    <row r="263" spans="1:26">
      <c r="A263" s="202">
        <v>45644</v>
      </c>
      <c r="B263" s="31"/>
      <c r="C263" s="31"/>
      <c r="D263" s="59"/>
      <c r="E263" s="1"/>
      <c r="F263" s="1"/>
      <c r="G263" s="61"/>
      <c r="H263" s="61"/>
      <c r="I263" s="1"/>
      <c r="J263" s="1"/>
      <c r="K263" s="1"/>
      <c r="L263" s="1"/>
      <c r="M263" s="63"/>
      <c r="N263" s="63"/>
      <c r="O263" s="63"/>
      <c r="P263" s="63"/>
      <c r="Q263" s="83"/>
      <c r="R263" s="273"/>
      <c r="S263" s="197"/>
      <c r="T263" s="106"/>
      <c r="U263" s="106"/>
      <c r="V263" s="106"/>
      <c r="W263" s="106"/>
      <c r="X263" s="106"/>
      <c r="Z263" s="20"/>
    </row>
    <row r="264" spans="1:26">
      <c r="A264" s="201">
        <v>45645</v>
      </c>
      <c r="B264" s="30"/>
      <c r="C264" s="30"/>
      <c r="D264" s="59"/>
      <c r="E264" s="28"/>
      <c r="F264" s="28"/>
      <c r="G264" s="60"/>
      <c r="H264" s="60"/>
      <c r="I264" s="28"/>
      <c r="J264" s="28"/>
      <c r="K264" s="28"/>
      <c r="L264" s="28"/>
      <c r="M264" s="64"/>
      <c r="N264" s="64"/>
      <c r="O264" s="64"/>
      <c r="P264" s="64"/>
      <c r="Q264" s="64"/>
      <c r="R264" s="282"/>
      <c r="S264" s="198"/>
      <c r="T264" s="170"/>
      <c r="U264" s="170"/>
      <c r="V264" s="170"/>
      <c r="W264" s="170"/>
      <c r="X264" s="170"/>
      <c r="Z264" s="20"/>
    </row>
    <row r="265" spans="1:26">
      <c r="A265" s="202">
        <v>45646</v>
      </c>
      <c r="B265" s="31"/>
      <c r="C265" s="31"/>
      <c r="D265" s="59"/>
      <c r="E265" s="1"/>
      <c r="F265" s="1"/>
      <c r="G265" s="61"/>
      <c r="H265" s="61"/>
      <c r="I265" s="1"/>
      <c r="J265" s="1"/>
      <c r="K265" s="1"/>
      <c r="L265" s="1"/>
      <c r="M265" s="63"/>
      <c r="N265" s="63"/>
      <c r="O265" s="63"/>
      <c r="P265" s="63"/>
      <c r="Q265" s="83"/>
      <c r="R265" s="273"/>
      <c r="S265" s="197"/>
      <c r="T265" s="106"/>
      <c r="U265" s="106"/>
      <c r="V265" s="106"/>
      <c r="W265" s="106"/>
      <c r="X265" s="106"/>
      <c r="Z265" s="20"/>
    </row>
    <row r="266" spans="1:26">
      <c r="A266" s="201">
        <v>45647</v>
      </c>
      <c r="B266" s="30"/>
      <c r="C266" s="30"/>
      <c r="D266" s="59"/>
      <c r="E266" s="28"/>
      <c r="F266" s="28"/>
      <c r="G266" s="60"/>
      <c r="H266" s="60"/>
      <c r="I266" s="28"/>
      <c r="J266" s="28"/>
      <c r="K266" s="28"/>
      <c r="L266" s="28"/>
      <c r="M266" s="64"/>
      <c r="N266" s="64"/>
      <c r="O266" s="64"/>
      <c r="P266" s="64"/>
      <c r="Q266" s="64"/>
      <c r="R266" s="282"/>
      <c r="S266" s="198"/>
      <c r="T266" s="170"/>
      <c r="U266" s="170"/>
      <c r="V266" s="170"/>
      <c r="W266" s="170"/>
      <c r="X266" s="170"/>
      <c r="Z266" s="20"/>
    </row>
    <row r="267" spans="1:26">
      <c r="A267" s="202">
        <v>45648</v>
      </c>
      <c r="B267" s="31"/>
      <c r="C267" s="31"/>
      <c r="D267" s="59"/>
      <c r="E267" s="1"/>
      <c r="F267" s="1"/>
      <c r="G267" s="61"/>
      <c r="H267" s="61"/>
      <c r="I267" s="1"/>
      <c r="J267" s="1"/>
      <c r="K267" s="1"/>
      <c r="L267" s="1"/>
      <c r="M267" s="63"/>
      <c r="N267" s="63"/>
      <c r="O267" s="63"/>
      <c r="P267" s="63"/>
      <c r="Q267" s="83"/>
      <c r="R267" s="273"/>
      <c r="S267" s="197"/>
      <c r="T267" s="106"/>
      <c r="U267" s="106"/>
      <c r="V267" s="106"/>
      <c r="W267" s="106"/>
      <c r="X267" s="106"/>
      <c r="Z267" s="20"/>
    </row>
    <row r="268" spans="1:26">
      <c r="A268" s="201">
        <v>45649</v>
      </c>
      <c r="B268" s="30"/>
      <c r="C268" s="30"/>
      <c r="D268" s="59"/>
      <c r="E268" s="28"/>
      <c r="F268" s="28"/>
      <c r="G268" s="60"/>
      <c r="H268" s="60"/>
      <c r="I268" s="28"/>
      <c r="J268" s="28"/>
      <c r="K268" s="28"/>
      <c r="L268" s="28"/>
      <c r="M268" s="64"/>
      <c r="N268" s="64"/>
      <c r="O268" s="64"/>
      <c r="P268" s="64"/>
      <c r="Q268" s="64"/>
      <c r="R268" s="282"/>
      <c r="S268" s="198"/>
      <c r="T268" s="170"/>
      <c r="U268" s="170"/>
      <c r="V268" s="170"/>
      <c r="W268" s="170"/>
      <c r="X268" s="170"/>
      <c r="Z268" s="20"/>
    </row>
    <row r="269" spans="1:26">
      <c r="A269" s="202">
        <v>45650</v>
      </c>
      <c r="B269" s="31"/>
      <c r="C269" s="31"/>
      <c r="D269" s="59"/>
      <c r="E269" s="1"/>
      <c r="F269" s="1"/>
      <c r="G269" s="61"/>
      <c r="H269" s="61"/>
      <c r="I269" s="1"/>
      <c r="J269" s="1"/>
      <c r="K269" s="1"/>
      <c r="L269" s="1"/>
      <c r="M269" s="63"/>
      <c r="N269" s="63"/>
      <c r="O269" s="63"/>
      <c r="P269" s="63"/>
      <c r="Q269" s="83"/>
      <c r="R269" s="273"/>
      <c r="S269" s="140"/>
      <c r="T269" s="106"/>
      <c r="U269" s="106"/>
      <c r="V269" s="106"/>
      <c r="W269" s="106"/>
      <c r="X269" s="106"/>
    </row>
    <row r="270" spans="1:26">
      <c r="A270" s="201">
        <v>45651</v>
      </c>
      <c r="B270" s="30"/>
      <c r="C270" s="30"/>
      <c r="D270" s="59"/>
      <c r="E270" s="28"/>
      <c r="F270" s="28"/>
      <c r="G270" s="60"/>
      <c r="H270" s="60"/>
      <c r="I270" s="28"/>
      <c r="J270" s="28"/>
      <c r="K270" s="28"/>
      <c r="L270" s="28"/>
      <c r="M270" s="64"/>
      <c r="N270" s="64"/>
      <c r="O270" s="64"/>
      <c r="P270" s="64"/>
      <c r="Q270" s="64"/>
      <c r="R270" s="282"/>
      <c r="S270" s="189"/>
      <c r="T270" s="170"/>
      <c r="U270" s="170"/>
      <c r="V270" s="170"/>
      <c r="W270" s="170"/>
      <c r="X270" s="170"/>
    </row>
    <row r="271" spans="1:26">
      <c r="A271" s="202">
        <v>45652</v>
      </c>
      <c r="B271" s="31"/>
      <c r="C271" s="31"/>
      <c r="D271" s="59"/>
      <c r="E271" s="1"/>
      <c r="F271" s="1"/>
      <c r="G271" s="61"/>
      <c r="H271" s="61"/>
      <c r="I271" s="1"/>
      <c r="J271" s="1"/>
      <c r="K271" s="1"/>
      <c r="L271" s="1"/>
      <c r="M271" s="63"/>
      <c r="N271" s="63"/>
      <c r="O271" s="63"/>
      <c r="P271" s="63"/>
      <c r="Q271" s="83"/>
      <c r="R271" s="273"/>
      <c r="S271" s="140"/>
      <c r="T271" s="106"/>
      <c r="U271" s="106"/>
      <c r="V271" s="106"/>
      <c r="W271" s="106"/>
      <c r="X271" s="106"/>
    </row>
    <row r="272" spans="1:26">
      <c r="A272" s="201">
        <v>45653</v>
      </c>
      <c r="B272" s="30"/>
      <c r="C272" s="30"/>
      <c r="D272" s="59"/>
      <c r="E272" s="28"/>
      <c r="F272" s="28"/>
      <c r="G272" s="60"/>
      <c r="H272" s="60"/>
      <c r="I272" s="28"/>
      <c r="J272" s="28"/>
      <c r="K272" s="28"/>
      <c r="L272" s="28"/>
      <c r="M272" s="64"/>
      <c r="N272" s="64"/>
      <c r="O272" s="64"/>
      <c r="P272" s="64"/>
      <c r="Q272" s="64"/>
      <c r="R272" s="282"/>
      <c r="S272" s="189"/>
      <c r="T272" s="170"/>
      <c r="U272" s="170"/>
      <c r="V272" s="170"/>
      <c r="W272" s="170"/>
      <c r="X272" s="170"/>
    </row>
    <row r="273" spans="1:24">
      <c r="A273" s="202">
        <v>45654</v>
      </c>
      <c r="B273" s="31"/>
      <c r="C273" s="31"/>
      <c r="D273" s="59"/>
      <c r="E273" s="1"/>
      <c r="F273" s="1"/>
      <c r="G273" s="61"/>
      <c r="H273" s="61"/>
      <c r="I273" s="1"/>
      <c r="J273" s="1"/>
      <c r="K273" s="1"/>
      <c r="L273" s="1"/>
      <c r="M273" s="63"/>
      <c r="N273" s="63"/>
      <c r="O273" s="63"/>
      <c r="P273" s="63"/>
      <c r="Q273" s="83"/>
      <c r="R273" s="273"/>
      <c r="S273" s="140"/>
      <c r="T273" s="106"/>
      <c r="U273" s="106"/>
      <c r="V273" s="106"/>
      <c r="W273" s="106"/>
      <c r="X273" s="106"/>
    </row>
    <row r="274" spans="1:24">
      <c r="A274" s="201">
        <v>45655</v>
      </c>
      <c r="B274" s="30"/>
      <c r="C274" s="30"/>
      <c r="D274" s="59"/>
      <c r="E274" s="28"/>
      <c r="F274" s="28"/>
      <c r="G274" s="60"/>
      <c r="H274" s="60"/>
      <c r="I274" s="28"/>
      <c r="J274" s="28"/>
      <c r="K274" s="28"/>
      <c r="L274" s="28"/>
      <c r="M274" s="64"/>
      <c r="N274" s="64"/>
      <c r="O274" s="64"/>
      <c r="P274" s="64"/>
      <c r="Q274" s="64"/>
      <c r="R274" s="282"/>
      <c r="S274" s="189"/>
      <c r="T274" s="170"/>
      <c r="U274" s="170"/>
      <c r="V274" s="170"/>
      <c r="W274" s="170"/>
      <c r="X274" s="170"/>
    </row>
    <row r="275" spans="1:24">
      <c r="A275" s="202">
        <v>45656</v>
      </c>
      <c r="B275" s="31"/>
      <c r="C275" s="31"/>
      <c r="D275" s="59"/>
      <c r="E275" s="1"/>
      <c r="F275" s="1"/>
      <c r="G275" s="61"/>
      <c r="H275" s="61"/>
      <c r="I275" s="1"/>
      <c r="J275" s="1"/>
      <c r="K275" s="1"/>
      <c r="L275" s="1"/>
      <c r="M275" s="63"/>
      <c r="N275" s="63"/>
      <c r="O275" s="63"/>
      <c r="P275" s="63"/>
      <c r="Q275" s="83"/>
      <c r="R275" s="273"/>
      <c r="S275" s="140"/>
      <c r="T275" s="106"/>
      <c r="U275" s="106"/>
      <c r="V275" s="106"/>
      <c r="W275" s="106"/>
      <c r="X275" s="106"/>
    </row>
    <row r="276" spans="1:24">
      <c r="A276" s="201">
        <v>45657</v>
      </c>
      <c r="B276" s="30"/>
      <c r="C276" s="30"/>
      <c r="D276" s="59"/>
      <c r="E276" s="28"/>
      <c r="F276" s="28"/>
      <c r="G276" s="60"/>
      <c r="H276" s="60"/>
      <c r="I276" s="28"/>
      <c r="J276" s="28"/>
      <c r="K276" s="28"/>
      <c r="L276" s="28"/>
      <c r="M276" s="64"/>
      <c r="N276" s="64"/>
      <c r="O276" s="64"/>
      <c r="P276" s="64"/>
      <c r="Q276" s="64"/>
      <c r="R276" s="282"/>
      <c r="S276" s="189"/>
      <c r="T276" s="170"/>
      <c r="U276" s="170"/>
      <c r="V276" s="170"/>
      <c r="W276" s="170"/>
      <c r="X276" s="170"/>
    </row>
    <row r="277" spans="1:24">
      <c r="A277" s="390">
        <v>45658</v>
      </c>
      <c r="B277" s="72"/>
      <c r="C277" s="72"/>
      <c r="D277" s="72"/>
      <c r="E277" s="62"/>
      <c r="F277" s="62"/>
      <c r="G277" s="75"/>
      <c r="H277" s="75"/>
      <c r="I277" s="62"/>
      <c r="J277" s="62"/>
      <c r="K277" s="62"/>
      <c r="L277" s="62"/>
      <c r="M277" s="134"/>
      <c r="N277" s="134"/>
      <c r="O277" s="134"/>
      <c r="P277" s="134"/>
      <c r="Q277" s="135"/>
      <c r="R277" s="277"/>
      <c r="S277" s="160"/>
      <c r="T277" s="136"/>
      <c r="U277" s="136"/>
      <c r="V277" s="136"/>
      <c r="W277" s="136"/>
      <c r="X277" s="136"/>
    </row>
    <row r="278" spans="1:24">
      <c r="A278" s="201">
        <v>45659</v>
      </c>
      <c r="B278" s="30"/>
      <c r="C278" s="30"/>
      <c r="D278" s="59"/>
      <c r="E278" s="28"/>
      <c r="F278" s="28"/>
      <c r="G278" s="60"/>
      <c r="H278" s="60"/>
      <c r="I278" s="28"/>
      <c r="J278" s="28"/>
      <c r="K278" s="28"/>
      <c r="L278" s="28"/>
      <c r="M278" s="64"/>
      <c r="N278" s="64"/>
      <c r="O278" s="64"/>
      <c r="P278" s="64"/>
      <c r="Q278" s="64"/>
      <c r="R278" s="282"/>
      <c r="S278" s="189"/>
      <c r="T278" s="170"/>
      <c r="U278" s="170"/>
      <c r="V278" s="170"/>
      <c r="W278" s="170"/>
      <c r="X278" s="170"/>
    </row>
    <row r="279" spans="1:24">
      <c r="A279" s="202">
        <v>45660</v>
      </c>
      <c r="B279" s="31"/>
      <c r="C279" s="31"/>
      <c r="D279" s="59"/>
      <c r="E279" s="1"/>
      <c r="F279" s="1"/>
      <c r="G279" s="61"/>
      <c r="H279" s="61"/>
      <c r="I279" s="1"/>
      <c r="J279" s="1"/>
      <c r="K279" s="1"/>
      <c r="L279" s="1"/>
      <c r="M279" s="63"/>
      <c r="N279" s="63"/>
      <c r="O279" s="63"/>
      <c r="P279" s="63"/>
      <c r="Q279" s="83"/>
      <c r="R279" s="273"/>
      <c r="S279" s="140"/>
      <c r="T279" s="106"/>
      <c r="U279" s="106"/>
      <c r="V279" s="106"/>
      <c r="W279" s="106"/>
      <c r="X279" s="106"/>
    </row>
    <row r="280" spans="1:24">
      <c r="A280" s="201">
        <v>45661</v>
      </c>
      <c r="B280" s="30"/>
      <c r="C280" s="30"/>
      <c r="D280" s="59"/>
      <c r="E280" s="28"/>
      <c r="F280" s="28"/>
      <c r="G280" s="60"/>
      <c r="H280" s="60"/>
      <c r="I280" s="28"/>
      <c r="J280" s="28"/>
      <c r="K280" s="28"/>
      <c r="L280" s="28"/>
      <c r="M280" s="64"/>
      <c r="N280" s="64"/>
      <c r="O280" s="64"/>
      <c r="P280" s="64"/>
      <c r="Q280" s="64"/>
      <c r="R280" s="282"/>
      <c r="S280" s="189"/>
      <c r="T280" s="170"/>
      <c r="U280" s="170"/>
      <c r="V280" s="170"/>
      <c r="W280" s="170"/>
      <c r="X280" s="170"/>
    </row>
    <row r="281" spans="1:24">
      <c r="A281" s="202">
        <v>45662</v>
      </c>
      <c r="B281" s="31"/>
      <c r="C281" s="31"/>
      <c r="D281" s="59"/>
      <c r="E281" s="1"/>
      <c r="F281" s="1"/>
      <c r="G281" s="61"/>
      <c r="H281" s="61"/>
      <c r="I281" s="1"/>
      <c r="J281" s="1"/>
      <c r="K281" s="1"/>
      <c r="L281" s="1"/>
      <c r="M281" s="63"/>
      <c r="N281" s="63"/>
      <c r="O281" s="63"/>
      <c r="P281" s="63"/>
      <c r="Q281" s="83"/>
      <c r="R281" s="273"/>
      <c r="S281" s="140"/>
      <c r="T281" s="106"/>
      <c r="U281" s="106"/>
      <c r="V281" s="106"/>
      <c r="W281" s="106"/>
      <c r="X281" s="106"/>
    </row>
    <row r="282" spans="1:24">
      <c r="A282" s="201">
        <v>45663</v>
      </c>
      <c r="B282" s="30"/>
      <c r="C282" s="30"/>
      <c r="D282" s="59"/>
      <c r="E282" s="28"/>
      <c r="F282" s="28"/>
      <c r="G282" s="60"/>
      <c r="H282" s="60"/>
      <c r="I282" s="28"/>
      <c r="J282" s="28"/>
      <c r="K282" s="28"/>
      <c r="L282" s="28"/>
      <c r="M282" s="64"/>
      <c r="N282" s="64"/>
      <c r="O282" s="64"/>
      <c r="P282" s="64"/>
      <c r="Q282" s="64"/>
      <c r="R282" s="282"/>
      <c r="S282" s="189"/>
      <c r="T282" s="170"/>
      <c r="U282" s="170"/>
      <c r="V282" s="170"/>
      <c r="W282" s="170"/>
      <c r="X282" s="170"/>
    </row>
    <row r="283" spans="1:24">
      <c r="A283" s="202">
        <v>45664</v>
      </c>
      <c r="B283" s="31"/>
      <c r="C283" s="31"/>
      <c r="D283" s="59"/>
      <c r="E283" s="1"/>
      <c r="F283" s="1"/>
      <c r="G283" s="61"/>
      <c r="H283" s="61"/>
      <c r="I283" s="1"/>
      <c r="J283" s="1"/>
      <c r="K283" s="1"/>
      <c r="L283" s="1"/>
      <c r="M283" s="63"/>
      <c r="N283" s="63"/>
      <c r="O283" s="63"/>
      <c r="P283" s="63"/>
      <c r="Q283" s="83"/>
      <c r="R283" s="273"/>
      <c r="S283" s="140"/>
      <c r="T283" s="106"/>
      <c r="U283" s="106"/>
      <c r="V283" s="106"/>
      <c r="W283" s="106"/>
      <c r="X283" s="106"/>
    </row>
    <row r="284" spans="1:24">
      <c r="A284" s="201">
        <v>45665</v>
      </c>
      <c r="B284" s="30"/>
      <c r="C284" s="30"/>
      <c r="D284" s="59"/>
      <c r="E284" s="28"/>
      <c r="F284" s="28"/>
      <c r="G284" s="60"/>
      <c r="H284" s="60"/>
      <c r="I284" s="28"/>
      <c r="J284" s="28"/>
      <c r="K284" s="28"/>
      <c r="L284" s="28"/>
      <c r="M284" s="64"/>
      <c r="N284" s="64"/>
      <c r="O284" s="64"/>
      <c r="P284" s="64"/>
      <c r="Q284" s="64"/>
      <c r="R284" s="282"/>
      <c r="S284" s="189"/>
      <c r="T284" s="170"/>
      <c r="U284" s="170"/>
      <c r="V284" s="170"/>
      <c r="W284" s="170"/>
      <c r="X284" s="170"/>
    </row>
    <row r="285" spans="1:24">
      <c r="A285" s="202">
        <v>45666</v>
      </c>
      <c r="B285" s="31"/>
      <c r="C285" s="31"/>
      <c r="D285" s="59"/>
      <c r="E285" s="1"/>
      <c r="F285" s="1"/>
      <c r="G285" s="61"/>
      <c r="H285" s="61"/>
      <c r="I285" s="1"/>
      <c r="J285" s="1"/>
      <c r="K285" s="1"/>
      <c r="L285" s="1"/>
      <c r="M285" s="63"/>
      <c r="N285" s="63"/>
      <c r="O285" s="63"/>
      <c r="P285" s="63"/>
      <c r="Q285" s="83"/>
      <c r="R285" s="273"/>
      <c r="S285" s="140"/>
      <c r="T285" s="106"/>
      <c r="U285" s="106"/>
      <c r="V285" s="106"/>
      <c r="W285" s="106"/>
      <c r="X285" s="106"/>
    </row>
    <row r="286" spans="1:24">
      <c r="A286" s="201">
        <v>45667</v>
      </c>
      <c r="B286" s="30"/>
      <c r="C286" s="30"/>
      <c r="D286" s="59"/>
      <c r="E286" s="28"/>
      <c r="F286" s="28"/>
      <c r="G286" s="60"/>
      <c r="H286" s="60"/>
      <c r="I286" s="28"/>
      <c r="J286" s="28"/>
      <c r="K286" s="28"/>
      <c r="L286" s="28"/>
      <c r="M286" s="64"/>
      <c r="N286" s="64"/>
      <c r="O286" s="64"/>
      <c r="P286" s="64"/>
      <c r="Q286" s="64"/>
      <c r="R286" s="282"/>
      <c r="S286" s="189"/>
      <c r="T286" s="170"/>
      <c r="U286" s="170"/>
      <c r="V286" s="170"/>
      <c r="W286" s="170"/>
      <c r="X286" s="170"/>
    </row>
    <row r="287" spans="1:24">
      <c r="A287" s="202">
        <v>45668</v>
      </c>
      <c r="B287" s="31"/>
      <c r="C287" s="31"/>
      <c r="D287" s="59"/>
      <c r="E287" s="1"/>
      <c r="F287" s="1"/>
      <c r="G287" s="61"/>
      <c r="H287" s="61"/>
      <c r="I287" s="1"/>
      <c r="J287" s="1"/>
      <c r="K287" s="1"/>
      <c r="L287" s="1"/>
      <c r="M287" s="63"/>
      <c r="N287" s="63"/>
      <c r="O287" s="63"/>
      <c r="P287" s="63"/>
      <c r="Q287" s="83"/>
      <c r="R287" s="273"/>
      <c r="S287" s="140"/>
      <c r="T287" s="106"/>
      <c r="U287" s="106"/>
      <c r="V287" s="106"/>
      <c r="W287" s="106"/>
      <c r="X287" s="106"/>
    </row>
    <row r="288" spans="1:24">
      <c r="A288" s="201">
        <v>45669</v>
      </c>
      <c r="B288" s="30"/>
      <c r="C288" s="30"/>
      <c r="D288" s="59"/>
      <c r="E288" s="28"/>
      <c r="F288" s="28"/>
      <c r="G288" s="60"/>
      <c r="H288" s="60"/>
      <c r="I288" s="28"/>
      <c r="J288" s="28"/>
      <c r="K288" s="28"/>
      <c r="L288" s="28"/>
      <c r="M288" s="64"/>
      <c r="N288" s="64"/>
      <c r="O288" s="64"/>
      <c r="P288" s="64"/>
      <c r="Q288" s="64"/>
      <c r="R288" s="282"/>
      <c r="S288" s="189"/>
      <c r="T288" s="170"/>
      <c r="U288" s="170"/>
      <c r="V288" s="170"/>
      <c r="W288" s="170"/>
      <c r="X288" s="170"/>
    </row>
    <row r="289" spans="1:24">
      <c r="A289" s="202">
        <v>45670</v>
      </c>
      <c r="B289" s="31"/>
      <c r="C289" s="31"/>
      <c r="D289" s="59"/>
      <c r="E289" s="1"/>
      <c r="F289" s="1"/>
      <c r="G289" s="61"/>
      <c r="H289" s="61"/>
      <c r="I289" s="1"/>
      <c r="J289" s="1"/>
      <c r="K289" s="1"/>
      <c r="L289" s="1"/>
      <c r="M289" s="63"/>
      <c r="N289" s="63"/>
      <c r="O289" s="63"/>
      <c r="P289" s="63"/>
      <c r="Q289" s="83"/>
      <c r="R289" s="273"/>
      <c r="S289" s="140"/>
      <c r="T289" s="106"/>
      <c r="U289" s="106"/>
      <c r="V289" s="106"/>
      <c r="W289" s="106"/>
      <c r="X289" s="106"/>
    </row>
    <row r="290" spans="1:24">
      <c r="A290" s="201">
        <v>45671</v>
      </c>
      <c r="B290" s="30"/>
      <c r="C290" s="30"/>
      <c r="D290" s="59"/>
      <c r="E290" s="28"/>
      <c r="F290" s="28"/>
      <c r="G290" s="60"/>
      <c r="H290" s="60"/>
      <c r="I290" s="28"/>
      <c r="J290" s="28"/>
      <c r="K290" s="28"/>
      <c r="L290" s="28"/>
      <c r="M290" s="64"/>
      <c r="N290" s="64"/>
      <c r="O290" s="64"/>
      <c r="P290" s="64"/>
      <c r="Q290" s="64"/>
      <c r="R290" s="282"/>
      <c r="S290" s="189"/>
      <c r="T290" s="170"/>
      <c r="U290" s="170"/>
      <c r="V290" s="170"/>
      <c r="W290" s="170"/>
      <c r="X290" s="170"/>
    </row>
    <row r="291" spans="1:24">
      <c r="A291" s="202">
        <v>45672</v>
      </c>
      <c r="B291" s="31"/>
      <c r="C291" s="31"/>
      <c r="D291" s="59"/>
      <c r="E291" s="1"/>
      <c r="F291" s="1"/>
      <c r="G291" s="61"/>
      <c r="H291" s="61"/>
      <c r="I291" s="1"/>
      <c r="J291" s="1"/>
      <c r="K291" s="1"/>
      <c r="L291" s="1"/>
      <c r="M291" s="63"/>
      <c r="N291" s="63"/>
      <c r="O291" s="63"/>
      <c r="P291" s="63"/>
      <c r="Q291" s="83"/>
      <c r="R291" s="273"/>
      <c r="S291" s="140"/>
      <c r="T291" s="106"/>
      <c r="U291" s="106"/>
      <c r="V291" s="106"/>
      <c r="W291" s="106"/>
      <c r="X291" s="106"/>
    </row>
    <row r="292" spans="1:24">
      <c r="A292" s="201">
        <v>45673</v>
      </c>
      <c r="B292" s="30"/>
      <c r="C292" s="30"/>
      <c r="D292" s="59"/>
      <c r="E292" s="28"/>
      <c r="F292" s="28"/>
      <c r="G292" s="60"/>
      <c r="H292" s="60"/>
      <c r="I292" s="28"/>
      <c r="J292" s="28"/>
      <c r="K292" s="28"/>
      <c r="L292" s="28"/>
      <c r="M292" s="64"/>
      <c r="N292" s="64"/>
      <c r="O292" s="64"/>
      <c r="P292" s="64"/>
      <c r="Q292" s="64"/>
      <c r="R292" s="282"/>
      <c r="S292" s="189"/>
      <c r="T292" s="170"/>
      <c r="U292" s="170"/>
      <c r="V292" s="170"/>
      <c r="W292" s="170"/>
      <c r="X292" s="170"/>
    </row>
    <row r="293" spans="1:24">
      <c r="A293" s="202">
        <v>45674</v>
      </c>
      <c r="B293" s="31"/>
      <c r="C293" s="31"/>
      <c r="D293" s="59"/>
      <c r="E293" s="1"/>
      <c r="F293" s="1"/>
      <c r="G293" s="61"/>
      <c r="H293" s="61"/>
      <c r="I293" s="1"/>
      <c r="J293" s="1"/>
      <c r="K293" s="1"/>
      <c r="L293" s="1"/>
      <c r="M293" s="63"/>
      <c r="N293" s="63"/>
      <c r="O293" s="63"/>
      <c r="P293" s="63"/>
      <c r="Q293" s="83"/>
      <c r="R293" s="273"/>
      <c r="S293" s="140"/>
      <c r="T293" s="106"/>
      <c r="U293" s="106"/>
      <c r="V293" s="106"/>
      <c r="W293" s="106"/>
      <c r="X293" s="106"/>
    </row>
    <row r="294" spans="1:24">
      <c r="A294" s="201">
        <v>45675</v>
      </c>
      <c r="B294" s="30"/>
      <c r="C294" s="30"/>
      <c r="D294" s="59"/>
      <c r="E294" s="28"/>
      <c r="F294" s="28"/>
      <c r="G294" s="60"/>
      <c r="H294" s="60"/>
      <c r="I294" s="28"/>
      <c r="J294" s="28"/>
      <c r="K294" s="28"/>
      <c r="L294" s="28"/>
      <c r="M294" s="64"/>
      <c r="N294" s="64"/>
      <c r="O294" s="64"/>
      <c r="P294" s="64"/>
      <c r="Q294" s="64"/>
      <c r="R294" s="282"/>
      <c r="S294" s="189"/>
      <c r="T294" s="170"/>
      <c r="U294" s="170"/>
      <c r="V294" s="170"/>
      <c r="W294" s="170"/>
      <c r="X294" s="170"/>
    </row>
    <row r="295" spans="1:24">
      <c r="A295" s="202">
        <v>45676</v>
      </c>
      <c r="B295" s="31"/>
      <c r="C295" s="31"/>
      <c r="D295" s="59"/>
      <c r="E295" s="1"/>
      <c r="F295" s="1"/>
      <c r="G295" s="61"/>
      <c r="H295" s="61"/>
      <c r="I295" s="1"/>
      <c r="J295" s="1"/>
      <c r="K295" s="1"/>
      <c r="L295" s="1"/>
      <c r="M295" s="63"/>
      <c r="N295" s="63"/>
      <c r="O295" s="63"/>
      <c r="P295" s="63"/>
      <c r="Q295" s="83"/>
      <c r="R295" s="273"/>
      <c r="S295" s="140"/>
      <c r="T295" s="106"/>
      <c r="U295" s="106"/>
      <c r="V295" s="106"/>
      <c r="W295" s="106"/>
      <c r="X295" s="106"/>
    </row>
    <row r="296" spans="1:24">
      <c r="A296" s="201">
        <v>45677</v>
      </c>
      <c r="B296" s="30"/>
      <c r="C296" s="30"/>
      <c r="D296" s="59"/>
      <c r="E296" s="28"/>
      <c r="F296" s="28"/>
      <c r="G296" s="60"/>
      <c r="H296" s="60"/>
      <c r="I296" s="28"/>
      <c r="J296" s="28"/>
      <c r="K296" s="28"/>
      <c r="L296" s="28"/>
      <c r="M296" s="64"/>
      <c r="N296" s="64"/>
      <c r="O296" s="64"/>
      <c r="P296" s="64"/>
      <c r="Q296" s="64"/>
      <c r="R296" s="282"/>
      <c r="S296" s="189"/>
      <c r="T296" s="170"/>
      <c r="U296" s="170"/>
      <c r="V296" s="170"/>
      <c r="W296" s="170"/>
      <c r="X296" s="170"/>
    </row>
    <row r="297" spans="1:24">
      <c r="A297" s="202">
        <v>45678</v>
      </c>
      <c r="B297" s="31"/>
      <c r="C297" s="31"/>
      <c r="D297" s="59"/>
      <c r="E297" s="1"/>
      <c r="F297" s="1"/>
      <c r="G297" s="61"/>
      <c r="H297" s="61"/>
      <c r="I297" s="1"/>
      <c r="J297" s="1"/>
      <c r="K297" s="1"/>
      <c r="L297" s="1"/>
      <c r="M297" s="63"/>
      <c r="N297" s="63"/>
      <c r="O297" s="63"/>
      <c r="P297" s="63"/>
      <c r="Q297" s="83"/>
      <c r="R297" s="273"/>
      <c r="S297" s="140"/>
      <c r="T297" s="106"/>
      <c r="U297" s="106"/>
      <c r="V297" s="106"/>
      <c r="W297" s="106"/>
      <c r="X297" s="106"/>
    </row>
    <row r="298" spans="1:24">
      <c r="A298" s="201">
        <v>45679</v>
      </c>
      <c r="B298" s="30"/>
      <c r="C298" s="30"/>
      <c r="D298" s="59"/>
      <c r="E298" s="28"/>
      <c r="F298" s="28"/>
      <c r="G298" s="60"/>
      <c r="H298" s="60"/>
      <c r="I298" s="28"/>
      <c r="J298" s="28"/>
      <c r="K298" s="28"/>
      <c r="L298" s="28"/>
      <c r="M298" s="64"/>
      <c r="N298" s="64"/>
      <c r="O298" s="64"/>
      <c r="P298" s="64"/>
      <c r="Q298" s="64"/>
      <c r="R298" s="282"/>
      <c r="S298" s="189"/>
      <c r="T298" s="170"/>
      <c r="U298" s="170"/>
      <c r="V298" s="170"/>
      <c r="W298" s="170"/>
      <c r="X298" s="170"/>
    </row>
    <row r="299" spans="1:24">
      <c r="A299" s="202">
        <v>45680</v>
      </c>
      <c r="B299" s="31"/>
      <c r="C299" s="31"/>
      <c r="D299" s="59"/>
      <c r="E299" s="1"/>
      <c r="F299" s="1"/>
      <c r="G299" s="61"/>
      <c r="H299" s="61"/>
      <c r="I299" s="1"/>
      <c r="J299" s="1"/>
      <c r="K299" s="1"/>
      <c r="L299" s="1"/>
      <c r="M299" s="63"/>
      <c r="N299" s="63"/>
      <c r="O299" s="63"/>
      <c r="P299" s="63"/>
      <c r="Q299" s="83"/>
      <c r="R299" s="273"/>
      <c r="S299" s="140"/>
      <c r="T299" s="106"/>
      <c r="U299" s="106"/>
      <c r="V299" s="106"/>
      <c r="W299" s="106"/>
      <c r="X299" s="106"/>
    </row>
    <row r="300" spans="1:24">
      <c r="A300" s="201">
        <v>45681</v>
      </c>
      <c r="B300" s="30"/>
      <c r="C300" s="30"/>
      <c r="D300" s="59"/>
      <c r="E300" s="28"/>
      <c r="F300" s="28"/>
      <c r="G300" s="60"/>
      <c r="H300" s="60"/>
      <c r="I300" s="28"/>
      <c r="J300" s="28"/>
      <c r="K300" s="28"/>
      <c r="L300" s="28"/>
      <c r="M300" s="64"/>
      <c r="N300" s="64"/>
      <c r="O300" s="64"/>
      <c r="P300" s="64"/>
      <c r="Q300" s="64"/>
      <c r="R300" s="282"/>
      <c r="S300" s="189"/>
      <c r="T300" s="170"/>
      <c r="U300" s="170"/>
      <c r="V300" s="170"/>
      <c r="W300" s="170"/>
      <c r="X300" s="170"/>
    </row>
    <row r="301" spans="1:24">
      <c r="A301" s="202">
        <v>45682</v>
      </c>
      <c r="B301" s="31"/>
      <c r="C301" s="31"/>
      <c r="D301" s="59"/>
      <c r="E301" s="1"/>
      <c r="F301" s="1"/>
      <c r="G301" s="61"/>
      <c r="H301" s="61"/>
      <c r="I301" s="1"/>
      <c r="J301" s="1"/>
      <c r="K301" s="1"/>
      <c r="L301" s="1"/>
      <c r="M301" s="63"/>
      <c r="N301" s="63"/>
      <c r="O301" s="63"/>
      <c r="P301" s="63"/>
      <c r="Q301" s="83"/>
      <c r="R301" s="273"/>
      <c r="S301" s="140"/>
      <c r="T301" s="106"/>
      <c r="U301" s="106"/>
      <c r="V301" s="106"/>
      <c r="W301" s="106"/>
      <c r="X301" s="106"/>
    </row>
    <row r="302" spans="1:24">
      <c r="A302" s="201">
        <v>45683</v>
      </c>
      <c r="B302" s="30"/>
      <c r="C302" s="30"/>
      <c r="D302" s="59"/>
      <c r="E302" s="28"/>
      <c r="F302" s="28"/>
      <c r="G302" s="60"/>
      <c r="H302" s="60"/>
      <c r="I302" s="28"/>
      <c r="J302" s="28"/>
      <c r="K302" s="28"/>
      <c r="L302" s="28"/>
      <c r="M302" s="64"/>
      <c r="N302" s="64"/>
      <c r="O302" s="64"/>
      <c r="P302" s="64"/>
      <c r="Q302" s="64"/>
      <c r="R302" s="282"/>
      <c r="S302" s="189"/>
      <c r="T302" s="170"/>
      <c r="U302" s="170"/>
      <c r="V302" s="170"/>
      <c r="W302" s="170"/>
      <c r="X302" s="170"/>
    </row>
    <row r="303" spans="1:24">
      <c r="A303" s="202">
        <v>45684</v>
      </c>
      <c r="B303" s="31"/>
      <c r="C303" s="31"/>
      <c r="D303" s="59"/>
      <c r="E303" s="1"/>
      <c r="F303" s="1"/>
      <c r="G303" s="61"/>
      <c r="H303" s="61"/>
      <c r="I303" s="1"/>
      <c r="J303" s="1"/>
      <c r="K303" s="1"/>
      <c r="L303" s="1"/>
      <c r="M303" s="63"/>
      <c r="N303" s="63"/>
      <c r="O303" s="63"/>
      <c r="P303" s="63"/>
      <c r="Q303" s="83"/>
      <c r="R303" s="273"/>
      <c r="S303" s="140"/>
      <c r="T303" s="106"/>
      <c r="U303" s="106"/>
      <c r="V303" s="106"/>
      <c r="W303" s="106"/>
      <c r="X303" s="106"/>
    </row>
    <row r="304" spans="1:24">
      <c r="A304" s="201">
        <v>45685</v>
      </c>
      <c r="B304" s="30"/>
      <c r="C304" s="30"/>
      <c r="D304" s="59"/>
      <c r="E304" s="28"/>
      <c r="F304" s="28"/>
      <c r="G304" s="60"/>
      <c r="H304" s="60"/>
      <c r="I304" s="28"/>
      <c r="J304" s="28"/>
      <c r="K304" s="28"/>
      <c r="L304" s="28"/>
      <c r="M304" s="64"/>
      <c r="N304" s="64"/>
      <c r="O304" s="64"/>
      <c r="P304" s="64"/>
      <c r="Q304" s="64"/>
      <c r="R304" s="282"/>
      <c r="S304" s="189"/>
      <c r="T304" s="170"/>
      <c r="U304" s="170"/>
      <c r="V304" s="170"/>
      <c r="W304" s="170"/>
      <c r="X304" s="170"/>
    </row>
    <row r="305" spans="1:29">
      <c r="A305" s="202">
        <v>45686</v>
      </c>
      <c r="B305" s="31"/>
      <c r="C305" s="31"/>
      <c r="D305" s="59"/>
      <c r="E305" s="1"/>
      <c r="F305" s="1"/>
      <c r="G305" s="61"/>
      <c r="H305" s="61"/>
      <c r="I305" s="1"/>
      <c r="J305" s="1"/>
      <c r="K305" s="1"/>
      <c r="L305" s="1"/>
      <c r="M305" s="63"/>
      <c r="N305" s="63"/>
      <c r="O305" s="63"/>
      <c r="P305" s="63"/>
      <c r="Q305" s="83"/>
      <c r="R305" s="273"/>
      <c r="S305" s="140"/>
      <c r="T305" s="106"/>
      <c r="U305" s="106"/>
      <c r="V305" s="106"/>
      <c r="W305" s="106"/>
      <c r="X305" s="106"/>
    </row>
    <row r="306" spans="1:29">
      <c r="A306" s="201">
        <v>45687</v>
      </c>
      <c r="B306" s="30"/>
      <c r="C306" s="30"/>
      <c r="D306" s="59"/>
      <c r="E306" s="28"/>
      <c r="F306" s="28"/>
      <c r="G306" s="60"/>
      <c r="H306" s="60"/>
      <c r="I306" s="28"/>
      <c r="J306" s="28"/>
      <c r="K306" s="28"/>
      <c r="L306" s="28"/>
      <c r="M306" s="64"/>
      <c r="N306" s="64"/>
      <c r="O306" s="64"/>
      <c r="P306" s="64"/>
      <c r="Q306" s="64"/>
      <c r="R306" s="282"/>
      <c r="S306" s="189"/>
      <c r="T306" s="170"/>
      <c r="U306" s="170"/>
      <c r="V306" s="170"/>
      <c r="W306" s="170"/>
      <c r="X306" s="170"/>
    </row>
    <row r="307" spans="1:29">
      <c r="A307" s="202">
        <v>45688</v>
      </c>
      <c r="B307" s="31"/>
      <c r="C307" s="31"/>
      <c r="D307" s="59"/>
      <c r="E307" s="1"/>
      <c r="F307" s="1"/>
      <c r="G307" s="61"/>
      <c r="H307" s="61"/>
      <c r="I307" s="1"/>
      <c r="J307" s="1"/>
      <c r="K307" s="1"/>
      <c r="L307" s="1"/>
      <c r="M307" s="63"/>
      <c r="N307" s="63"/>
      <c r="O307" s="63"/>
      <c r="P307" s="63"/>
      <c r="Q307" s="83"/>
      <c r="R307" s="273"/>
      <c r="S307" s="140"/>
      <c r="T307" s="106"/>
      <c r="U307" s="106"/>
      <c r="V307" s="106"/>
      <c r="W307" s="106"/>
      <c r="X307" s="106"/>
    </row>
    <row r="308" spans="1:29" s="44" customFormat="1">
      <c r="A308" s="388">
        <v>45689</v>
      </c>
      <c r="B308" s="192"/>
      <c r="C308" s="192"/>
      <c r="D308" s="72"/>
      <c r="E308" s="73"/>
      <c r="F308" s="73"/>
      <c r="G308" s="193"/>
      <c r="H308" s="193"/>
      <c r="I308" s="73"/>
      <c r="J308" s="73"/>
      <c r="K308" s="73"/>
      <c r="L308" s="73"/>
      <c r="M308" s="194"/>
      <c r="N308" s="194"/>
      <c r="O308" s="194"/>
      <c r="P308" s="194"/>
      <c r="Q308" s="194"/>
      <c r="R308" s="283"/>
      <c r="S308" s="195"/>
      <c r="T308" s="196"/>
      <c r="U308" s="196"/>
      <c r="V308" s="196"/>
      <c r="W308" s="196"/>
      <c r="X308" s="196"/>
      <c r="AB308"/>
      <c r="AC308"/>
    </row>
    <row r="309" spans="1:29">
      <c r="A309" s="202">
        <v>45690</v>
      </c>
      <c r="B309" s="31"/>
      <c r="C309" s="31"/>
      <c r="D309" s="59"/>
      <c r="E309" s="1"/>
      <c r="F309" s="1"/>
      <c r="G309" s="61"/>
      <c r="H309" s="61"/>
      <c r="I309" s="1"/>
      <c r="J309" s="1"/>
      <c r="K309" s="1"/>
      <c r="L309" s="1"/>
      <c r="M309" s="63"/>
      <c r="N309" s="63"/>
      <c r="O309" s="63"/>
      <c r="P309" s="63"/>
      <c r="Q309" s="83"/>
      <c r="R309" s="273"/>
      <c r="S309" s="140"/>
      <c r="T309" s="106"/>
      <c r="U309" s="106"/>
      <c r="V309" s="106"/>
      <c r="W309" s="106"/>
      <c r="X309" s="106"/>
    </row>
    <row r="310" spans="1:29">
      <c r="A310" s="201">
        <v>45691</v>
      </c>
      <c r="B310" s="30"/>
      <c r="C310" s="30"/>
      <c r="D310" s="59"/>
      <c r="E310" s="28"/>
      <c r="F310" s="28"/>
      <c r="G310" s="60"/>
      <c r="H310" s="60"/>
      <c r="I310" s="28"/>
      <c r="J310" s="28"/>
      <c r="K310" s="28"/>
      <c r="L310" s="28"/>
      <c r="M310" s="64"/>
      <c r="N310" s="64"/>
      <c r="O310" s="64"/>
      <c r="P310" s="64"/>
      <c r="Q310" s="64"/>
      <c r="R310" s="282"/>
      <c r="S310" s="189"/>
      <c r="T310" s="170"/>
      <c r="U310" s="170"/>
      <c r="V310" s="170"/>
      <c r="W310" s="170"/>
      <c r="X310" s="170"/>
    </row>
    <row r="311" spans="1:29">
      <c r="A311" s="202">
        <v>45692</v>
      </c>
      <c r="B311" s="31"/>
      <c r="C311" s="31"/>
      <c r="D311" s="59"/>
      <c r="E311" s="1"/>
      <c r="F311" s="1"/>
      <c r="G311" s="61"/>
      <c r="H311" s="61"/>
      <c r="I311" s="1"/>
      <c r="J311" s="1"/>
      <c r="K311" s="1"/>
      <c r="L311" s="1"/>
      <c r="M311" s="63"/>
      <c r="N311" s="63"/>
      <c r="O311" s="63"/>
      <c r="P311" s="63"/>
      <c r="Q311" s="83"/>
      <c r="R311" s="273"/>
      <c r="S311" s="140"/>
      <c r="T311" s="106"/>
      <c r="U311" s="106"/>
      <c r="V311" s="106"/>
      <c r="W311" s="106"/>
      <c r="X311" s="106"/>
    </row>
    <row r="312" spans="1:29">
      <c r="A312" s="201">
        <v>45693</v>
      </c>
      <c r="B312" s="30"/>
      <c r="C312" s="30"/>
      <c r="D312" s="59"/>
      <c r="E312" s="28"/>
      <c r="F312" s="28"/>
      <c r="G312" s="60"/>
      <c r="H312" s="60"/>
      <c r="I312" s="28"/>
      <c r="J312" s="28"/>
      <c r="K312" s="28"/>
      <c r="L312" s="28"/>
      <c r="M312" s="64"/>
      <c r="N312" s="64"/>
      <c r="O312" s="64"/>
      <c r="P312" s="64"/>
      <c r="Q312" s="64"/>
      <c r="R312" s="282"/>
      <c r="S312" s="189"/>
      <c r="T312" s="170"/>
      <c r="U312" s="170"/>
      <c r="V312" s="170"/>
      <c r="W312" s="170"/>
      <c r="X312" s="170"/>
    </row>
    <row r="313" spans="1:29">
      <c r="A313" s="202">
        <v>45694</v>
      </c>
      <c r="B313" s="31"/>
      <c r="C313" s="31"/>
      <c r="D313" s="59"/>
      <c r="E313" s="1"/>
      <c r="F313" s="1"/>
      <c r="G313" s="61"/>
      <c r="H313" s="61"/>
      <c r="I313" s="1"/>
      <c r="J313" s="1"/>
      <c r="K313" s="1"/>
      <c r="L313" s="1"/>
      <c r="M313" s="63"/>
      <c r="N313" s="63"/>
      <c r="O313" s="63"/>
      <c r="P313" s="63"/>
      <c r="Q313" s="83"/>
      <c r="R313" s="273"/>
      <c r="S313" s="140"/>
      <c r="T313" s="106"/>
      <c r="U313" s="106"/>
      <c r="V313" s="106"/>
      <c r="W313" s="106"/>
      <c r="X313" s="106"/>
    </row>
    <row r="314" spans="1:29">
      <c r="A314" s="201">
        <v>45695</v>
      </c>
      <c r="B314" s="30"/>
      <c r="C314" s="30"/>
      <c r="D314" s="59"/>
      <c r="E314" s="28"/>
      <c r="F314" s="28"/>
      <c r="G314" s="60"/>
      <c r="H314" s="60"/>
      <c r="I314" s="28"/>
      <c r="J314" s="28"/>
      <c r="K314" s="28"/>
      <c r="L314" s="28"/>
      <c r="M314" s="64"/>
      <c r="N314" s="64"/>
      <c r="O314" s="64"/>
      <c r="P314" s="64"/>
      <c r="Q314" s="64"/>
      <c r="R314" s="282"/>
      <c r="S314" s="189"/>
      <c r="T314" s="170"/>
      <c r="U314" s="170"/>
      <c r="V314" s="170"/>
      <c r="W314" s="170"/>
      <c r="X314" s="170"/>
    </row>
    <row r="315" spans="1:29">
      <c r="A315" s="202">
        <v>45696</v>
      </c>
      <c r="B315" s="31"/>
      <c r="C315" s="31"/>
      <c r="D315" s="59"/>
      <c r="E315" s="1"/>
      <c r="F315" s="1"/>
      <c r="G315" s="61"/>
      <c r="H315" s="61"/>
      <c r="I315" s="1"/>
      <c r="J315" s="1"/>
      <c r="K315" s="1"/>
      <c r="L315" s="1"/>
      <c r="M315" s="63"/>
      <c r="N315" s="63"/>
      <c r="O315" s="63"/>
      <c r="P315" s="63"/>
      <c r="Q315" s="83"/>
      <c r="R315" s="273"/>
      <c r="S315" s="140"/>
      <c r="T315" s="106"/>
      <c r="U315" s="106"/>
      <c r="V315" s="106"/>
      <c r="W315" s="106"/>
      <c r="X315" s="106"/>
    </row>
    <row r="316" spans="1:29">
      <c r="A316" s="201">
        <v>45697</v>
      </c>
      <c r="B316" s="30"/>
      <c r="C316" s="30"/>
      <c r="D316" s="59"/>
      <c r="E316" s="28"/>
      <c r="F316" s="28"/>
      <c r="G316" s="60"/>
      <c r="H316" s="60"/>
      <c r="I316" s="28"/>
      <c r="J316" s="28"/>
      <c r="K316" s="28"/>
      <c r="L316" s="28"/>
      <c r="M316" s="64"/>
      <c r="N316" s="64"/>
      <c r="O316" s="64"/>
      <c r="P316" s="64"/>
      <c r="Q316" s="64"/>
      <c r="R316" s="282"/>
      <c r="S316" s="189"/>
      <c r="T316" s="170"/>
      <c r="U316" s="170"/>
      <c r="V316" s="170"/>
      <c r="W316" s="170"/>
      <c r="X316" s="170"/>
    </row>
    <row r="317" spans="1:29">
      <c r="A317" s="202">
        <v>45698</v>
      </c>
      <c r="B317" s="31"/>
      <c r="C317" s="31"/>
      <c r="D317" s="59"/>
      <c r="E317" s="1"/>
      <c r="F317" s="1"/>
      <c r="G317" s="61"/>
      <c r="H317" s="61"/>
      <c r="I317" s="1"/>
      <c r="J317" s="1"/>
      <c r="K317" s="1"/>
      <c r="L317" s="1"/>
      <c r="M317" s="63"/>
      <c r="N317" s="63"/>
      <c r="O317" s="63"/>
      <c r="P317" s="63"/>
      <c r="Q317" s="83"/>
      <c r="R317" s="273"/>
      <c r="S317" s="140"/>
      <c r="T317" s="106"/>
      <c r="U317" s="106"/>
      <c r="V317" s="106"/>
      <c r="W317" s="106"/>
      <c r="X317" s="106"/>
    </row>
    <row r="318" spans="1:29">
      <c r="A318" s="201">
        <v>45699</v>
      </c>
      <c r="B318" s="30"/>
      <c r="C318" s="30"/>
      <c r="D318" s="59"/>
      <c r="E318" s="28"/>
      <c r="F318" s="28"/>
      <c r="G318" s="60"/>
      <c r="H318" s="60"/>
      <c r="I318" s="28"/>
      <c r="J318" s="28"/>
      <c r="K318" s="28"/>
      <c r="L318" s="28"/>
      <c r="M318" s="64"/>
      <c r="N318" s="64"/>
      <c r="O318" s="64"/>
      <c r="P318" s="64"/>
      <c r="Q318" s="64"/>
      <c r="R318" s="282"/>
      <c r="S318" s="189"/>
      <c r="T318" s="170"/>
      <c r="U318" s="170"/>
      <c r="V318" s="170"/>
      <c r="W318" s="170"/>
      <c r="X318" s="170"/>
    </row>
    <row r="319" spans="1:29">
      <c r="A319" s="202">
        <v>45700</v>
      </c>
      <c r="B319" s="31"/>
      <c r="C319" s="31"/>
      <c r="D319" s="59"/>
      <c r="E319" s="1"/>
      <c r="F319" s="1"/>
      <c r="G319" s="61"/>
      <c r="H319" s="61"/>
      <c r="I319" s="1"/>
      <c r="J319" s="1"/>
      <c r="K319" s="1"/>
      <c r="L319" s="1"/>
      <c r="M319" s="63"/>
      <c r="N319" s="63"/>
      <c r="O319" s="63"/>
      <c r="P319" s="63"/>
      <c r="Q319" s="83"/>
      <c r="R319" s="273"/>
      <c r="S319" s="140"/>
      <c r="T319" s="106"/>
      <c r="U319" s="106"/>
      <c r="V319" s="106"/>
      <c r="W319" s="106"/>
      <c r="X319" s="106"/>
    </row>
    <row r="320" spans="1:29">
      <c r="A320" s="201">
        <v>45701</v>
      </c>
      <c r="B320" s="30"/>
      <c r="C320" s="30"/>
      <c r="D320" s="59"/>
      <c r="E320" s="28"/>
      <c r="F320" s="28"/>
      <c r="G320" s="60"/>
      <c r="H320" s="60"/>
      <c r="I320" s="28"/>
      <c r="J320" s="28"/>
      <c r="K320" s="28"/>
      <c r="L320" s="28"/>
      <c r="M320" s="64"/>
      <c r="N320" s="64"/>
      <c r="O320" s="64"/>
      <c r="P320" s="64"/>
      <c r="Q320" s="64"/>
      <c r="R320" s="282"/>
      <c r="S320" s="189"/>
      <c r="T320" s="170"/>
      <c r="U320" s="170"/>
      <c r="V320" s="170"/>
      <c r="W320" s="170"/>
      <c r="X320" s="170"/>
    </row>
    <row r="321" spans="1:24">
      <c r="A321" s="202">
        <v>45702</v>
      </c>
      <c r="B321" s="31"/>
      <c r="C321" s="31"/>
      <c r="D321" s="59"/>
      <c r="E321" s="1"/>
      <c r="F321" s="1"/>
      <c r="G321" s="61"/>
      <c r="H321" s="61"/>
      <c r="I321" s="1"/>
      <c r="J321" s="1"/>
      <c r="K321" s="1"/>
      <c r="L321" s="1"/>
      <c r="M321" s="63"/>
      <c r="N321" s="63"/>
      <c r="O321" s="63"/>
      <c r="P321" s="63"/>
      <c r="Q321" s="83"/>
      <c r="R321" s="273"/>
      <c r="S321" s="140"/>
      <c r="T321" s="106"/>
      <c r="U321" s="106"/>
      <c r="V321" s="106"/>
      <c r="W321" s="106"/>
      <c r="X321" s="106"/>
    </row>
    <row r="322" spans="1:24">
      <c r="A322" s="201">
        <v>45703</v>
      </c>
      <c r="B322" s="30"/>
      <c r="C322" s="30"/>
      <c r="D322" s="59"/>
      <c r="E322" s="28"/>
      <c r="F322" s="28"/>
      <c r="G322" s="60"/>
      <c r="H322" s="60"/>
      <c r="I322" s="28"/>
      <c r="J322" s="28"/>
      <c r="K322" s="28"/>
      <c r="L322" s="28"/>
      <c r="M322" s="64"/>
      <c r="N322" s="64"/>
      <c r="O322" s="64"/>
      <c r="P322" s="64"/>
      <c r="Q322" s="64"/>
      <c r="R322" s="282"/>
      <c r="S322" s="189"/>
      <c r="T322" s="170"/>
      <c r="U322" s="170"/>
      <c r="V322" s="170"/>
      <c r="W322" s="170"/>
      <c r="X322" s="170"/>
    </row>
    <row r="323" spans="1:24">
      <c r="A323" s="202">
        <v>45704</v>
      </c>
      <c r="B323" s="31"/>
      <c r="C323" s="31"/>
      <c r="D323" s="59"/>
      <c r="E323" s="1"/>
      <c r="F323" s="1"/>
      <c r="G323" s="61"/>
      <c r="H323" s="61"/>
      <c r="I323" s="1"/>
      <c r="J323" s="1"/>
      <c r="K323" s="1"/>
      <c r="L323" s="1"/>
      <c r="M323" s="63"/>
      <c r="N323" s="63"/>
      <c r="O323" s="63"/>
      <c r="P323" s="63"/>
      <c r="Q323" s="83"/>
      <c r="R323" s="273"/>
      <c r="S323" s="140"/>
      <c r="T323" s="106"/>
      <c r="U323" s="106"/>
      <c r="V323" s="106"/>
      <c r="W323" s="106"/>
      <c r="X323" s="106"/>
    </row>
    <row r="324" spans="1:24">
      <c r="A324" s="201">
        <v>45705</v>
      </c>
      <c r="B324" s="30"/>
      <c r="C324" s="30"/>
      <c r="D324" s="59"/>
      <c r="E324" s="28"/>
      <c r="F324" s="28"/>
      <c r="G324" s="60"/>
      <c r="H324" s="60"/>
      <c r="I324" s="28"/>
      <c r="J324" s="28"/>
      <c r="K324" s="28"/>
      <c r="L324" s="28"/>
      <c r="M324" s="64"/>
      <c r="N324" s="64"/>
      <c r="O324" s="64"/>
      <c r="P324" s="64"/>
      <c r="Q324" s="64"/>
      <c r="R324" s="282"/>
      <c r="S324" s="189"/>
      <c r="T324" s="170"/>
      <c r="U324" s="170"/>
      <c r="V324" s="170"/>
      <c r="W324" s="170"/>
      <c r="X324" s="170"/>
    </row>
    <row r="325" spans="1:24">
      <c r="A325" s="202">
        <v>45706</v>
      </c>
      <c r="B325" s="31"/>
      <c r="C325" s="31"/>
      <c r="D325" s="59"/>
      <c r="E325" s="1"/>
      <c r="F325" s="1"/>
      <c r="G325" s="61"/>
      <c r="H325" s="61"/>
      <c r="I325" s="1"/>
      <c r="J325" s="1"/>
      <c r="K325" s="1"/>
      <c r="L325" s="1"/>
      <c r="M325" s="63"/>
      <c r="N325" s="63"/>
      <c r="O325" s="63"/>
      <c r="P325" s="63"/>
      <c r="Q325" s="83"/>
      <c r="R325" s="273"/>
      <c r="S325" s="140"/>
      <c r="T325" s="106"/>
      <c r="U325" s="106"/>
      <c r="V325" s="106"/>
      <c r="W325" s="106"/>
      <c r="X325" s="106"/>
    </row>
    <row r="326" spans="1:24">
      <c r="A326" s="201">
        <v>45707</v>
      </c>
      <c r="B326" s="30"/>
      <c r="C326" s="30"/>
      <c r="D326" s="59"/>
      <c r="E326" s="28"/>
      <c r="F326" s="28"/>
      <c r="G326" s="60"/>
      <c r="H326" s="60"/>
      <c r="I326" s="28"/>
      <c r="J326" s="28"/>
      <c r="K326" s="28"/>
      <c r="L326" s="28"/>
      <c r="M326" s="64"/>
      <c r="N326" s="64"/>
      <c r="O326" s="64"/>
      <c r="P326" s="64"/>
      <c r="Q326" s="64"/>
      <c r="R326" s="282"/>
      <c r="S326" s="189"/>
      <c r="T326" s="170"/>
      <c r="U326" s="170"/>
      <c r="V326" s="170"/>
      <c r="W326" s="170"/>
      <c r="X326" s="170"/>
    </row>
    <row r="327" spans="1:24">
      <c r="A327" s="202">
        <v>45708</v>
      </c>
      <c r="B327" s="31"/>
      <c r="C327" s="31"/>
      <c r="D327" s="59"/>
      <c r="E327" s="1"/>
      <c r="F327" s="1"/>
      <c r="G327" s="61"/>
      <c r="H327" s="61"/>
      <c r="I327" s="1"/>
      <c r="J327" s="1"/>
      <c r="K327" s="1"/>
      <c r="L327" s="1"/>
      <c r="M327" s="63"/>
      <c r="N327" s="63"/>
      <c r="O327" s="63"/>
      <c r="P327" s="63"/>
      <c r="Q327" s="83"/>
      <c r="R327" s="273"/>
      <c r="S327" s="140"/>
      <c r="T327" s="106"/>
      <c r="U327" s="106"/>
      <c r="V327" s="106"/>
      <c r="W327" s="106"/>
      <c r="X327" s="106"/>
    </row>
    <row r="328" spans="1:24">
      <c r="A328" s="201">
        <v>45709</v>
      </c>
      <c r="B328" s="30"/>
      <c r="C328" s="30"/>
      <c r="D328" s="59"/>
      <c r="E328" s="28"/>
      <c r="F328" s="28"/>
      <c r="G328" s="60"/>
      <c r="H328" s="60"/>
      <c r="I328" s="28"/>
      <c r="J328" s="28"/>
      <c r="K328" s="28"/>
      <c r="L328" s="28"/>
      <c r="M328" s="64"/>
      <c r="N328" s="64"/>
      <c r="O328" s="64"/>
      <c r="P328" s="64"/>
      <c r="Q328" s="64"/>
      <c r="R328" s="282"/>
      <c r="S328" s="189"/>
      <c r="T328" s="170"/>
      <c r="U328" s="170"/>
      <c r="V328" s="170"/>
      <c r="W328" s="170"/>
      <c r="X328" s="170"/>
    </row>
    <row r="329" spans="1:24">
      <c r="A329" s="202">
        <v>45710</v>
      </c>
      <c r="B329" s="31"/>
      <c r="C329" s="31"/>
      <c r="D329" s="59"/>
      <c r="E329" s="1"/>
      <c r="F329" s="1"/>
      <c r="G329" s="61"/>
      <c r="H329" s="61"/>
      <c r="I329" s="1"/>
      <c r="J329" s="1"/>
      <c r="K329" s="1"/>
      <c r="L329" s="1"/>
      <c r="M329" s="63"/>
      <c r="N329" s="63"/>
      <c r="O329" s="63"/>
      <c r="P329" s="63"/>
      <c r="Q329" s="83"/>
      <c r="R329" s="273"/>
      <c r="S329" s="140"/>
      <c r="T329" s="106"/>
      <c r="U329" s="106"/>
      <c r="V329" s="106"/>
      <c r="W329" s="106"/>
      <c r="X329" s="106"/>
    </row>
    <row r="330" spans="1:24">
      <c r="A330" s="201">
        <v>45711</v>
      </c>
      <c r="B330" s="30"/>
      <c r="C330" s="30"/>
      <c r="D330" s="59"/>
      <c r="E330" s="28"/>
      <c r="F330" s="28"/>
      <c r="G330" s="60"/>
      <c r="H330" s="60"/>
      <c r="I330" s="28"/>
      <c r="J330" s="28"/>
      <c r="K330" s="28"/>
      <c r="L330" s="28"/>
      <c r="M330" s="64"/>
      <c r="N330" s="64"/>
      <c r="O330" s="64"/>
      <c r="P330" s="64"/>
      <c r="Q330" s="64"/>
      <c r="R330" s="282"/>
      <c r="S330" s="189"/>
      <c r="T330" s="170"/>
      <c r="U330" s="170"/>
      <c r="V330" s="170"/>
      <c r="W330" s="170"/>
      <c r="X330" s="170"/>
    </row>
    <row r="331" spans="1:24">
      <c r="A331" s="202">
        <v>45712</v>
      </c>
      <c r="B331" s="31"/>
      <c r="C331" s="31"/>
      <c r="D331" s="59"/>
      <c r="E331" s="1"/>
      <c r="F331" s="1"/>
      <c r="G331" s="61"/>
      <c r="H331" s="61"/>
      <c r="I331" s="1"/>
      <c r="J331" s="1"/>
      <c r="K331" s="1"/>
      <c r="L331" s="1"/>
      <c r="M331" s="63"/>
      <c r="N331" s="63"/>
      <c r="O331" s="63"/>
      <c r="P331" s="63"/>
      <c r="Q331" s="83"/>
      <c r="R331" s="273"/>
      <c r="S331" s="140"/>
      <c r="T331" s="106"/>
      <c r="U331" s="106"/>
      <c r="V331" s="106"/>
      <c r="W331" s="106"/>
      <c r="X331" s="106"/>
    </row>
    <row r="332" spans="1:24">
      <c r="A332" s="201">
        <v>45713</v>
      </c>
      <c r="B332" s="30"/>
      <c r="C332" s="30"/>
      <c r="D332" s="59"/>
      <c r="E332" s="28"/>
      <c r="F332" s="28"/>
      <c r="G332" s="60"/>
      <c r="H332" s="60"/>
      <c r="I332" s="28"/>
      <c r="J332" s="28"/>
      <c r="K332" s="28"/>
      <c r="L332" s="28"/>
      <c r="M332" s="64"/>
      <c r="N332" s="64"/>
      <c r="O332" s="64"/>
      <c r="P332" s="64"/>
      <c r="Q332" s="64"/>
      <c r="R332" s="282"/>
      <c r="S332" s="189"/>
      <c r="T332" s="170"/>
      <c r="U332" s="170"/>
      <c r="V332" s="170"/>
      <c r="W332" s="170"/>
      <c r="X332" s="170"/>
    </row>
    <row r="333" spans="1:24">
      <c r="A333" s="202">
        <v>45714</v>
      </c>
      <c r="B333" s="31"/>
      <c r="C333" s="31"/>
      <c r="D333" s="59"/>
      <c r="E333" s="1"/>
      <c r="F333" s="1"/>
      <c r="G333" s="61"/>
      <c r="H333" s="61"/>
      <c r="I333" s="1"/>
      <c r="J333" s="1"/>
      <c r="K333" s="1"/>
      <c r="L333" s="1"/>
      <c r="M333" s="63"/>
      <c r="N333" s="63"/>
      <c r="O333" s="63"/>
      <c r="P333" s="63"/>
      <c r="Q333" s="83"/>
      <c r="R333" s="273"/>
      <c r="S333" s="140"/>
      <c r="T333" s="106"/>
      <c r="U333" s="106"/>
      <c r="V333" s="106"/>
      <c r="W333" s="106"/>
      <c r="X333" s="106"/>
    </row>
    <row r="334" spans="1:24">
      <c r="A334" s="201">
        <v>45715</v>
      </c>
      <c r="B334" s="30"/>
      <c r="C334" s="30"/>
      <c r="D334" s="59"/>
      <c r="E334" s="28"/>
      <c r="F334" s="28"/>
      <c r="G334" s="60"/>
      <c r="H334" s="60"/>
      <c r="I334" s="28"/>
      <c r="J334" s="28"/>
      <c r="K334" s="28"/>
      <c r="L334" s="28"/>
      <c r="M334" s="64"/>
      <c r="N334" s="64"/>
      <c r="O334" s="64"/>
      <c r="P334" s="64"/>
      <c r="Q334" s="64"/>
      <c r="R334" s="282"/>
      <c r="S334" s="189"/>
      <c r="T334" s="170"/>
      <c r="U334" s="170"/>
      <c r="V334" s="170"/>
      <c r="W334" s="170"/>
      <c r="X334" s="170"/>
    </row>
    <row r="335" spans="1:24">
      <c r="A335" s="202">
        <v>45716</v>
      </c>
      <c r="B335" s="31"/>
      <c r="C335" s="31"/>
      <c r="D335" s="59"/>
      <c r="E335" s="1"/>
      <c r="F335" s="1"/>
      <c r="G335" s="61"/>
      <c r="H335" s="61"/>
      <c r="I335" s="1"/>
      <c r="J335" s="1"/>
      <c r="K335" s="1"/>
      <c r="L335" s="1"/>
      <c r="M335" s="63"/>
      <c r="N335" s="63"/>
      <c r="O335" s="63"/>
      <c r="P335" s="63"/>
      <c r="Q335" s="83"/>
      <c r="R335" s="273"/>
      <c r="S335" s="140"/>
      <c r="T335" s="106"/>
      <c r="U335" s="106"/>
      <c r="V335" s="106"/>
      <c r="W335" s="106"/>
      <c r="X335" s="106"/>
    </row>
    <row r="336" spans="1:24">
      <c r="A336" s="201">
        <v>45717</v>
      </c>
      <c r="B336" s="30"/>
      <c r="C336" s="30"/>
      <c r="D336" s="59"/>
      <c r="E336" s="28"/>
      <c r="F336" s="28"/>
      <c r="G336" s="60"/>
      <c r="H336" s="60"/>
      <c r="I336" s="28"/>
      <c r="J336" s="28"/>
      <c r="K336" s="28"/>
      <c r="L336" s="28"/>
      <c r="M336" s="64"/>
      <c r="N336" s="64"/>
      <c r="O336" s="64"/>
      <c r="P336" s="64"/>
      <c r="Q336" s="64"/>
      <c r="R336" s="282"/>
      <c r="S336" s="189"/>
      <c r="T336" s="170"/>
      <c r="U336" s="170"/>
      <c r="V336" s="170"/>
      <c r="W336" s="170"/>
      <c r="X336" s="170"/>
    </row>
    <row r="337" spans="1:29" s="44" customFormat="1">
      <c r="A337" s="390">
        <v>45718</v>
      </c>
      <c r="B337" s="72"/>
      <c r="C337" s="72"/>
      <c r="D337" s="72"/>
      <c r="E337" s="62"/>
      <c r="F337" s="62"/>
      <c r="G337" s="75"/>
      <c r="H337" s="75"/>
      <c r="I337" s="62"/>
      <c r="J337" s="62"/>
      <c r="K337" s="62"/>
      <c r="L337" s="62"/>
      <c r="M337" s="134"/>
      <c r="N337" s="134"/>
      <c r="O337" s="134"/>
      <c r="P337" s="134"/>
      <c r="Q337" s="135"/>
      <c r="R337" s="277"/>
      <c r="S337" s="160"/>
      <c r="T337" s="136"/>
      <c r="U337" s="136"/>
      <c r="V337" s="136"/>
      <c r="W337" s="136"/>
      <c r="X337" s="136"/>
      <c r="AB337"/>
      <c r="AC337"/>
    </row>
    <row r="338" spans="1:29">
      <c r="A338" s="201">
        <v>45719</v>
      </c>
      <c r="B338" s="30"/>
      <c r="C338" s="30"/>
      <c r="D338" s="59"/>
      <c r="E338" s="28"/>
      <c r="F338" s="28"/>
      <c r="G338" s="60"/>
      <c r="H338" s="60"/>
      <c r="I338" s="28"/>
      <c r="J338" s="28"/>
      <c r="K338" s="28"/>
      <c r="L338" s="28"/>
      <c r="M338" s="64"/>
      <c r="N338" s="64"/>
      <c r="O338" s="64"/>
      <c r="P338" s="64"/>
      <c r="Q338" s="64"/>
      <c r="R338" s="282"/>
      <c r="S338" s="189"/>
      <c r="T338" s="170"/>
      <c r="U338" s="170"/>
      <c r="V338" s="170"/>
      <c r="W338" s="170"/>
      <c r="X338" s="170"/>
    </row>
    <row r="339" spans="1:29">
      <c r="A339" s="202">
        <v>45720</v>
      </c>
      <c r="B339" s="31"/>
      <c r="C339" s="31"/>
      <c r="D339" s="59"/>
      <c r="E339" s="1"/>
      <c r="F339" s="1"/>
      <c r="G339" s="61"/>
      <c r="H339" s="61"/>
      <c r="I339" s="1"/>
      <c r="J339" s="1"/>
      <c r="K339" s="1"/>
      <c r="L339" s="1"/>
      <c r="M339" s="63"/>
      <c r="N339" s="63"/>
      <c r="O339" s="63"/>
      <c r="P339" s="63"/>
      <c r="Q339" s="83"/>
      <c r="R339" s="273"/>
      <c r="S339" s="140"/>
      <c r="T339" s="106"/>
      <c r="U339" s="106"/>
      <c r="V339" s="106"/>
      <c r="W339" s="106"/>
      <c r="X339" s="106"/>
    </row>
    <row r="340" spans="1:29">
      <c r="A340" s="201">
        <v>45721</v>
      </c>
      <c r="B340" s="30"/>
      <c r="C340" s="30"/>
      <c r="D340" s="59"/>
      <c r="E340" s="28"/>
      <c r="F340" s="28"/>
      <c r="G340" s="60"/>
      <c r="H340" s="60"/>
      <c r="I340" s="28"/>
      <c r="J340" s="28"/>
      <c r="K340" s="28"/>
      <c r="L340" s="28"/>
      <c r="M340" s="64"/>
      <c r="N340" s="64"/>
      <c r="O340" s="64"/>
      <c r="P340" s="64"/>
      <c r="Q340" s="64"/>
      <c r="R340" s="282"/>
      <c r="S340" s="189"/>
      <c r="T340" s="170"/>
      <c r="U340" s="170"/>
      <c r="V340" s="170"/>
      <c r="W340" s="170"/>
      <c r="X340" s="170"/>
    </row>
    <row r="341" spans="1:29">
      <c r="A341" s="202">
        <v>45722</v>
      </c>
      <c r="B341" s="31"/>
      <c r="C341" s="31"/>
      <c r="D341" s="59"/>
      <c r="E341" s="1"/>
      <c r="F341" s="1"/>
      <c r="G341" s="61"/>
      <c r="H341" s="61"/>
      <c r="I341" s="1"/>
      <c r="J341" s="1"/>
      <c r="K341" s="1"/>
      <c r="L341" s="1"/>
      <c r="M341" s="63"/>
      <c r="N341" s="63"/>
      <c r="O341" s="63"/>
      <c r="P341" s="63"/>
      <c r="Q341" s="83"/>
      <c r="R341" s="273"/>
      <c r="S341" s="140"/>
      <c r="T341" s="106"/>
      <c r="U341" s="106"/>
      <c r="V341" s="106"/>
      <c r="W341" s="106"/>
      <c r="X341" s="106"/>
    </row>
    <row r="342" spans="1:29">
      <c r="A342" s="201">
        <v>45723</v>
      </c>
      <c r="B342" s="30"/>
      <c r="C342" s="30"/>
      <c r="D342" s="59"/>
      <c r="E342" s="28"/>
      <c r="F342" s="28"/>
      <c r="G342" s="60"/>
      <c r="H342" s="60"/>
      <c r="I342" s="28"/>
      <c r="J342" s="28"/>
      <c r="K342" s="28"/>
      <c r="L342" s="28"/>
      <c r="M342" s="64"/>
      <c r="N342" s="64"/>
      <c r="O342" s="64"/>
      <c r="P342" s="64"/>
      <c r="Q342" s="64"/>
      <c r="R342" s="282"/>
      <c r="S342" s="189"/>
      <c r="T342" s="170"/>
      <c r="U342" s="170"/>
      <c r="V342" s="170"/>
      <c r="W342" s="170"/>
      <c r="X342" s="170"/>
    </row>
    <row r="343" spans="1:29">
      <c r="A343" s="202">
        <v>45724</v>
      </c>
      <c r="B343" s="31"/>
      <c r="C343" s="31"/>
      <c r="D343" s="59"/>
      <c r="E343" s="1"/>
      <c r="F343" s="1"/>
      <c r="G343" s="61"/>
      <c r="H343" s="61"/>
      <c r="I343" s="1"/>
      <c r="J343" s="1"/>
      <c r="K343" s="1"/>
      <c r="L343" s="1"/>
      <c r="M343" s="63"/>
      <c r="N343" s="63"/>
      <c r="O343" s="63"/>
      <c r="P343" s="63"/>
      <c r="Q343" s="83"/>
      <c r="R343" s="273"/>
      <c r="S343" s="140"/>
      <c r="T343" s="106"/>
      <c r="U343" s="106"/>
      <c r="V343" s="106"/>
      <c r="W343" s="106"/>
      <c r="X343" s="106"/>
    </row>
    <row r="344" spans="1:29">
      <c r="A344" s="201">
        <v>45725</v>
      </c>
      <c r="B344" s="30"/>
      <c r="C344" s="30"/>
      <c r="D344" s="59"/>
      <c r="E344" s="28"/>
      <c r="F344" s="28"/>
      <c r="G344" s="60"/>
      <c r="H344" s="60"/>
      <c r="I344" s="28"/>
      <c r="J344" s="28"/>
      <c r="K344" s="28"/>
      <c r="L344" s="28"/>
      <c r="M344" s="64"/>
      <c r="N344" s="64"/>
      <c r="O344" s="64"/>
      <c r="P344" s="64"/>
      <c r="Q344" s="64"/>
      <c r="R344" s="282"/>
      <c r="S344" s="189"/>
      <c r="T344" s="170"/>
      <c r="U344" s="170"/>
      <c r="V344" s="170"/>
      <c r="W344" s="170"/>
      <c r="X344" s="170"/>
    </row>
    <row r="345" spans="1:29">
      <c r="A345" s="202">
        <v>45726</v>
      </c>
      <c r="B345" s="31"/>
      <c r="C345" s="31"/>
      <c r="D345" s="59"/>
      <c r="E345" s="1"/>
      <c r="F345" s="1"/>
      <c r="G345" s="61"/>
      <c r="H345" s="61"/>
      <c r="I345" s="1"/>
      <c r="J345" s="1"/>
      <c r="K345" s="1"/>
      <c r="L345" s="1"/>
      <c r="M345" s="63"/>
      <c r="N345" s="63"/>
      <c r="O345" s="63"/>
      <c r="P345" s="63"/>
      <c r="Q345" s="83"/>
      <c r="R345" s="273"/>
      <c r="S345" s="140"/>
      <c r="T345" s="106"/>
      <c r="U345" s="106"/>
      <c r="V345" s="106"/>
      <c r="W345" s="106"/>
      <c r="X345" s="106"/>
    </row>
    <row r="346" spans="1:29">
      <c r="A346" s="201">
        <v>45727</v>
      </c>
      <c r="B346" s="30"/>
      <c r="C346" s="30"/>
      <c r="D346" s="59"/>
      <c r="E346" s="28"/>
      <c r="F346" s="28"/>
      <c r="G346" s="60"/>
      <c r="H346" s="60"/>
      <c r="I346" s="28"/>
      <c r="J346" s="28"/>
      <c r="K346" s="28"/>
      <c r="L346" s="28"/>
      <c r="M346" s="64"/>
      <c r="N346" s="64"/>
      <c r="O346" s="64"/>
      <c r="P346" s="64"/>
      <c r="Q346" s="64"/>
      <c r="R346" s="282"/>
      <c r="S346" s="189"/>
      <c r="T346" s="170"/>
      <c r="U346" s="170"/>
      <c r="V346" s="170"/>
      <c r="W346" s="170"/>
      <c r="X346" s="170"/>
    </row>
    <row r="347" spans="1:29">
      <c r="A347" s="202">
        <v>45728</v>
      </c>
      <c r="B347" s="31"/>
      <c r="C347" s="31"/>
      <c r="D347" s="59"/>
      <c r="E347" s="1"/>
      <c r="F347" s="1"/>
      <c r="G347" s="61"/>
      <c r="H347" s="61"/>
      <c r="I347" s="1"/>
      <c r="J347" s="1"/>
      <c r="K347" s="1"/>
      <c r="L347" s="1"/>
      <c r="M347" s="63"/>
      <c r="N347" s="63"/>
      <c r="O347" s="63"/>
      <c r="P347" s="63"/>
      <c r="Q347" s="83"/>
      <c r="R347" s="273"/>
      <c r="S347" s="140"/>
      <c r="T347" s="106"/>
      <c r="U347" s="106"/>
      <c r="V347" s="106"/>
      <c r="W347" s="106"/>
      <c r="X347" s="106"/>
    </row>
    <row r="348" spans="1:29">
      <c r="A348" s="201">
        <v>45729</v>
      </c>
      <c r="B348" s="30"/>
      <c r="C348" s="30"/>
      <c r="D348" s="59"/>
      <c r="E348" s="28"/>
      <c r="F348" s="28"/>
      <c r="G348" s="60"/>
      <c r="H348" s="60"/>
      <c r="I348" s="28"/>
      <c r="J348" s="28"/>
      <c r="K348" s="28"/>
      <c r="L348" s="28"/>
      <c r="M348" s="64"/>
      <c r="N348" s="64"/>
      <c r="O348" s="64"/>
      <c r="P348" s="64"/>
      <c r="Q348" s="64"/>
      <c r="R348" s="282"/>
      <c r="S348" s="189"/>
      <c r="T348" s="170"/>
      <c r="U348" s="170"/>
      <c r="V348" s="170"/>
      <c r="W348" s="170"/>
      <c r="X348" s="170"/>
    </row>
    <row r="349" spans="1:29">
      <c r="A349" s="202">
        <v>45730</v>
      </c>
      <c r="B349" s="31"/>
      <c r="C349" s="31"/>
      <c r="D349" s="59"/>
      <c r="E349" s="1"/>
      <c r="F349" s="1"/>
      <c r="G349" s="61"/>
      <c r="H349" s="61"/>
      <c r="I349" s="1"/>
      <c r="J349" s="1"/>
      <c r="K349" s="1"/>
      <c r="L349" s="1"/>
      <c r="M349" s="63"/>
      <c r="N349" s="63"/>
      <c r="O349" s="63"/>
      <c r="P349" s="63"/>
      <c r="Q349" s="83"/>
      <c r="R349" s="273"/>
      <c r="S349" s="140"/>
      <c r="T349" s="106"/>
      <c r="U349" s="106"/>
      <c r="V349" s="106"/>
      <c r="W349" s="106"/>
      <c r="X349" s="106"/>
    </row>
    <row r="350" spans="1:29">
      <c r="A350" s="201">
        <v>45731</v>
      </c>
      <c r="B350" s="30"/>
      <c r="C350" s="30"/>
      <c r="D350" s="59"/>
      <c r="E350" s="28"/>
      <c r="F350" s="28"/>
      <c r="G350" s="60"/>
      <c r="H350" s="60"/>
      <c r="I350" s="28"/>
      <c r="J350" s="28"/>
      <c r="K350" s="28"/>
      <c r="L350" s="28"/>
      <c r="M350" s="64"/>
      <c r="N350" s="64"/>
      <c r="O350" s="64"/>
      <c r="P350" s="64"/>
      <c r="Q350" s="64"/>
      <c r="R350" s="282"/>
      <c r="S350" s="189"/>
      <c r="T350" s="170"/>
      <c r="U350" s="170"/>
      <c r="V350" s="170"/>
      <c r="W350" s="170"/>
      <c r="X350" s="170"/>
    </row>
    <row r="351" spans="1:29">
      <c r="A351" s="202">
        <v>45732</v>
      </c>
      <c r="B351" s="31"/>
      <c r="C351" s="31"/>
      <c r="D351" s="59"/>
      <c r="E351" s="1"/>
      <c r="F351" s="1"/>
      <c r="G351" s="61"/>
      <c r="H351" s="61"/>
      <c r="I351" s="1"/>
      <c r="J351" s="1"/>
      <c r="K351" s="1"/>
      <c r="L351" s="1"/>
      <c r="M351" s="63"/>
      <c r="N351" s="63"/>
      <c r="O351" s="63"/>
      <c r="P351" s="63"/>
      <c r="Q351" s="83"/>
      <c r="R351" s="273"/>
      <c r="S351" s="140"/>
      <c r="T351" s="106"/>
      <c r="U351" s="106"/>
      <c r="V351" s="106"/>
      <c r="W351" s="106"/>
      <c r="X351" s="106"/>
    </row>
    <row r="352" spans="1:29">
      <c r="A352" s="201">
        <v>45733</v>
      </c>
      <c r="B352" s="30"/>
      <c r="C352" s="30"/>
      <c r="D352" s="59"/>
      <c r="E352" s="28"/>
      <c r="F352" s="28"/>
      <c r="G352" s="60"/>
      <c r="H352" s="60"/>
      <c r="I352" s="28"/>
      <c r="J352" s="28"/>
      <c r="K352" s="28"/>
      <c r="L352" s="28"/>
      <c r="M352" s="64"/>
      <c r="N352" s="64"/>
      <c r="O352" s="64"/>
      <c r="P352" s="64"/>
      <c r="Q352" s="64"/>
      <c r="R352" s="282"/>
      <c r="S352" s="189"/>
      <c r="T352" s="170"/>
      <c r="U352" s="170"/>
      <c r="V352" s="170"/>
      <c r="W352" s="170"/>
      <c r="X352" s="170"/>
    </row>
    <row r="353" spans="1:24">
      <c r="A353" s="202">
        <v>45734</v>
      </c>
      <c r="B353" s="31"/>
      <c r="C353" s="31"/>
      <c r="D353" s="59"/>
      <c r="E353" s="1"/>
      <c r="F353" s="1"/>
      <c r="G353" s="61"/>
      <c r="H353" s="61"/>
      <c r="I353" s="1"/>
      <c r="J353" s="1"/>
      <c r="K353" s="1"/>
      <c r="L353" s="1"/>
      <c r="M353" s="63"/>
      <c r="N353" s="63"/>
      <c r="O353" s="63"/>
      <c r="P353" s="63"/>
      <c r="Q353" s="83"/>
      <c r="R353" s="273"/>
      <c r="S353" s="140"/>
      <c r="T353" s="106"/>
      <c r="U353" s="106"/>
      <c r="V353" s="106"/>
      <c r="W353" s="106"/>
      <c r="X353" s="106"/>
    </row>
    <row r="354" spans="1:24">
      <c r="A354" s="201">
        <v>45735</v>
      </c>
      <c r="B354" s="30"/>
      <c r="C354" s="30"/>
      <c r="D354" s="59"/>
      <c r="E354" s="28"/>
      <c r="F354" s="28"/>
      <c r="G354" s="60"/>
      <c r="H354" s="60"/>
      <c r="I354" s="28"/>
      <c r="J354" s="28"/>
      <c r="K354" s="28"/>
      <c r="L354" s="28"/>
      <c r="M354" s="64"/>
      <c r="N354" s="64"/>
      <c r="O354" s="64"/>
      <c r="P354" s="64"/>
      <c r="Q354" s="64"/>
      <c r="R354" s="282"/>
      <c r="S354" s="189"/>
      <c r="T354" s="170"/>
      <c r="U354" s="170"/>
      <c r="V354" s="170"/>
      <c r="W354" s="170"/>
      <c r="X354" s="170"/>
    </row>
    <row r="355" spans="1:24">
      <c r="A355" s="202">
        <v>45736</v>
      </c>
      <c r="B355" s="31"/>
      <c r="C355" s="31"/>
      <c r="D355" s="59"/>
      <c r="E355" s="1"/>
      <c r="F355" s="1"/>
      <c r="G355" s="61"/>
      <c r="H355" s="61"/>
      <c r="I355" s="1"/>
      <c r="J355" s="1"/>
      <c r="K355" s="1"/>
      <c r="L355" s="1"/>
      <c r="M355" s="63"/>
      <c r="N355" s="63"/>
      <c r="O355" s="63"/>
      <c r="P355" s="63"/>
      <c r="Q355" s="83"/>
      <c r="R355" s="273"/>
      <c r="S355" s="140"/>
      <c r="T355" s="106"/>
      <c r="U355" s="106"/>
      <c r="V355" s="106"/>
      <c r="W355" s="106"/>
      <c r="X355" s="106"/>
    </row>
    <row r="356" spans="1:24">
      <c r="A356" s="201">
        <v>45737</v>
      </c>
      <c r="B356" s="30"/>
      <c r="C356" s="30"/>
      <c r="D356" s="59"/>
      <c r="E356" s="28"/>
      <c r="F356" s="28"/>
      <c r="G356" s="60"/>
      <c r="H356" s="60"/>
      <c r="I356" s="28"/>
      <c r="J356" s="28"/>
      <c r="K356" s="28"/>
      <c r="L356" s="28"/>
      <c r="M356" s="64"/>
      <c r="N356" s="64"/>
      <c r="O356" s="64"/>
      <c r="P356" s="64"/>
      <c r="Q356" s="64"/>
      <c r="R356" s="282"/>
      <c r="S356" s="189"/>
      <c r="T356" s="170"/>
      <c r="U356" s="170"/>
      <c r="V356" s="170"/>
      <c r="W356" s="170"/>
      <c r="X356" s="170"/>
    </row>
    <row r="357" spans="1:24">
      <c r="A357" s="202">
        <v>45738</v>
      </c>
      <c r="B357" s="31"/>
      <c r="C357" s="31"/>
      <c r="D357" s="59"/>
      <c r="E357" s="1"/>
      <c r="F357" s="1"/>
      <c r="G357" s="61"/>
      <c r="H357" s="61"/>
      <c r="I357" s="1"/>
      <c r="J357" s="1"/>
      <c r="K357" s="1"/>
      <c r="L357" s="1"/>
      <c r="M357" s="63"/>
      <c r="N357" s="63"/>
      <c r="O357" s="63"/>
      <c r="P357" s="63"/>
      <c r="Q357" s="83"/>
      <c r="R357" s="273"/>
      <c r="S357" s="140"/>
      <c r="T357" s="106"/>
      <c r="U357" s="106"/>
      <c r="V357" s="106"/>
      <c r="W357" s="106"/>
      <c r="X357" s="106"/>
    </row>
    <row r="358" spans="1:24">
      <c r="A358" s="201">
        <v>45739</v>
      </c>
      <c r="B358" s="30"/>
      <c r="C358" s="30"/>
      <c r="D358" s="59"/>
      <c r="E358" s="28"/>
      <c r="F358" s="28"/>
      <c r="G358" s="60"/>
      <c r="H358" s="60"/>
      <c r="I358" s="28"/>
      <c r="J358" s="28"/>
      <c r="K358" s="28"/>
      <c r="L358" s="28"/>
      <c r="M358" s="64"/>
      <c r="N358" s="64"/>
      <c r="O358" s="64"/>
      <c r="P358" s="64"/>
      <c r="Q358" s="64"/>
      <c r="R358" s="282"/>
      <c r="S358" s="189"/>
      <c r="T358" s="170"/>
      <c r="U358" s="170"/>
      <c r="V358" s="170"/>
      <c r="W358" s="170"/>
      <c r="X358" s="170"/>
    </row>
    <row r="359" spans="1:24">
      <c r="A359" s="202">
        <v>45740</v>
      </c>
      <c r="B359" s="31"/>
      <c r="C359" s="31"/>
      <c r="D359" s="59"/>
      <c r="E359" s="1"/>
      <c r="F359" s="1"/>
      <c r="G359" s="61"/>
      <c r="H359" s="61"/>
      <c r="I359" s="1"/>
      <c r="J359" s="1"/>
      <c r="K359" s="1"/>
      <c r="L359" s="1"/>
      <c r="M359" s="63"/>
      <c r="N359" s="63"/>
      <c r="O359" s="63"/>
      <c r="P359" s="63"/>
      <c r="Q359" s="83"/>
      <c r="R359" s="273"/>
      <c r="S359" s="140"/>
      <c r="T359" s="106"/>
      <c r="U359" s="106"/>
      <c r="V359" s="106"/>
      <c r="W359" s="106"/>
      <c r="X359" s="106"/>
    </row>
    <row r="360" spans="1:24">
      <c r="A360" s="201">
        <v>45741</v>
      </c>
      <c r="B360" s="30"/>
      <c r="C360" s="30"/>
      <c r="D360" s="59"/>
      <c r="E360" s="28"/>
      <c r="F360" s="28"/>
      <c r="G360" s="60"/>
      <c r="H360" s="60"/>
      <c r="I360" s="28"/>
      <c r="J360" s="28"/>
      <c r="K360" s="28"/>
      <c r="L360" s="28"/>
      <c r="M360" s="64"/>
      <c r="N360" s="64"/>
      <c r="O360" s="64"/>
      <c r="P360" s="64"/>
      <c r="Q360" s="64"/>
      <c r="R360" s="282"/>
      <c r="S360" s="189"/>
      <c r="T360" s="170"/>
      <c r="U360" s="170"/>
      <c r="V360" s="170"/>
      <c r="W360" s="170"/>
      <c r="X360" s="170"/>
    </row>
    <row r="361" spans="1:24">
      <c r="A361" s="202">
        <v>45742</v>
      </c>
      <c r="B361" s="31"/>
      <c r="C361" s="31"/>
      <c r="D361" s="59"/>
      <c r="E361" s="1"/>
      <c r="F361" s="1"/>
      <c r="G361" s="61"/>
      <c r="H361" s="61"/>
      <c r="I361" s="1"/>
      <c r="J361" s="1"/>
      <c r="K361" s="1"/>
      <c r="L361" s="1"/>
      <c r="M361" s="63"/>
      <c r="N361" s="63"/>
      <c r="O361" s="63"/>
      <c r="P361" s="63"/>
      <c r="Q361" s="83"/>
      <c r="R361" s="273"/>
      <c r="S361" s="140"/>
      <c r="T361" s="106"/>
      <c r="U361" s="106"/>
      <c r="V361" s="106"/>
      <c r="W361" s="106"/>
      <c r="X361" s="106"/>
    </row>
    <row r="362" spans="1:24">
      <c r="A362" s="201">
        <v>45743</v>
      </c>
      <c r="B362" s="30"/>
      <c r="C362" s="30"/>
      <c r="D362" s="59"/>
      <c r="E362" s="28"/>
      <c r="F362" s="28"/>
      <c r="G362" s="60"/>
      <c r="H362" s="60"/>
      <c r="I362" s="28"/>
      <c r="J362" s="28"/>
      <c r="K362" s="28"/>
      <c r="L362" s="28"/>
      <c r="M362" s="64"/>
      <c r="N362" s="64"/>
      <c r="O362" s="64"/>
      <c r="P362" s="64"/>
      <c r="Q362" s="64"/>
      <c r="R362" s="282"/>
      <c r="S362" s="189"/>
      <c r="T362" s="170"/>
      <c r="U362" s="170"/>
      <c r="V362" s="170"/>
      <c r="W362" s="170"/>
      <c r="X362" s="170"/>
    </row>
    <row r="363" spans="1:24">
      <c r="A363" s="202">
        <v>45744</v>
      </c>
      <c r="B363" s="31"/>
      <c r="C363" s="31"/>
      <c r="D363" s="59"/>
      <c r="E363" s="1"/>
      <c r="F363" s="1"/>
      <c r="G363" s="61"/>
      <c r="H363" s="61"/>
      <c r="I363" s="1"/>
      <c r="J363" s="1"/>
      <c r="K363" s="1"/>
      <c r="L363" s="1"/>
      <c r="M363" s="63"/>
      <c r="N363" s="63"/>
      <c r="O363" s="63"/>
      <c r="P363" s="63"/>
      <c r="Q363" s="83"/>
      <c r="R363" s="273"/>
      <c r="S363" s="140"/>
      <c r="T363" s="106"/>
      <c r="U363" s="106"/>
      <c r="V363" s="106"/>
      <c r="W363" s="106"/>
      <c r="X363" s="106"/>
    </row>
    <row r="364" spans="1:24">
      <c r="A364" s="201">
        <v>45745</v>
      </c>
      <c r="B364" s="30"/>
      <c r="C364" s="30"/>
      <c r="D364" s="59"/>
      <c r="E364" s="28"/>
      <c r="F364" s="28"/>
      <c r="G364" s="60"/>
      <c r="H364" s="60"/>
      <c r="I364" s="28"/>
      <c r="J364" s="28"/>
      <c r="K364" s="28"/>
      <c r="L364" s="28"/>
      <c r="M364" s="64"/>
      <c r="N364" s="64"/>
      <c r="O364" s="64"/>
      <c r="P364" s="64"/>
      <c r="Q364" s="64"/>
      <c r="R364" s="282"/>
      <c r="S364" s="189"/>
      <c r="T364" s="170"/>
      <c r="U364" s="170"/>
      <c r="V364" s="170"/>
      <c r="W364" s="170"/>
      <c r="X364" s="170"/>
    </row>
    <row r="365" spans="1:24">
      <c r="A365" s="202">
        <v>45746</v>
      </c>
      <c r="B365" s="31"/>
      <c r="C365" s="31"/>
      <c r="D365" s="59"/>
      <c r="E365" s="1"/>
      <c r="F365" s="1"/>
      <c r="G365" s="61"/>
      <c r="H365" s="61"/>
      <c r="I365" s="1"/>
      <c r="J365" s="1"/>
      <c r="K365" s="1"/>
      <c r="L365" s="1"/>
      <c r="M365" s="63"/>
      <c r="N365" s="63"/>
      <c r="O365" s="63"/>
      <c r="P365" s="63"/>
      <c r="Q365" s="83"/>
      <c r="R365" s="273"/>
      <c r="S365" s="140"/>
      <c r="T365" s="106"/>
      <c r="U365" s="106"/>
      <c r="V365" s="106"/>
      <c r="W365" s="106"/>
      <c r="X365" s="106"/>
    </row>
    <row r="366" spans="1:24">
      <c r="A366" s="201">
        <v>45747</v>
      </c>
      <c r="B366" s="30"/>
      <c r="C366" s="30"/>
      <c r="D366" s="59"/>
      <c r="E366" s="28"/>
      <c r="F366" s="28"/>
      <c r="G366" s="60"/>
      <c r="H366" s="60"/>
      <c r="I366" s="28"/>
      <c r="J366" s="28"/>
      <c r="K366" s="28"/>
      <c r="L366" s="28"/>
      <c r="M366" s="64"/>
      <c r="N366" s="64"/>
      <c r="O366" s="64"/>
      <c r="P366" s="64"/>
      <c r="Q366" s="64"/>
      <c r="R366" s="282"/>
      <c r="S366" s="189"/>
      <c r="T366" s="170"/>
      <c r="U366" s="170"/>
      <c r="V366" s="170"/>
      <c r="W366" s="170"/>
      <c r="X366" s="170"/>
    </row>
  </sheetData>
  <autoFilter ref="A1:T366" xr:uid="{2CE7A820-194C-4A5B-BDAD-0798EA096FA2}"/>
  <mergeCells count="5">
    <mergeCell ref="AA3:AC3"/>
    <mergeCell ref="AE3:AF3"/>
    <mergeCell ref="AH3:AI3"/>
    <mergeCell ref="AA8:AB8"/>
    <mergeCell ref="AE8:AF8"/>
  </mergeCells>
  <phoneticPr fontId="8" type="noConversion"/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Q367"/>
  <sheetViews>
    <sheetView zoomScale="70" zoomScaleNormal="70" workbookViewId="0">
      <pane xSplit="1" ySplit="1" topLeftCell="K95" activePane="bottomRight" state="frozen"/>
      <selection pane="topRight" activeCell="B1" sqref="B1"/>
      <selection pane="bottomLeft" activeCell="A3" sqref="A3"/>
      <selection pane="bottomRight" activeCell="K1" sqref="K1:L1"/>
    </sheetView>
  </sheetViews>
  <sheetFormatPr defaultRowHeight="14.5"/>
  <cols>
    <col min="2" max="2" width="19.7265625" bestFit="1" customWidth="1"/>
    <col min="3" max="3" width="19" bestFit="1" customWidth="1"/>
    <col min="4" max="4" width="7.54296875" customWidth="1"/>
    <col min="5" max="5" width="17.36328125" bestFit="1" customWidth="1"/>
    <col min="6" max="6" width="19.08984375" customWidth="1"/>
    <col min="7" max="7" width="28.54296875" bestFit="1" customWidth="1"/>
    <col min="8" max="8" width="25.08984375" bestFit="1" customWidth="1"/>
    <col min="9" max="9" width="19.54296875" customWidth="1"/>
    <col min="10" max="10" width="18.453125" customWidth="1"/>
    <col min="11" max="11" width="24.6328125" bestFit="1" customWidth="1"/>
    <col min="12" max="12" width="23.26953125" bestFit="1" customWidth="1"/>
    <col min="13" max="16" width="11.90625" bestFit="1" customWidth="1"/>
    <col min="18" max="18" width="12.54296875" bestFit="1" customWidth="1"/>
    <col min="19" max="19" width="13" customWidth="1"/>
    <col min="20" max="20" width="11.08984375" customWidth="1"/>
    <col min="21" max="21" width="26.81640625" customWidth="1"/>
    <col min="22" max="22" width="26.7265625" customWidth="1"/>
    <col min="23" max="23" width="39.08984375" bestFit="1" customWidth="1"/>
    <col min="24" max="24" width="34.7265625" bestFit="1" customWidth="1"/>
    <col min="27" max="27" width="12.81640625" bestFit="1" customWidth="1"/>
    <col min="28" max="28" width="15.08984375" bestFit="1" customWidth="1"/>
    <col min="29" max="29" width="14.1796875" bestFit="1" customWidth="1"/>
    <col min="39" max="39" width="17.26953125" bestFit="1" customWidth="1"/>
    <col min="40" max="40" width="19.08984375" bestFit="1" customWidth="1"/>
    <col min="41" max="41" width="19.7265625" bestFit="1" customWidth="1"/>
    <col min="42" max="42" width="17" bestFit="1" customWidth="1"/>
    <col min="43" max="43" width="17.26953125" bestFit="1" customWidth="1"/>
  </cols>
  <sheetData>
    <row r="1" spans="1:35" ht="44" customHeight="1">
      <c r="A1" s="84" t="s">
        <v>30</v>
      </c>
      <c r="B1" s="84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7" t="s">
        <v>43</v>
      </c>
      <c r="R1" s="37" t="s">
        <v>44</v>
      </c>
      <c r="S1" s="37" t="s">
        <v>45</v>
      </c>
      <c r="T1" s="36" t="s">
        <v>46</v>
      </c>
      <c r="U1" s="365" t="s">
        <v>164</v>
      </c>
      <c r="V1" s="365" t="s">
        <v>163</v>
      </c>
      <c r="W1" s="380" t="s">
        <v>171</v>
      </c>
      <c r="X1" s="380" t="s">
        <v>170</v>
      </c>
    </row>
    <row r="2" spans="1:35">
      <c r="A2" s="24">
        <v>45383</v>
      </c>
      <c r="B2" s="392">
        <f>IF(YEAR(Table6[[#This Row],[Date]]) = 2024, WEEKNUM(Table6[[#This Row],[Date]])-13, WEEKNUM(Table6[[#This Row],[Date]])+40)</f>
        <v>1</v>
      </c>
      <c r="C2" s="30" t="s">
        <v>47</v>
      </c>
      <c r="D2" s="59" t="s">
        <v>48</v>
      </c>
      <c r="E2" s="28">
        <v>0</v>
      </c>
      <c r="F2" s="28">
        <v>0</v>
      </c>
      <c r="G2" s="60">
        <v>0</v>
      </c>
      <c r="H2" s="60">
        <v>0</v>
      </c>
      <c r="I2" s="28">
        <v>0</v>
      </c>
      <c r="J2" s="28">
        <v>0</v>
      </c>
      <c r="K2" s="28">
        <v>0</v>
      </c>
      <c r="L2" s="28">
        <v>0</v>
      </c>
      <c r="M2" s="64">
        <v>0</v>
      </c>
      <c r="N2" s="64">
        <v>0</v>
      </c>
      <c r="O2" s="64">
        <v>0</v>
      </c>
      <c r="P2" s="64">
        <v>0</v>
      </c>
      <c r="Q2" s="82">
        <v>0</v>
      </c>
      <c r="R2" s="270">
        <v>0</v>
      </c>
      <c r="S2" s="156">
        <v>0</v>
      </c>
      <c r="T2" s="161">
        <v>0</v>
      </c>
      <c r="U2" s="63" t="str">
        <f>IF(OR(G2&lt;$AB$5,G2&gt;$AC$5), "Outlier", "Normal")</f>
        <v>Normal</v>
      </c>
      <c r="V2" s="63" t="str">
        <f>IF(OR(H2&lt;$AB$6,H2&gt;$AC$6), "Outlier", "Normal")</f>
        <v>Normal</v>
      </c>
      <c r="W2" s="63">
        <f>IF(U2="Normal",$G2,IF($G2&lt;150%, $G2, $AB$9))</f>
        <v>0</v>
      </c>
      <c r="X2" s="63">
        <f>IF(V2="Normal",$H2,IF($H2&lt;150%, $H2, $AF$9))</f>
        <v>0</v>
      </c>
    </row>
    <row r="3" spans="1:35">
      <c r="A3" s="24">
        <v>45384</v>
      </c>
      <c r="B3" s="392">
        <f>IF(YEAR(Table6[[#This Row],[Date]]) = 2024, WEEKNUM(Table6[[#This Row],[Date]])-13, WEEKNUM(Table6[[#This Row],[Date]])+40)</f>
        <v>1</v>
      </c>
      <c r="C3" s="31" t="s">
        <v>49</v>
      </c>
      <c r="D3" s="59" t="s">
        <v>48</v>
      </c>
      <c r="E3" s="1">
        <v>483</v>
      </c>
      <c r="F3" s="1">
        <v>453</v>
      </c>
      <c r="G3" s="61">
        <f>(E3-407)/407</f>
        <v>0.18673218673218672</v>
      </c>
      <c r="H3" s="61">
        <f>(F3-362)/362</f>
        <v>0.25138121546961328</v>
      </c>
      <c r="I3" s="1">
        <f>E3</f>
        <v>483</v>
      </c>
      <c r="J3" s="1">
        <f>F3</f>
        <v>453</v>
      </c>
      <c r="K3" s="1">
        <f>Table3[[#This Row],[Calls Off]]+K2</f>
        <v>483</v>
      </c>
      <c r="L3" s="1">
        <f>Table3[[#This Row],[Calls Ans]]+L2</f>
        <v>453</v>
      </c>
      <c r="M3" s="63">
        <v>0.77</v>
      </c>
      <c r="N3" s="63">
        <v>0.06</v>
      </c>
      <c r="O3" s="63">
        <v>0.94</v>
      </c>
      <c r="P3" s="63">
        <v>0.52</v>
      </c>
      <c r="Q3" s="83">
        <v>1</v>
      </c>
      <c r="R3" s="271">
        <v>193</v>
      </c>
      <c r="S3" s="140">
        <v>4.1666666666666664E-2</v>
      </c>
      <c r="T3" s="106">
        <v>6</v>
      </c>
      <c r="U3" s="63" t="str">
        <f t="shared" ref="U3:U66" si="0">IF(OR(G3&lt;$AB$5,G3&gt;$AC$5), "Outlier", "Normal")</f>
        <v>Normal</v>
      </c>
      <c r="V3" s="63" t="str">
        <f t="shared" ref="V3:V66" si="1">IF(OR(H3&lt;$AB$6,H3&gt;$AC$6), "Outlier", "Normal")</f>
        <v>Outlier</v>
      </c>
      <c r="W3" s="18">
        <f t="shared" ref="W3:W66" si="2">IF(U3="Normal",$G3,IF($G3&lt;150%, $G3, $AB$9))</f>
        <v>0.18673218673218672</v>
      </c>
      <c r="X3" s="18">
        <f t="shared" ref="X3:X66" si="3">IF(V3="Normal",$H3,IF($H3&lt;150%, $H3, $AF$9))</f>
        <v>0.25138121546961328</v>
      </c>
      <c r="AA3" s="431" t="s">
        <v>153</v>
      </c>
      <c r="AB3" s="431"/>
      <c r="AC3" s="431"/>
      <c r="AE3" s="431" t="s">
        <v>159</v>
      </c>
      <c r="AF3" s="431"/>
      <c r="AH3" s="431" t="s">
        <v>160</v>
      </c>
      <c r="AI3" s="431"/>
    </row>
    <row r="4" spans="1:35">
      <c r="A4" s="24">
        <v>45385</v>
      </c>
      <c r="B4" s="392">
        <f>IF(YEAR(Table6[[#This Row],[Date]]) = 2024, WEEKNUM(Table6[[#This Row],[Date]])-13, WEEKNUM(Table6[[#This Row],[Date]])+40)</f>
        <v>1</v>
      </c>
      <c r="C4" s="30" t="s">
        <v>50</v>
      </c>
      <c r="D4" s="59" t="s">
        <v>48</v>
      </c>
      <c r="E4" s="28">
        <v>389</v>
      </c>
      <c r="F4" s="28">
        <v>380</v>
      </c>
      <c r="G4" s="60">
        <f>(E4-410)/410</f>
        <v>-5.1219512195121948E-2</v>
      </c>
      <c r="H4" s="60">
        <f>(F4-381)/381</f>
        <v>-2.6246719160104987E-3</v>
      </c>
      <c r="I4" s="28">
        <f>E4+I3</f>
        <v>872</v>
      </c>
      <c r="J4" s="28">
        <f>F4+J3</f>
        <v>833</v>
      </c>
      <c r="K4" s="28">
        <f>Table3[[#This Row],[Calls Off]]+K3</f>
        <v>872</v>
      </c>
      <c r="L4" s="28">
        <f>Table3[[#This Row],[Calls Ans]]+L3</f>
        <v>833</v>
      </c>
      <c r="M4" s="64">
        <v>0.92</v>
      </c>
      <c r="N4" s="64">
        <v>0.02</v>
      </c>
      <c r="O4" s="64">
        <v>0.98</v>
      </c>
      <c r="P4" s="64">
        <v>0.44</v>
      </c>
      <c r="Q4" s="82">
        <v>1</v>
      </c>
      <c r="R4" s="272">
        <v>181</v>
      </c>
      <c r="S4" s="157">
        <v>2.6388888888888889E-2</v>
      </c>
      <c r="T4" s="106">
        <v>6</v>
      </c>
      <c r="U4" s="63" t="str">
        <f t="shared" si="0"/>
        <v>Normal</v>
      </c>
      <c r="V4" s="63" t="str">
        <f t="shared" si="1"/>
        <v>Normal</v>
      </c>
      <c r="W4" s="18">
        <f t="shared" si="2"/>
        <v>-5.1219512195121948E-2</v>
      </c>
      <c r="X4" s="18">
        <f t="shared" si="3"/>
        <v>-2.6246719160104987E-3</v>
      </c>
      <c r="AA4" s="361" t="s">
        <v>161</v>
      </c>
      <c r="AB4" s="1" t="s">
        <v>156</v>
      </c>
      <c r="AC4" s="1" t="s">
        <v>157</v>
      </c>
      <c r="AE4" s="1" t="s">
        <v>154</v>
      </c>
      <c r="AF4" s="359">
        <f>_xlfn.QUARTILE.INC(G:G, 1)</f>
        <v>-0.1118421052631579</v>
      </c>
      <c r="AH4" s="1" t="s">
        <v>154</v>
      </c>
      <c r="AI4" s="360">
        <f>_xlfn.QUARTILE.INC(H:H, 1)</f>
        <v>-6.4615384615384616E-2</v>
      </c>
    </row>
    <row r="5" spans="1:35">
      <c r="A5" s="24">
        <v>45386</v>
      </c>
      <c r="B5" s="392">
        <f>IF(YEAR(Table6[[#This Row],[Date]]) = 2024, WEEKNUM(Table6[[#This Row],[Date]])-13, WEEKNUM(Table6[[#This Row],[Date]])+40)</f>
        <v>1</v>
      </c>
      <c r="C5" s="31" t="s">
        <v>51</v>
      </c>
      <c r="D5" s="59" t="s">
        <v>48</v>
      </c>
      <c r="E5" s="1">
        <v>417</v>
      </c>
      <c r="F5" s="1">
        <v>376</v>
      </c>
      <c r="G5" s="61">
        <f>(E5-386)/386</f>
        <v>8.0310880829015538E-2</v>
      </c>
      <c r="H5" s="61">
        <f>(F5-344)/344</f>
        <v>9.3023255813953487E-2</v>
      </c>
      <c r="I5" s="1">
        <f t="shared" ref="I5:I7" si="4">E5+I4</f>
        <v>1289</v>
      </c>
      <c r="J5" s="1">
        <f t="shared" ref="J5:J7" si="5">F5+J4</f>
        <v>1209</v>
      </c>
      <c r="K5" s="1">
        <f>Table3[[#This Row],[Calls Off]]+K4</f>
        <v>1289</v>
      </c>
      <c r="L5" s="1">
        <f>Table3[[#This Row],[Calls Ans]]+L4</f>
        <v>1209</v>
      </c>
      <c r="M5" s="63">
        <v>0.7</v>
      </c>
      <c r="N5" s="63">
        <v>0.1</v>
      </c>
      <c r="O5" s="63">
        <v>0.9</v>
      </c>
      <c r="P5" s="63">
        <v>0.52</v>
      </c>
      <c r="Q5" s="83">
        <v>1</v>
      </c>
      <c r="R5" s="271">
        <v>195</v>
      </c>
      <c r="S5" s="140">
        <v>4.6527777777777779E-2</v>
      </c>
      <c r="T5" s="106">
        <v>5</v>
      </c>
      <c r="U5" s="63" t="str">
        <f t="shared" si="0"/>
        <v>Normal</v>
      </c>
      <c r="V5" s="63" t="str">
        <f t="shared" si="1"/>
        <v>Normal</v>
      </c>
      <c r="W5" s="18">
        <f t="shared" si="2"/>
        <v>8.0310880829015538E-2</v>
      </c>
      <c r="X5" s="18">
        <f t="shared" si="3"/>
        <v>9.3023255813953487E-2</v>
      </c>
      <c r="AA5" s="361" t="s">
        <v>162</v>
      </c>
      <c r="AB5" s="1">
        <f>AF4-1.5*AF6</f>
        <v>-0.41638337865941449</v>
      </c>
      <c r="AC5" s="1">
        <f>AF5+1.5*AF6</f>
        <v>0.3957266837306031</v>
      </c>
      <c r="AE5" s="1" t="s">
        <v>155</v>
      </c>
      <c r="AF5" s="359">
        <f>_xlfn.QUARTILE.INC(G:G, 3)</f>
        <v>9.1185410334346503E-2</v>
      </c>
      <c r="AH5" s="1" t="s">
        <v>155</v>
      </c>
      <c r="AI5" s="360">
        <f>_xlfn.QUARTILE.INC(H:H, 3)</f>
        <v>4.9822064056939501E-2</v>
      </c>
    </row>
    <row r="6" spans="1:35">
      <c r="A6" s="24">
        <v>45387</v>
      </c>
      <c r="B6" s="392">
        <f>IF(YEAR(Table6[[#This Row],[Date]]) = 2024, WEEKNUM(Table6[[#This Row],[Date]])-13, WEEKNUM(Table6[[#This Row],[Date]])+40)</f>
        <v>1</v>
      </c>
      <c r="C6" s="30" t="s">
        <v>52</v>
      </c>
      <c r="D6" s="59" t="s">
        <v>48</v>
      </c>
      <c r="E6" s="28">
        <v>431</v>
      </c>
      <c r="F6" s="28">
        <v>378</v>
      </c>
      <c r="G6" s="60">
        <v>0</v>
      </c>
      <c r="H6" s="60">
        <v>0</v>
      </c>
      <c r="I6" s="1">
        <f t="shared" si="4"/>
        <v>1720</v>
      </c>
      <c r="J6" s="1">
        <f t="shared" si="5"/>
        <v>1587</v>
      </c>
      <c r="K6" s="1">
        <f>Table3[[#This Row],[Calls Off]]+K5</f>
        <v>1720</v>
      </c>
      <c r="L6" s="1">
        <f>Table3[[#This Row],[Calls Ans]]+L5</f>
        <v>1587</v>
      </c>
      <c r="M6" s="64">
        <v>0.64</v>
      </c>
      <c r="N6" s="64">
        <v>0.12</v>
      </c>
      <c r="O6" s="64">
        <v>0.88</v>
      </c>
      <c r="P6" s="64">
        <v>0.52</v>
      </c>
      <c r="Q6" s="82">
        <v>1</v>
      </c>
      <c r="R6" s="272">
        <v>204</v>
      </c>
      <c r="S6" s="157">
        <v>6.9444444444444434E-2</v>
      </c>
      <c r="T6" s="106">
        <v>5</v>
      </c>
      <c r="U6" s="63" t="str">
        <f t="shared" si="0"/>
        <v>Normal</v>
      </c>
      <c r="V6" s="63" t="str">
        <f t="shared" si="1"/>
        <v>Normal</v>
      </c>
      <c r="W6" s="18">
        <f t="shared" si="2"/>
        <v>0</v>
      </c>
      <c r="X6" s="18">
        <f t="shared" si="3"/>
        <v>0</v>
      </c>
      <c r="AA6" s="361" t="s">
        <v>34</v>
      </c>
      <c r="AB6" s="1">
        <f>AI4-1.5*AI6</f>
        <v>-0.23627155762387081</v>
      </c>
      <c r="AC6" s="1">
        <f>AI5+1.5*AI6</f>
        <v>0.22147823706542569</v>
      </c>
      <c r="AE6" s="62" t="s">
        <v>158</v>
      </c>
      <c r="AF6" s="62">
        <f>AF5-AF4</f>
        <v>0.2030275155975044</v>
      </c>
      <c r="AH6" s="62" t="s">
        <v>158</v>
      </c>
      <c r="AI6" s="112">
        <f>AI5-AI4</f>
        <v>0.11443744867232411</v>
      </c>
    </row>
    <row r="7" spans="1:35">
      <c r="A7" s="24">
        <v>45388</v>
      </c>
      <c r="B7" s="392">
        <f>IF(YEAR(Table6[[#This Row],[Date]]) = 2024, WEEKNUM(Table6[[#This Row],[Date]])-13, WEEKNUM(Table6[[#This Row],[Date]])+40)</f>
        <v>1</v>
      </c>
      <c r="C7" s="31" t="s">
        <v>53</v>
      </c>
      <c r="D7" s="59" t="s">
        <v>48</v>
      </c>
      <c r="E7" s="1">
        <v>244</v>
      </c>
      <c r="F7" s="1">
        <v>201</v>
      </c>
      <c r="G7" s="61">
        <f>(E7-303)/303</f>
        <v>-0.19471947194719472</v>
      </c>
      <c r="H7" s="61">
        <f>(F7-257)/257</f>
        <v>-0.21789883268482491</v>
      </c>
      <c r="I7" s="1">
        <f t="shared" si="4"/>
        <v>1964</v>
      </c>
      <c r="J7" s="1">
        <f t="shared" si="5"/>
        <v>1788</v>
      </c>
      <c r="K7" s="1">
        <f>Table3[[#This Row],[Calls Off]]+K6</f>
        <v>1964</v>
      </c>
      <c r="L7" s="1">
        <f>Table3[[#This Row],[Calls Ans]]+L6</f>
        <v>1788</v>
      </c>
      <c r="M7" s="63">
        <v>0.48</v>
      </c>
      <c r="N7" s="63">
        <v>0.18</v>
      </c>
      <c r="O7" s="63">
        <v>0.82</v>
      </c>
      <c r="P7" s="63">
        <v>0.61</v>
      </c>
      <c r="Q7" s="83">
        <v>1</v>
      </c>
      <c r="R7" s="271">
        <v>187</v>
      </c>
      <c r="S7" s="140">
        <v>0.1451388888888889</v>
      </c>
      <c r="T7" s="106">
        <v>3</v>
      </c>
      <c r="U7" s="63" t="str">
        <f t="shared" si="0"/>
        <v>Normal</v>
      </c>
      <c r="V7" s="63" t="str">
        <f t="shared" si="1"/>
        <v>Normal</v>
      </c>
      <c r="W7" s="18">
        <f t="shared" si="2"/>
        <v>-0.19471947194719472</v>
      </c>
      <c r="X7" s="18">
        <f t="shared" si="3"/>
        <v>-0.21789883268482491</v>
      </c>
    </row>
    <row r="8" spans="1:35">
      <c r="A8" s="24">
        <v>45389</v>
      </c>
      <c r="B8" s="392">
        <f>IF(YEAR(Table6[[#This Row],[Date]]) = 2024, WEEKNUM(Table6[[#This Row],[Date]])-13, WEEKNUM(Table6[[#This Row],[Date]])+40)</f>
        <v>2</v>
      </c>
      <c r="C8" s="30" t="s">
        <v>54</v>
      </c>
      <c r="D8" s="59" t="s">
        <v>48</v>
      </c>
      <c r="E8" s="28">
        <v>0</v>
      </c>
      <c r="F8" s="28">
        <v>0</v>
      </c>
      <c r="G8" s="60">
        <v>0</v>
      </c>
      <c r="H8" s="60">
        <v>0</v>
      </c>
      <c r="I8" s="28">
        <v>0</v>
      </c>
      <c r="J8" s="28">
        <v>0</v>
      </c>
      <c r="K8" s="28">
        <v>0</v>
      </c>
      <c r="L8" s="28">
        <v>0</v>
      </c>
      <c r="M8" s="64">
        <v>0</v>
      </c>
      <c r="N8" s="64">
        <v>0</v>
      </c>
      <c r="O8" s="64">
        <v>0</v>
      </c>
      <c r="P8" s="64">
        <v>0</v>
      </c>
      <c r="Q8" s="82">
        <v>0</v>
      </c>
      <c r="R8" s="272">
        <v>0</v>
      </c>
      <c r="S8" s="157">
        <v>0</v>
      </c>
      <c r="T8" s="106">
        <v>0</v>
      </c>
      <c r="U8" s="63" t="str">
        <f t="shared" si="0"/>
        <v>Normal</v>
      </c>
      <c r="V8" s="63" t="str">
        <f t="shared" si="1"/>
        <v>Normal</v>
      </c>
      <c r="W8" s="18">
        <f t="shared" si="2"/>
        <v>0</v>
      </c>
      <c r="X8" s="18">
        <f t="shared" si="3"/>
        <v>0</v>
      </c>
      <c r="AA8" s="432" t="s">
        <v>169</v>
      </c>
      <c r="AB8" s="433"/>
      <c r="AE8" s="432" t="s">
        <v>168</v>
      </c>
      <c r="AF8" s="433"/>
    </row>
    <row r="9" spans="1:35">
      <c r="A9" s="24">
        <v>45390</v>
      </c>
      <c r="B9" s="392">
        <f>IF(YEAR(Table6[[#This Row],[Date]]) = 2024, WEEKNUM(Table6[[#This Row],[Date]])-13, WEEKNUM(Table6[[#This Row],[Date]])+40)</f>
        <v>2</v>
      </c>
      <c r="C9" s="31" t="s">
        <v>55</v>
      </c>
      <c r="D9" s="59" t="s">
        <v>48</v>
      </c>
      <c r="E9" s="1">
        <v>470</v>
      </c>
      <c r="F9" s="1">
        <v>428</v>
      </c>
      <c r="G9" s="61">
        <v>0</v>
      </c>
      <c r="H9" s="61">
        <v>0</v>
      </c>
      <c r="I9" s="1">
        <f>I7+E9</f>
        <v>2434</v>
      </c>
      <c r="J9" s="1">
        <f>J7+F9</f>
        <v>2216</v>
      </c>
      <c r="K9" s="1">
        <f>Table3[[#This Row],[Calls Off]]+K7</f>
        <v>2434</v>
      </c>
      <c r="L9" s="1">
        <f>Table3[[#This Row],[Calls Ans]]+L7</f>
        <v>2216</v>
      </c>
      <c r="M9" s="63">
        <v>0.69</v>
      </c>
      <c r="N9" s="63">
        <v>0.09</v>
      </c>
      <c r="O9" s="63">
        <v>0.91</v>
      </c>
      <c r="P9" s="63">
        <v>0.49</v>
      </c>
      <c r="Q9" s="83">
        <v>1</v>
      </c>
      <c r="R9" s="271">
        <v>185</v>
      </c>
      <c r="S9" s="140">
        <v>6.9444444444444434E-2</v>
      </c>
      <c r="T9" s="106">
        <v>6</v>
      </c>
      <c r="U9" s="63" t="str">
        <f t="shared" si="0"/>
        <v>Normal</v>
      </c>
      <c r="V9" s="63" t="str">
        <f t="shared" si="1"/>
        <v>Normal</v>
      </c>
      <c r="W9" s="18">
        <f t="shared" si="2"/>
        <v>0</v>
      </c>
      <c r="X9" s="18">
        <f t="shared" si="3"/>
        <v>0</v>
      </c>
      <c r="AA9" s="1" t="s">
        <v>165</v>
      </c>
      <c r="AB9" s="61">
        <f>AVERAGE(G2:G123)</f>
        <v>2.3102265834629744E-2</v>
      </c>
      <c r="AE9" s="1" t="s">
        <v>165</v>
      </c>
      <c r="AF9" s="61">
        <f>AVERAGE(H2:H123)</f>
        <v>1.3613164209720389E-2</v>
      </c>
    </row>
    <row r="10" spans="1:35">
      <c r="A10" s="24">
        <v>45391</v>
      </c>
      <c r="B10" s="392">
        <f>IF(YEAR(Table6[[#This Row],[Date]]) = 2024, WEEKNUM(Table6[[#This Row],[Date]])-13, WEEKNUM(Table6[[#This Row],[Date]])+40)</f>
        <v>2</v>
      </c>
      <c r="C10" s="30" t="s">
        <v>49</v>
      </c>
      <c r="D10" s="59" t="s">
        <v>48</v>
      </c>
      <c r="E10" s="28">
        <v>375</v>
      </c>
      <c r="F10" s="28">
        <v>344</v>
      </c>
      <c r="G10" s="60">
        <f>(E10-E3)/E3</f>
        <v>-0.2236024844720497</v>
      </c>
      <c r="H10" s="60">
        <f>(F10-F3)/F3</f>
        <v>-0.24061810154525387</v>
      </c>
      <c r="I10" s="28">
        <f>I9+E10</f>
        <v>2809</v>
      </c>
      <c r="J10" s="28">
        <f>J9+F10</f>
        <v>2560</v>
      </c>
      <c r="K10" s="28">
        <f>Table3[[#This Row],[Calls Off]]+K9</f>
        <v>2809</v>
      </c>
      <c r="L10" s="28">
        <f>Table3[[#This Row],[Calls Ans]]+L9</f>
        <v>2560</v>
      </c>
      <c r="M10" s="64">
        <v>0.77</v>
      </c>
      <c r="N10" s="64">
        <v>0.08</v>
      </c>
      <c r="O10" s="64">
        <v>0.92</v>
      </c>
      <c r="P10" s="64">
        <v>0.5</v>
      </c>
      <c r="Q10" s="82">
        <v>1</v>
      </c>
      <c r="R10" s="272">
        <v>200</v>
      </c>
      <c r="S10" s="157">
        <v>4.6527777777777779E-2</v>
      </c>
      <c r="T10" s="106">
        <v>5</v>
      </c>
      <c r="U10" s="63" t="str">
        <f t="shared" si="0"/>
        <v>Normal</v>
      </c>
      <c r="V10" s="63" t="str">
        <f t="shared" si="1"/>
        <v>Outlier</v>
      </c>
      <c r="W10" s="18">
        <f t="shared" si="2"/>
        <v>-0.2236024844720497</v>
      </c>
      <c r="X10" s="18">
        <f t="shared" si="3"/>
        <v>-0.24061810154525387</v>
      </c>
      <c r="AA10" s="1" t="s">
        <v>166</v>
      </c>
      <c r="AB10" s="18">
        <f>MEDIAN(G2:G123)</f>
        <v>0</v>
      </c>
      <c r="AE10" s="1" t="s">
        <v>166</v>
      </c>
      <c r="AF10" s="18">
        <f>MEDIAN(H2:H123)</f>
        <v>0</v>
      </c>
    </row>
    <row r="11" spans="1:35">
      <c r="A11" s="24">
        <v>45392</v>
      </c>
      <c r="B11" s="392">
        <f>IF(YEAR(Table6[[#This Row],[Date]]) = 2024, WEEKNUM(Table6[[#This Row],[Date]])-13, WEEKNUM(Table6[[#This Row],[Date]])+40)</f>
        <v>2</v>
      </c>
      <c r="C11" s="31" t="s">
        <v>50</v>
      </c>
      <c r="D11" s="59" t="s">
        <v>48</v>
      </c>
      <c r="E11" s="1">
        <v>388</v>
      </c>
      <c r="F11" s="1">
        <v>377</v>
      </c>
      <c r="G11" s="61">
        <f t="shared" ref="G11:H11" si="6">(E11-E4)/E4</f>
        <v>-2.5706940874035988E-3</v>
      </c>
      <c r="H11" s="61">
        <f t="shared" si="6"/>
        <v>-7.8947368421052634E-3</v>
      </c>
      <c r="I11" s="1">
        <f t="shared" ref="I11:I12" si="7">I10+E11</f>
        <v>3197</v>
      </c>
      <c r="J11" s="1">
        <f t="shared" ref="J11:J12" si="8">J10+F11</f>
        <v>2937</v>
      </c>
      <c r="K11" s="1">
        <f>Table3[[#This Row],[Calls Off]]+K10</f>
        <v>3197</v>
      </c>
      <c r="L11" s="1">
        <f>Table3[[#This Row],[Calls Ans]]+L10</f>
        <v>2937</v>
      </c>
      <c r="M11" s="117">
        <v>0.88</v>
      </c>
      <c r="N11" s="117">
        <v>0.03</v>
      </c>
      <c r="O11" s="117">
        <v>0.97</v>
      </c>
      <c r="P11" s="117">
        <v>0.43</v>
      </c>
      <c r="Q11" s="164">
        <v>1</v>
      </c>
      <c r="R11" s="273">
        <v>182</v>
      </c>
      <c r="S11" s="165">
        <v>2.361111111111111E-2</v>
      </c>
      <c r="T11" s="166">
        <v>6</v>
      </c>
      <c r="U11" s="63" t="str">
        <f t="shared" si="0"/>
        <v>Normal</v>
      </c>
      <c r="V11" s="63" t="str">
        <f t="shared" si="1"/>
        <v>Normal</v>
      </c>
      <c r="W11" s="18">
        <f t="shared" si="2"/>
        <v>-2.5706940874035988E-3</v>
      </c>
      <c r="X11" s="18">
        <f t="shared" si="3"/>
        <v>-7.8947368421052634E-3</v>
      </c>
      <c r="AA11" s="1" t="s">
        <v>167</v>
      </c>
      <c r="AB11" s="16">
        <f>_xlfn.MODE.SNGL(G2:G123)</f>
        <v>0</v>
      </c>
      <c r="AE11" s="1" t="s">
        <v>167</v>
      </c>
      <c r="AF11" s="1">
        <f>_xlfn.MODE.SNGL(I2:I123)</f>
        <v>0</v>
      </c>
    </row>
    <row r="12" spans="1:35">
      <c r="A12" s="24">
        <v>45393</v>
      </c>
      <c r="B12" s="392">
        <f>IF(YEAR(Table6[[#This Row],[Date]]) = 2024, WEEKNUM(Table6[[#This Row],[Date]])-13, WEEKNUM(Table6[[#This Row],[Date]])+40)</f>
        <v>2</v>
      </c>
      <c r="C12" s="30" t="s">
        <v>51</v>
      </c>
      <c r="D12" s="59" t="s">
        <v>48</v>
      </c>
      <c r="E12" s="28">
        <v>331</v>
      </c>
      <c r="F12" s="28">
        <v>316</v>
      </c>
      <c r="G12" s="60">
        <f t="shared" ref="G12:H12" si="9">(E12-E5)/E5</f>
        <v>-0.20623501199040767</v>
      </c>
      <c r="H12" s="60">
        <f t="shared" si="9"/>
        <v>-0.15957446808510639</v>
      </c>
      <c r="I12" s="1">
        <f t="shared" si="7"/>
        <v>3528</v>
      </c>
      <c r="J12" s="1">
        <f t="shared" si="8"/>
        <v>3253</v>
      </c>
      <c r="K12" s="1">
        <f>Table3[[#This Row],[Calls Off]]+K11</f>
        <v>3528</v>
      </c>
      <c r="L12" s="1">
        <f>Table3[[#This Row],[Calls Ans]]+L11</f>
        <v>3253</v>
      </c>
      <c r="M12" s="64">
        <v>0.88</v>
      </c>
      <c r="N12" s="64">
        <v>0.05</v>
      </c>
      <c r="O12" s="64">
        <v>0.95</v>
      </c>
      <c r="P12" s="64">
        <v>0.44</v>
      </c>
      <c r="Q12" s="82">
        <v>1</v>
      </c>
      <c r="R12" s="272">
        <v>185</v>
      </c>
      <c r="S12" s="157">
        <v>2.2222222222222223E-2</v>
      </c>
      <c r="T12" s="106">
        <v>5</v>
      </c>
      <c r="U12" s="63" t="str">
        <f t="shared" si="0"/>
        <v>Normal</v>
      </c>
      <c r="V12" s="63" t="str">
        <f t="shared" si="1"/>
        <v>Normal</v>
      </c>
      <c r="W12" s="18">
        <f t="shared" si="2"/>
        <v>-0.20623501199040767</v>
      </c>
      <c r="X12" s="18">
        <f t="shared" si="3"/>
        <v>-0.15957446808510639</v>
      </c>
    </row>
    <row r="13" spans="1:35">
      <c r="A13" s="24">
        <v>45394</v>
      </c>
      <c r="B13" s="392">
        <f>IF(YEAR(Table6[[#This Row],[Date]]) = 2024, WEEKNUM(Table6[[#This Row],[Date]])-13, WEEKNUM(Table6[[#This Row],[Date]])+40)</f>
        <v>2</v>
      </c>
      <c r="C13" s="31" t="s">
        <v>52</v>
      </c>
      <c r="D13" s="59" t="s">
        <v>48</v>
      </c>
      <c r="E13" s="1">
        <v>354</v>
      </c>
      <c r="F13" s="1">
        <v>345</v>
      </c>
      <c r="G13" s="61">
        <f t="shared" ref="G13:G14" si="10">(E13-E6)/E6</f>
        <v>-0.17865429234338748</v>
      </c>
      <c r="H13" s="61">
        <f t="shared" ref="H13:H14" si="11">(F13-F6)/F6</f>
        <v>-8.7301587301587297E-2</v>
      </c>
      <c r="I13" s="1">
        <f t="shared" ref="I13:I14" si="12">I12+E13</f>
        <v>3882</v>
      </c>
      <c r="J13" s="1">
        <f t="shared" ref="J13:J14" si="13">J12+F13</f>
        <v>3598</v>
      </c>
      <c r="K13" s="1">
        <f>Table3[[#This Row],[Calls Off]]+K12</f>
        <v>3882</v>
      </c>
      <c r="L13" s="1">
        <f>Table3[[#This Row],[Calls Ans]]+L12</f>
        <v>3598</v>
      </c>
      <c r="M13" s="63">
        <v>0.95</v>
      </c>
      <c r="N13" s="63">
        <v>0.03</v>
      </c>
      <c r="O13" s="63">
        <v>0.97</v>
      </c>
      <c r="P13" s="63">
        <v>0.4</v>
      </c>
      <c r="Q13" s="83">
        <v>1</v>
      </c>
      <c r="R13" s="271">
        <v>179</v>
      </c>
      <c r="S13" s="140">
        <v>1.3194444444444444E-2</v>
      </c>
      <c r="T13" s="106">
        <v>6</v>
      </c>
      <c r="U13" s="63" t="str">
        <f t="shared" si="0"/>
        <v>Normal</v>
      </c>
      <c r="V13" s="63" t="str">
        <f t="shared" si="1"/>
        <v>Normal</v>
      </c>
      <c r="W13" s="18">
        <f t="shared" si="2"/>
        <v>-0.17865429234338748</v>
      </c>
      <c r="X13" s="18">
        <f t="shared" si="3"/>
        <v>-8.7301587301587297E-2</v>
      </c>
    </row>
    <row r="14" spans="1:35">
      <c r="A14" s="24">
        <v>45395</v>
      </c>
      <c r="B14" s="392">
        <f>IF(YEAR(Table6[[#This Row],[Date]]) = 2024, WEEKNUM(Table6[[#This Row],[Date]])-13, WEEKNUM(Table6[[#This Row],[Date]])+40)</f>
        <v>2</v>
      </c>
      <c r="C14" s="30" t="s">
        <v>53</v>
      </c>
      <c r="D14" s="59" t="s">
        <v>48</v>
      </c>
      <c r="E14" s="28">
        <v>227</v>
      </c>
      <c r="F14" s="28">
        <v>205</v>
      </c>
      <c r="G14" s="61">
        <f t="shared" si="10"/>
        <v>-6.9672131147540978E-2</v>
      </c>
      <c r="H14" s="61">
        <f t="shared" si="11"/>
        <v>1.9900497512437811E-2</v>
      </c>
      <c r="I14" s="1">
        <f t="shared" si="12"/>
        <v>4109</v>
      </c>
      <c r="J14" s="1">
        <f t="shared" si="13"/>
        <v>3803</v>
      </c>
      <c r="K14" s="1">
        <f>Table3[[#This Row],[Calls Off]]+K13</f>
        <v>4109</v>
      </c>
      <c r="L14" s="1">
        <f>Table3[[#This Row],[Calls Ans]]+L13</f>
        <v>3803</v>
      </c>
      <c r="M14" s="64">
        <v>0.71</v>
      </c>
      <c r="N14" s="64">
        <v>0.1</v>
      </c>
      <c r="O14" s="64">
        <v>0.9</v>
      </c>
      <c r="P14" s="64">
        <v>0.62</v>
      </c>
      <c r="Q14" s="82">
        <v>1</v>
      </c>
      <c r="R14" s="272">
        <v>188</v>
      </c>
      <c r="S14" s="157">
        <v>4.6527777777777779E-2</v>
      </c>
      <c r="T14" s="106">
        <v>3</v>
      </c>
      <c r="U14" s="63" t="str">
        <f t="shared" si="0"/>
        <v>Normal</v>
      </c>
      <c r="V14" s="63" t="str">
        <f t="shared" si="1"/>
        <v>Normal</v>
      </c>
      <c r="W14" s="18">
        <f t="shared" si="2"/>
        <v>-6.9672131147540978E-2</v>
      </c>
      <c r="X14" s="18">
        <f t="shared" si="3"/>
        <v>1.9900497512437811E-2</v>
      </c>
    </row>
    <row r="15" spans="1:35">
      <c r="A15" s="24">
        <v>45396</v>
      </c>
      <c r="B15" s="392">
        <f>IF(YEAR(Table6[[#This Row],[Date]]) = 2024, WEEKNUM(Table6[[#This Row],[Date]])-13, WEEKNUM(Table6[[#This Row],[Date]])+40)</f>
        <v>3</v>
      </c>
      <c r="C15" s="31" t="s">
        <v>54</v>
      </c>
      <c r="D15" s="59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v>0</v>
      </c>
      <c r="L15" s="1">
        <v>0</v>
      </c>
      <c r="M15" s="63">
        <v>0</v>
      </c>
      <c r="N15" s="63">
        <v>0</v>
      </c>
      <c r="O15" s="63">
        <v>0</v>
      </c>
      <c r="P15" s="63">
        <v>0</v>
      </c>
      <c r="Q15" s="83">
        <v>0</v>
      </c>
      <c r="R15" s="271">
        <v>0</v>
      </c>
      <c r="S15" s="140">
        <v>0</v>
      </c>
      <c r="T15" s="106">
        <v>0</v>
      </c>
      <c r="U15" s="63" t="str">
        <f t="shared" si="0"/>
        <v>Normal</v>
      </c>
      <c r="V15" s="63" t="str">
        <f t="shared" si="1"/>
        <v>Normal</v>
      </c>
      <c r="W15" s="18">
        <f t="shared" si="2"/>
        <v>0</v>
      </c>
      <c r="X15" s="18">
        <f t="shared" si="3"/>
        <v>0</v>
      </c>
    </row>
    <row r="16" spans="1:35">
      <c r="A16" s="24">
        <v>45397</v>
      </c>
      <c r="B16" s="392">
        <f>IF(YEAR(Table6[[#This Row],[Date]]) = 2024, WEEKNUM(Table6[[#This Row],[Date]])-13, WEEKNUM(Table6[[#This Row],[Date]])+40)</f>
        <v>3</v>
      </c>
      <c r="C16" s="30" t="s">
        <v>55</v>
      </c>
      <c r="D16" s="59" t="s">
        <v>48</v>
      </c>
      <c r="E16" s="28">
        <v>519</v>
      </c>
      <c r="F16" s="28">
        <v>417</v>
      </c>
      <c r="G16" s="61">
        <f>(E16-E9)/E9</f>
        <v>0.10425531914893617</v>
      </c>
      <c r="H16" s="61">
        <f>(F16-F9)/F9</f>
        <v>-2.5700934579439252E-2</v>
      </c>
      <c r="I16" s="1">
        <f>I14+E16</f>
        <v>4628</v>
      </c>
      <c r="J16" s="1">
        <f>J14+F16</f>
        <v>4220</v>
      </c>
      <c r="K16" s="1">
        <f>Table3[[#This Row],[Calls Off]]+K14</f>
        <v>4628</v>
      </c>
      <c r="L16" s="1">
        <f>Table3[[#This Row],[Calls Ans]]+L14</f>
        <v>4220</v>
      </c>
      <c r="M16" s="64">
        <v>0.45</v>
      </c>
      <c r="N16" s="64">
        <v>0.2</v>
      </c>
      <c r="O16" s="64">
        <v>0.8</v>
      </c>
      <c r="P16" s="64">
        <v>0.57999999999999996</v>
      </c>
      <c r="Q16" s="82">
        <v>1</v>
      </c>
      <c r="R16" s="272">
        <v>208</v>
      </c>
      <c r="S16" s="157">
        <v>0.18819444444444444</v>
      </c>
      <c r="T16" s="106">
        <v>5</v>
      </c>
      <c r="U16" s="63" t="str">
        <f t="shared" si="0"/>
        <v>Normal</v>
      </c>
      <c r="V16" s="63" t="str">
        <f t="shared" si="1"/>
        <v>Normal</v>
      </c>
      <c r="W16" s="18">
        <f t="shared" si="2"/>
        <v>0.10425531914893617</v>
      </c>
      <c r="X16" s="18">
        <f t="shared" si="3"/>
        <v>-2.5700934579439252E-2</v>
      </c>
    </row>
    <row r="17" spans="1:43">
      <c r="A17" s="24">
        <v>45398</v>
      </c>
      <c r="B17" s="392">
        <f>IF(YEAR(Table6[[#This Row],[Date]]) = 2024, WEEKNUM(Table6[[#This Row],[Date]])-13, WEEKNUM(Table6[[#This Row],[Date]])+40)</f>
        <v>3</v>
      </c>
      <c r="C17" s="31" t="s">
        <v>49</v>
      </c>
      <c r="D17" s="59" t="s">
        <v>48</v>
      </c>
      <c r="E17" s="1">
        <v>432</v>
      </c>
      <c r="F17" s="1">
        <v>354</v>
      </c>
      <c r="G17" s="61">
        <f t="shared" ref="G17:H21" si="14">(E17-E10)/E10</f>
        <v>0.152</v>
      </c>
      <c r="H17" s="61">
        <f t="shared" si="14"/>
        <v>2.9069767441860465E-2</v>
      </c>
      <c r="I17" s="1">
        <f>I16+E17</f>
        <v>5060</v>
      </c>
      <c r="J17" s="1">
        <f>J16+F17</f>
        <v>4574</v>
      </c>
      <c r="K17" s="1">
        <f>Table3[[#This Row],[Calls Off]]+K16</f>
        <v>5060</v>
      </c>
      <c r="L17" s="1">
        <f>Table3[[#This Row],[Calls Ans]]+L16</f>
        <v>4574</v>
      </c>
      <c r="M17" s="63">
        <v>0.56000000000000005</v>
      </c>
      <c r="N17" s="63">
        <v>0.18</v>
      </c>
      <c r="O17" s="63">
        <v>0.82</v>
      </c>
      <c r="P17" s="63">
        <v>0.61</v>
      </c>
      <c r="Q17" s="83">
        <v>1</v>
      </c>
      <c r="R17" s="271">
        <v>207</v>
      </c>
      <c r="S17" s="140">
        <v>0.13819444444444443</v>
      </c>
      <c r="T17" s="106">
        <v>4</v>
      </c>
      <c r="U17" s="63" t="str">
        <f t="shared" si="0"/>
        <v>Normal</v>
      </c>
      <c r="V17" s="63" t="str">
        <f t="shared" si="1"/>
        <v>Normal</v>
      </c>
      <c r="W17" s="18">
        <f t="shared" si="2"/>
        <v>0.152</v>
      </c>
      <c r="X17" s="18">
        <f t="shared" si="3"/>
        <v>2.9069767441860465E-2</v>
      </c>
    </row>
    <row r="18" spans="1:43">
      <c r="A18" s="24">
        <v>45399</v>
      </c>
      <c r="B18" s="392">
        <f>IF(YEAR(Table6[[#This Row],[Date]]) = 2024, WEEKNUM(Table6[[#This Row],[Date]])-13, WEEKNUM(Table6[[#This Row],[Date]])+40)</f>
        <v>3</v>
      </c>
      <c r="C18" s="30" t="s">
        <v>50</v>
      </c>
      <c r="D18" s="59" t="s">
        <v>48</v>
      </c>
      <c r="E18" s="28">
        <v>311</v>
      </c>
      <c r="F18" s="28">
        <v>276</v>
      </c>
      <c r="G18" s="61">
        <f t="shared" si="14"/>
        <v>-0.19845360824742267</v>
      </c>
      <c r="H18" s="61">
        <f t="shared" si="14"/>
        <v>-0.26790450928381965</v>
      </c>
      <c r="I18" s="1">
        <f t="shared" ref="I18:J21" si="15">I17+E18</f>
        <v>5371</v>
      </c>
      <c r="J18" s="1">
        <f t="shared" si="15"/>
        <v>4850</v>
      </c>
      <c r="K18" s="1">
        <f>Table3[[#This Row],[Calls Off]]+K17</f>
        <v>5371</v>
      </c>
      <c r="L18" s="1">
        <f>Table3[[#This Row],[Calls Ans]]+L17</f>
        <v>4850</v>
      </c>
      <c r="M18" s="64">
        <v>0.64</v>
      </c>
      <c r="N18" s="64">
        <v>0.11</v>
      </c>
      <c r="O18" s="64">
        <v>0.89</v>
      </c>
      <c r="P18" s="64">
        <v>0.63</v>
      </c>
      <c r="Q18" s="82">
        <v>1</v>
      </c>
      <c r="R18" s="272">
        <v>198</v>
      </c>
      <c r="S18" s="157">
        <v>7.2916666666666671E-2</v>
      </c>
      <c r="T18" s="106">
        <v>3</v>
      </c>
      <c r="U18" s="63" t="str">
        <f t="shared" si="0"/>
        <v>Normal</v>
      </c>
      <c r="V18" s="63" t="str">
        <f t="shared" si="1"/>
        <v>Outlier</v>
      </c>
      <c r="W18" s="18">
        <f t="shared" si="2"/>
        <v>-0.19845360824742267</v>
      </c>
      <c r="X18" s="18">
        <f t="shared" si="3"/>
        <v>-0.26790450928381965</v>
      </c>
    </row>
    <row r="19" spans="1:43">
      <c r="A19" s="24">
        <v>45400</v>
      </c>
      <c r="B19" s="392">
        <f>IF(YEAR(Table6[[#This Row],[Date]]) = 2024, WEEKNUM(Table6[[#This Row],[Date]])-13, WEEKNUM(Table6[[#This Row],[Date]])+40)</f>
        <v>3</v>
      </c>
      <c r="C19" s="31" t="s">
        <v>51</v>
      </c>
      <c r="D19" s="59" t="s">
        <v>48</v>
      </c>
      <c r="E19" s="1">
        <v>354</v>
      </c>
      <c r="F19" s="1">
        <v>307</v>
      </c>
      <c r="G19" s="61">
        <f t="shared" si="14"/>
        <v>6.9486404833836862E-2</v>
      </c>
      <c r="H19" s="61">
        <f t="shared" si="14"/>
        <v>-2.8481012658227847E-2</v>
      </c>
      <c r="I19" s="1">
        <f t="shared" si="15"/>
        <v>5725</v>
      </c>
      <c r="J19" s="1">
        <f t="shared" si="15"/>
        <v>5157</v>
      </c>
      <c r="K19" s="1">
        <f>Table3[[#This Row],[Calls Off]]+K18</f>
        <v>5725</v>
      </c>
      <c r="L19" s="1">
        <f>Table3[[#This Row],[Calls Ans]]+L18</f>
        <v>5157</v>
      </c>
      <c r="M19" s="63">
        <v>0.56000000000000005</v>
      </c>
      <c r="N19" s="63">
        <v>0.13</v>
      </c>
      <c r="O19" s="63">
        <v>0.87</v>
      </c>
      <c r="P19" s="63">
        <v>0.71</v>
      </c>
      <c r="Q19" s="83">
        <v>1</v>
      </c>
      <c r="R19" s="271">
        <v>190</v>
      </c>
      <c r="S19" s="140">
        <v>0.11041666666666666</v>
      </c>
      <c r="T19" s="106">
        <v>3</v>
      </c>
      <c r="U19" s="63" t="str">
        <f t="shared" si="0"/>
        <v>Normal</v>
      </c>
      <c r="V19" s="63" t="str">
        <f t="shared" si="1"/>
        <v>Normal</v>
      </c>
      <c r="W19" s="18">
        <f t="shared" si="2"/>
        <v>6.9486404833836862E-2</v>
      </c>
      <c r="X19" s="18">
        <f t="shared" si="3"/>
        <v>-2.8481012658227847E-2</v>
      </c>
    </row>
    <row r="20" spans="1:43">
      <c r="A20" s="24">
        <v>45401</v>
      </c>
      <c r="B20" s="392">
        <f>IF(YEAR(Table6[[#This Row],[Date]]) = 2024, WEEKNUM(Table6[[#This Row],[Date]])-13, WEEKNUM(Table6[[#This Row],[Date]])+40)</f>
        <v>3</v>
      </c>
      <c r="C20" s="30" t="s">
        <v>52</v>
      </c>
      <c r="D20" s="59" t="s">
        <v>48</v>
      </c>
      <c r="E20" s="28">
        <v>417</v>
      </c>
      <c r="F20" s="28">
        <v>317</v>
      </c>
      <c r="G20" s="61">
        <f t="shared" si="14"/>
        <v>0.17796610169491525</v>
      </c>
      <c r="H20" s="61">
        <f t="shared" si="14"/>
        <v>-8.1159420289855067E-2</v>
      </c>
      <c r="I20" s="1">
        <f t="shared" si="15"/>
        <v>6142</v>
      </c>
      <c r="J20" s="1">
        <f t="shared" si="15"/>
        <v>5474</v>
      </c>
      <c r="K20" s="1">
        <f>Table3[[#This Row],[Calls Off]]+K19</f>
        <v>6142</v>
      </c>
      <c r="L20" s="1">
        <f>Table3[[#This Row],[Calls Ans]]+L19</f>
        <v>5474</v>
      </c>
      <c r="M20" s="64">
        <v>0.38</v>
      </c>
      <c r="N20" s="64">
        <v>0.24</v>
      </c>
      <c r="O20" s="64">
        <v>0.76</v>
      </c>
      <c r="P20" s="64">
        <v>0.73</v>
      </c>
      <c r="Q20" s="82">
        <v>1</v>
      </c>
      <c r="R20" s="272">
        <v>220</v>
      </c>
      <c r="S20" s="157">
        <v>0.17986111111111111</v>
      </c>
      <c r="T20" s="106">
        <v>3</v>
      </c>
      <c r="U20" s="63" t="str">
        <f t="shared" si="0"/>
        <v>Normal</v>
      </c>
      <c r="V20" s="63" t="str">
        <f t="shared" si="1"/>
        <v>Normal</v>
      </c>
      <c r="W20" s="18">
        <f t="shared" si="2"/>
        <v>0.17796610169491525</v>
      </c>
      <c r="X20" s="18">
        <f t="shared" si="3"/>
        <v>-8.1159420289855067E-2</v>
      </c>
    </row>
    <row r="21" spans="1:43">
      <c r="A21" s="24">
        <v>45402</v>
      </c>
      <c r="B21" s="392">
        <f>IF(YEAR(Table6[[#This Row],[Date]]) = 2024, WEEKNUM(Table6[[#This Row],[Date]])-13, WEEKNUM(Table6[[#This Row],[Date]])+40)</f>
        <v>3</v>
      </c>
      <c r="C21" s="31" t="s">
        <v>53</v>
      </c>
      <c r="D21" s="59" t="s">
        <v>48</v>
      </c>
      <c r="E21" s="1">
        <v>257</v>
      </c>
      <c r="F21" s="1">
        <v>200</v>
      </c>
      <c r="G21" s="61">
        <f t="shared" si="14"/>
        <v>0.13215859030837004</v>
      </c>
      <c r="H21" s="61">
        <f t="shared" si="14"/>
        <v>-2.4390243902439025E-2</v>
      </c>
      <c r="I21" s="1">
        <f t="shared" si="15"/>
        <v>6399</v>
      </c>
      <c r="J21" s="1">
        <f t="shared" si="15"/>
        <v>5674</v>
      </c>
      <c r="K21" s="1">
        <f>Table3[[#This Row],[Calls Off]]+K20</f>
        <v>6399</v>
      </c>
      <c r="L21" s="1">
        <f>Table3[[#This Row],[Calls Ans]]+L20</f>
        <v>5674</v>
      </c>
      <c r="M21" s="63">
        <v>0.5</v>
      </c>
      <c r="N21" s="63">
        <v>0.22</v>
      </c>
      <c r="O21" s="63">
        <v>0.78</v>
      </c>
      <c r="P21" s="63">
        <v>0.51</v>
      </c>
      <c r="Q21" s="83">
        <v>1</v>
      </c>
      <c r="R21" s="271">
        <v>192</v>
      </c>
      <c r="S21" s="140">
        <v>0.14722222222222223</v>
      </c>
      <c r="T21" s="106">
        <v>3</v>
      </c>
      <c r="U21" s="63" t="str">
        <f t="shared" si="0"/>
        <v>Normal</v>
      </c>
      <c r="V21" s="63" t="str">
        <f t="shared" si="1"/>
        <v>Normal</v>
      </c>
      <c r="W21" s="18">
        <f t="shared" si="2"/>
        <v>0.13215859030837004</v>
      </c>
      <c r="X21" s="18">
        <f t="shared" si="3"/>
        <v>-2.4390243902439025E-2</v>
      </c>
    </row>
    <row r="22" spans="1:43">
      <c r="A22" s="24">
        <v>45403</v>
      </c>
      <c r="B22" s="392">
        <f>IF(YEAR(Table6[[#This Row],[Date]]) = 2024, WEEKNUM(Table6[[#This Row],[Date]])-13, WEEKNUM(Table6[[#This Row],[Date]])+40)</f>
        <v>4</v>
      </c>
      <c r="C22" s="30" t="s">
        <v>54</v>
      </c>
      <c r="D22" s="59" t="s">
        <v>48</v>
      </c>
      <c r="E22" s="28">
        <v>0</v>
      </c>
      <c r="F22" s="28">
        <v>0</v>
      </c>
      <c r="G22" s="60">
        <v>0</v>
      </c>
      <c r="H22" s="60">
        <v>0</v>
      </c>
      <c r="I22" s="28">
        <v>0</v>
      </c>
      <c r="J22" s="28">
        <v>0</v>
      </c>
      <c r="K22" s="28">
        <v>0</v>
      </c>
      <c r="L22" s="28">
        <v>0</v>
      </c>
      <c r="M22" s="64">
        <v>0</v>
      </c>
      <c r="N22" s="64">
        <v>0</v>
      </c>
      <c r="O22" s="64">
        <v>0</v>
      </c>
      <c r="P22" s="64">
        <v>0</v>
      </c>
      <c r="Q22" s="82">
        <v>0</v>
      </c>
      <c r="R22" s="272">
        <v>0</v>
      </c>
      <c r="S22" s="157">
        <v>0</v>
      </c>
      <c r="T22" s="106">
        <v>0</v>
      </c>
      <c r="U22" s="63" t="str">
        <f t="shared" si="0"/>
        <v>Normal</v>
      </c>
      <c r="V22" s="63" t="str">
        <f t="shared" si="1"/>
        <v>Normal</v>
      </c>
      <c r="W22" s="18">
        <f t="shared" si="2"/>
        <v>0</v>
      </c>
      <c r="X22" s="18">
        <f t="shared" si="3"/>
        <v>0</v>
      </c>
      <c r="AM22" s="410" t="s">
        <v>173</v>
      </c>
      <c r="AN22" t="s">
        <v>175</v>
      </c>
      <c r="AO22" t="s">
        <v>176</v>
      </c>
      <c r="AP22" t="s">
        <v>177</v>
      </c>
      <c r="AQ22" t="s">
        <v>178</v>
      </c>
    </row>
    <row r="23" spans="1:43">
      <c r="A23" s="24">
        <v>45404</v>
      </c>
      <c r="B23" s="392">
        <f>IF(YEAR(Table6[[#This Row],[Date]]) = 2024, WEEKNUM(Table6[[#This Row],[Date]])-13, WEEKNUM(Table6[[#This Row],[Date]])+40)</f>
        <v>4</v>
      </c>
      <c r="C23" s="31" t="s">
        <v>55</v>
      </c>
      <c r="D23" s="59" t="s">
        <v>48</v>
      </c>
      <c r="E23" s="1">
        <v>468</v>
      </c>
      <c r="F23" s="1">
        <v>359</v>
      </c>
      <c r="G23" s="61">
        <f>(E23-E16)/E16</f>
        <v>-9.8265895953757232E-2</v>
      </c>
      <c r="H23" s="61">
        <f>(F23-F16)/F16</f>
        <v>-0.13908872901678657</v>
      </c>
      <c r="I23" s="1">
        <f>I21+E23</f>
        <v>6867</v>
      </c>
      <c r="J23" s="1">
        <f>J21+F23</f>
        <v>6033</v>
      </c>
      <c r="K23" s="1">
        <f>Table3[[#This Row],[Calls Off]]+K21</f>
        <v>6867</v>
      </c>
      <c r="L23" s="1">
        <f>Table3[[#This Row],[Calls Ans]]+L21</f>
        <v>6033</v>
      </c>
      <c r="M23" s="63">
        <v>0.52</v>
      </c>
      <c r="N23" s="63">
        <v>0.23</v>
      </c>
      <c r="O23" s="63">
        <v>0.77</v>
      </c>
      <c r="P23" s="63">
        <v>0.64</v>
      </c>
      <c r="Q23" s="83">
        <v>1</v>
      </c>
      <c r="R23" s="271">
        <v>219</v>
      </c>
      <c r="S23" s="140">
        <v>0.14930555555555555</v>
      </c>
      <c r="T23" s="106">
        <v>4</v>
      </c>
      <c r="U23" s="63" t="str">
        <f t="shared" si="0"/>
        <v>Normal</v>
      </c>
      <c r="V23" s="63" t="str">
        <f t="shared" si="1"/>
        <v>Normal</v>
      </c>
      <c r="W23" s="18">
        <f t="shared" si="2"/>
        <v>-9.8265895953757232E-2</v>
      </c>
      <c r="X23" s="18">
        <f t="shared" si="3"/>
        <v>-0.13908872901678657</v>
      </c>
      <c r="AM23" s="411">
        <v>1</v>
      </c>
      <c r="AN23" s="412">
        <v>1964</v>
      </c>
      <c r="AO23" s="412">
        <v>1788</v>
      </c>
      <c r="AP23" s="413">
        <v>0.58499999999999996</v>
      </c>
      <c r="AQ23" s="413">
        <v>0.435</v>
      </c>
    </row>
    <row r="24" spans="1:43">
      <c r="A24" s="24">
        <v>45405</v>
      </c>
      <c r="B24" s="392">
        <f>IF(YEAR(Table6[[#This Row],[Date]]) = 2024, WEEKNUM(Table6[[#This Row],[Date]])-13, WEEKNUM(Table6[[#This Row],[Date]])+40)</f>
        <v>4</v>
      </c>
      <c r="C24" s="30" t="s">
        <v>49</v>
      </c>
      <c r="D24" s="59" t="s">
        <v>48</v>
      </c>
      <c r="E24" s="28">
        <v>357</v>
      </c>
      <c r="F24" s="28">
        <v>330</v>
      </c>
      <c r="G24" s="61">
        <f t="shared" ref="G24:G28" si="16">(E24-E17)/E17</f>
        <v>-0.1736111111111111</v>
      </c>
      <c r="H24" s="61">
        <f t="shared" ref="H24:H28" si="17">(F24-F17)/F17</f>
        <v>-6.7796610169491525E-2</v>
      </c>
      <c r="I24" s="1">
        <f>I23+E24</f>
        <v>7224</v>
      </c>
      <c r="J24" s="1">
        <f>J23+F24</f>
        <v>6363</v>
      </c>
      <c r="K24" s="1">
        <f>Table3[[#This Row],[Calls Off]]+K23</f>
        <v>7224</v>
      </c>
      <c r="L24" s="1">
        <f>Table3[[#This Row],[Calls Ans]]+L23</f>
        <v>6363</v>
      </c>
      <c r="M24" s="64">
        <v>0.81</v>
      </c>
      <c r="N24" s="64">
        <v>0.08</v>
      </c>
      <c r="O24" s="64">
        <v>0.82</v>
      </c>
      <c r="P24" s="64">
        <v>0.46</v>
      </c>
      <c r="Q24" s="82">
        <v>1</v>
      </c>
      <c r="R24" s="272">
        <v>190</v>
      </c>
      <c r="S24" s="157">
        <v>4.7916666666666663E-2</v>
      </c>
      <c r="T24" s="106">
        <v>5</v>
      </c>
      <c r="U24" s="63" t="str">
        <f t="shared" si="0"/>
        <v>Normal</v>
      </c>
      <c r="V24" s="63" t="str">
        <f t="shared" si="1"/>
        <v>Normal</v>
      </c>
      <c r="W24" s="18">
        <f t="shared" si="2"/>
        <v>-0.1736111111111111</v>
      </c>
      <c r="X24" s="18">
        <f t="shared" si="3"/>
        <v>-6.7796610169491525E-2</v>
      </c>
      <c r="AM24" s="411">
        <v>2</v>
      </c>
      <c r="AN24" s="412">
        <v>2145</v>
      </c>
      <c r="AO24" s="412">
        <v>2015</v>
      </c>
      <c r="AP24" s="413">
        <v>0.69714285714285718</v>
      </c>
      <c r="AQ24" s="413">
        <v>0.41142857142857142</v>
      </c>
    </row>
    <row r="25" spans="1:43">
      <c r="A25" s="24">
        <v>45406</v>
      </c>
      <c r="B25" s="392">
        <f>IF(YEAR(Table6[[#This Row],[Date]]) = 2024, WEEKNUM(Table6[[#This Row],[Date]])-13, WEEKNUM(Table6[[#This Row],[Date]])+40)</f>
        <v>4</v>
      </c>
      <c r="C25" s="31" t="s">
        <v>50</v>
      </c>
      <c r="D25" s="59" t="s">
        <v>48</v>
      </c>
      <c r="E25" s="1">
        <v>363</v>
      </c>
      <c r="F25" s="1">
        <v>312</v>
      </c>
      <c r="G25" s="61">
        <f t="shared" si="16"/>
        <v>0.16720257234726688</v>
      </c>
      <c r="H25" s="61">
        <f t="shared" si="17"/>
        <v>0.13043478260869565</v>
      </c>
      <c r="I25" s="1">
        <f t="shared" ref="I25:I28" si="18">I24+E25</f>
        <v>7587</v>
      </c>
      <c r="J25" s="1">
        <f t="shared" ref="J25:J28" si="19">J24+F25</f>
        <v>6675</v>
      </c>
      <c r="K25" s="1">
        <f>Table3[[#This Row],[Calls Off]]+K24</f>
        <v>7587</v>
      </c>
      <c r="L25" s="1">
        <f>Table3[[#This Row],[Calls Ans]]+L24</f>
        <v>6675</v>
      </c>
      <c r="M25" s="63">
        <v>0.63</v>
      </c>
      <c r="N25" s="63">
        <v>0.14000000000000001</v>
      </c>
      <c r="O25" s="63">
        <v>0.86</v>
      </c>
      <c r="P25" s="63">
        <v>0.61</v>
      </c>
      <c r="Q25" s="83">
        <v>1</v>
      </c>
      <c r="R25" s="271">
        <v>208</v>
      </c>
      <c r="S25" s="140">
        <v>0.15486111111111112</v>
      </c>
      <c r="T25" s="106">
        <v>4</v>
      </c>
      <c r="U25" s="63" t="str">
        <f t="shared" si="0"/>
        <v>Normal</v>
      </c>
      <c r="V25" s="63" t="str">
        <f t="shared" si="1"/>
        <v>Normal</v>
      </c>
      <c r="W25" s="18">
        <f t="shared" si="2"/>
        <v>0.16720257234726688</v>
      </c>
      <c r="X25" s="18">
        <f t="shared" si="3"/>
        <v>0.13043478260869565</v>
      </c>
      <c r="AM25" s="411">
        <v>3</v>
      </c>
      <c r="AN25" s="412">
        <v>2290</v>
      </c>
      <c r="AO25" s="412">
        <v>1871</v>
      </c>
      <c r="AP25" s="413">
        <v>0.44142857142857139</v>
      </c>
      <c r="AQ25" s="413">
        <v>0.53857142857142848</v>
      </c>
    </row>
    <row r="26" spans="1:43">
      <c r="A26" s="24">
        <v>45407</v>
      </c>
      <c r="B26" s="392">
        <f>IF(YEAR(Table6[[#This Row],[Date]]) = 2024, WEEKNUM(Table6[[#This Row],[Date]])-13, WEEKNUM(Table6[[#This Row],[Date]])+40)</f>
        <v>4</v>
      </c>
      <c r="C26" s="30" t="s">
        <v>51</v>
      </c>
      <c r="D26" s="59" t="s">
        <v>48</v>
      </c>
      <c r="E26" s="28">
        <v>422</v>
      </c>
      <c r="F26" s="28">
        <v>351</v>
      </c>
      <c r="G26" s="61">
        <f t="shared" si="16"/>
        <v>0.19209039548022599</v>
      </c>
      <c r="H26" s="61">
        <f t="shared" si="17"/>
        <v>0.14332247557003258</v>
      </c>
      <c r="I26" s="1">
        <f t="shared" si="18"/>
        <v>8009</v>
      </c>
      <c r="J26" s="1">
        <f t="shared" si="19"/>
        <v>7026</v>
      </c>
      <c r="K26" s="1">
        <f>Table3[[#This Row],[Calls Off]]+K25</f>
        <v>8009</v>
      </c>
      <c r="L26" s="1">
        <f>Table3[[#This Row],[Calls Ans]]+L25</f>
        <v>7026</v>
      </c>
      <c r="M26" s="64">
        <v>0.59</v>
      </c>
      <c r="N26" s="64">
        <v>0.17</v>
      </c>
      <c r="O26" s="64">
        <v>0.83</v>
      </c>
      <c r="P26" s="64">
        <v>0.56000000000000005</v>
      </c>
      <c r="Q26" s="82">
        <v>1</v>
      </c>
      <c r="R26" s="272">
        <v>193</v>
      </c>
      <c r="S26" s="157">
        <v>0.15277777777777776</v>
      </c>
      <c r="T26" s="106">
        <v>4</v>
      </c>
      <c r="U26" s="63" t="str">
        <f t="shared" si="0"/>
        <v>Normal</v>
      </c>
      <c r="V26" s="63" t="str">
        <f t="shared" si="1"/>
        <v>Normal</v>
      </c>
      <c r="W26" s="18">
        <f t="shared" si="2"/>
        <v>0.19209039548022599</v>
      </c>
      <c r="X26" s="18">
        <f t="shared" si="3"/>
        <v>0.14332247557003258</v>
      </c>
      <c r="AM26" s="411">
        <v>4</v>
      </c>
      <c r="AN26" s="412">
        <v>2244</v>
      </c>
      <c r="AO26" s="412">
        <v>1897</v>
      </c>
      <c r="AP26" s="413">
        <v>0.55714285714285716</v>
      </c>
      <c r="AQ26" s="413">
        <v>0.4757142857142857</v>
      </c>
    </row>
    <row r="27" spans="1:43">
      <c r="A27" s="24">
        <v>45408</v>
      </c>
      <c r="B27" s="392">
        <f>IF(YEAR(Table6[[#This Row],[Date]]) = 2024, WEEKNUM(Table6[[#This Row],[Date]])-13, WEEKNUM(Table6[[#This Row],[Date]])+40)</f>
        <v>4</v>
      </c>
      <c r="C27" s="31" t="s">
        <v>52</v>
      </c>
      <c r="D27" s="59" t="s">
        <v>48</v>
      </c>
      <c r="E27" s="1">
        <v>381</v>
      </c>
      <c r="F27" s="1">
        <v>327</v>
      </c>
      <c r="G27" s="61">
        <f t="shared" si="16"/>
        <v>-8.6330935251798566E-2</v>
      </c>
      <c r="H27" s="61">
        <f t="shared" si="17"/>
        <v>3.1545741324921134E-2</v>
      </c>
      <c r="I27" s="1">
        <f t="shared" si="18"/>
        <v>8390</v>
      </c>
      <c r="J27" s="1">
        <f t="shared" si="19"/>
        <v>7353</v>
      </c>
      <c r="K27" s="1">
        <f>Table3[[#This Row],[Calls Off]]+K26</f>
        <v>8390</v>
      </c>
      <c r="L27" s="1">
        <f>Table3[[#This Row],[Calls Ans]]+L26</f>
        <v>7353</v>
      </c>
      <c r="M27" s="63">
        <v>0.66</v>
      </c>
      <c r="N27" s="63">
        <v>0.14000000000000001</v>
      </c>
      <c r="O27" s="63">
        <v>0.86</v>
      </c>
      <c r="P27" s="63">
        <v>0.56000000000000005</v>
      </c>
      <c r="Q27" s="83">
        <v>1</v>
      </c>
      <c r="R27" s="271">
        <v>201</v>
      </c>
      <c r="S27" s="140">
        <v>8.8888888888888892E-2</v>
      </c>
      <c r="T27" s="106">
        <v>4</v>
      </c>
      <c r="U27" s="63" t="str">
        <f t="shared" si="0"/>
        <v>Normal</v>
      </c>
      <c r="V27" s="63" t="str">
        <f t="shared" si="1"/>
        <v>Normal</v>
      </c>
      <c r="W27" s="18">
        <f t="shared" si="2"/>
        <v>-8.6330935251798566E-2</v>
      </c>
      <c r="X27" s="18">
        <f t="shared" si="3"/>
        <v>3.1545741324921134E-2</v>
      </c>
      <c r="AM27" s="411">
        <v>5</v>
      </c>
      <c r="AN27" s="412">
        <v>1760</v>
      </c>
      <c r="AO27" s="412">
        <v>1228</v>
      </c>
      <c r="AP27" s="413">
        <v>0.25857142857142856</v>
      </c>
      <c r="AQ27" s="413">
        <v>0.35999999999999993</v>
      </c>
    </row>
    <row r="28" spans="1:43">
      <c r="A28" s="24">
        <v>45409</v>
      </c>
      <c r="B28" s="392">
        <f>IF(YEAR(Table6[[#This Row],[Date]]) = 2024, WEEKNUM(Table6[[#This Row],[Date]])-13, WEEKNUM(Table6[[#This Row],[Date]])+40)</f>
        <v>4</v>
      </c>
      <c r="C28" s="30" t="s">
        <v>53</v>
      </c>
      <c r="D28" s="59" t="s">
        <v>48</v>
      </c>
      <c r="E28" s="28">
        <v>253</v>
      </c>
      <c r="F28" s="28">
        <v>218</v>
      </c>
      <c r="G28" s="61">
        <f t="shared" si="16"/>
        <v>-1.556420233463035E-2</v>
      </c>
      <c r="H28" s="61">
        <f t="shared" si="17"/>
        <v>0.09</v>
      </c>
      <c r="I28" s="1">
        <f t="shared" si="18"/>
        <v>8643</v>
      </c>
      <c r="J28" s="1">
        <f t="shared" si="19"/>
        <v>7571</v>
      </c>
      <c r="K28" s="1">
        <f>Table3[[#This Row],[Calls Off]]+K27</f>
        <v>8643</v>
      </c>
      <c r="L28" s="1">
        <f>Table3[[#This Row],[Calls Ans]]+L27</f>
        <v>7571</v>
      </c>
      <c r="M28" s="64">
        <v>0.69</v>
      </c>
      <c r="N28" s="64">
        <v>0.14000000000000001</v>
      </c>
      <c r="O28" s="64">
        <v>0.86</v>
      </c>
      <c r="P28" s="64">
        <v>0.5</v>
      </c>
      <c r="Q28" s="82">
        <v>1</v>
      </c>
      <c r="R28" s="272">
        <v>178</v>
      </c>
      <c r="S28" s="157">
        <v>9.6527777777777768E-2</v>
      </c>
      <c r="T28" s="106">
        <v>3</v>
      </c>
      <c r="U28" s="63" t="str">
        <f t="shared" si="0"/>
        <v>Normal</v>
      </c>
      <c r="V28" s="63" t="str">
        <f t="shared" si="1"/>
        <v>Normal</v>
      </c>
      <c r="W28" s="18">
        <f t="shared" si="2"/>
        <v>-1.556420233463035E-2</v>
      </c>
      <c r="X28" s="18">
        <f t="shared" si="3"/>
        <v>0.09</v>
      </c>
      <c r="AM28" s="411">
        <v>6</v>
      </c>
      <c r="AN28" s="412">
        <v>2030</v>
      </c>
      <c r="AO28" s="412">
        <v>1753</v>
      </c>
      <c r="AP28" s="413">
        <v>0.5585714285714285</v>
      </c>
      <c r="AQ28" s="413">
        <v>0.52428571428571424</v>
      </c>
    </row>
    <row r="29" spans="1:43" ht="14.15" customHeight="1">
      <c r="A29" s="24">
        <v>45410</v>
      </c>
      <c r="B29" s="392">
        <f>IF(YEAR(Table6[[#This Row],[Date]]) = 2024, WEEKNUM(Table6[[#This Row],[Date]])-13, WEEKNUM(Table6[[#This Row],[Date]])+40)</f>
        <v>5</v>
      </c>
      <c r="C29" s="31" t="s">
        <v>54</v>
      </c>
      <c r="D29" s="59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v>0</v>
      </c>
      <c r="L29" s="1">
        <v>0</v>
      </c>
      <c r="M29" s="63">
        <v>0</v>
      </c>
      <c r="N29" s="63">
        <v>0</v>
      </c>
      <c r="O29" s="63">
        <v>0</v>
      </c>
      <c r="P29" s="63">
        <v>0</v>
      </c>
      <c r="Q29" s="83">
        <v>0</v>
      </c>
      <c r="R29" s="271">
        <v>0</v>
      </c>
      <c r="S29" s="140">
        <v>0</v>
      </c>
      <c r="T29" s="106">
        <v>0</v>
      </c>
      <c r="U29" s="63" t="str">
        <f t="shared" si="0"/>
        <v>Normal</v>
      </c>
      <c r="V29" s="63" t="str">
        <f t="shared" si="1"/>
        <v>Normal</v>
      </c>
      <c r="W29" s="18">
        <f t="shared" si="2"/>
        <v>0</v>
      </c>
      <c r="X29" s="18">
        <f t="shared" si="3"/>
        <v>0</v>
      </c>
      <c r="AM29" s="411">
        <v>7</v>
      </c>
      <c r="AN29" s="412">
        <v>2102</v>
      </c>
      <c r="AO29" s="412">
        <v>1711</v>
      </c>
      <c r="AP29" s="413">
        <v>0.56285714285714283</v>
      </c>
      <c r="AQ29" s="413">
        <v>0.41142857142857142</v>
      </c>
    </row>
    <row r="30" spans="1:43" ht="14.15" customHeight="1">
      <c r="A30" s="24">
        <v>45411</v>
      </c>
      <c r="B30" s="392">
        <f>IF(YEAR(Table6[[#This Row],[Date]]) = 2024, WEEKNUM(Table6[[#This Row],[Date]])-13, WEEKNUM(Table6[[#This Row],[Date]])+40)</f>
        <v>5</v>
      </c>
      <c r="C30" s="30" t="s">
        <v>55</v>
      </c>
      <c r="D30" s="59" t="s">
        <v>48</v>
      </c>
      <c r="E30" s="28">
        <v>0</v>
      </c>
      <c r="F30" s="28">
        <v>0</v>
      </c>
      <c r="G30" s="60">
        <v>0</v>
      </c>
      <c r="H30" s="60">
        <v>0</v>
      </c>
      <c r="I30" s="28">
        <v>0</v>
      </c>
      <c r="J30" s="28">
        <v>0</v>
      </c>
      <c r="K30" s="28">
        <v>0</v>
      </c>
      <c r="L30" s="28">
        <v>0</v>
      </c>
      <c r="M30" s="64">
        <v>0</v>
      </c>
      <c r="N30" s="64">
        <v>0</v>
      </c>
      <c r="O30" s="64">
        <v>0</v>
      </c>
      <c r="P30" s="64">
        <v>0</v>
      </c>
      <c r="Q30" s="82">
        <v>0</v>
      </c>
      <c r="R30" s="272">
        <v>0</v>
      </c>
      <c r="S30" s="157">
        <v>0</v>
      </c>
      <c r="T30" s="106">
        <v>0</v>
      </c>
      <c r="U30" s="63" t="str">
        <f t="shared" si="0"/>
        <v>Normal</v>
      </c>
      <c r="V30" s="63" t="str">
        <f t="shared" si="1"/>
        <v>Normal</v>
      </c>
      <c r="W30" s="18">
        <f t="shared" si="2"/>
        <v>0</v>
      </c>
      <c r="X30" s="18">
        <f t="shared" si="3"/>
        <v>0</v>
      </c>
      <c r="AM30" s="411">
        <v>8</v>
      </c>
      <c r="AN30" s="412">
        <v>1800</v>
      </c>
      <c r="AO30" s="412">
        <v>1641</v>
      </c>
      <c r="AP30" s="413">
        <v>0.56142857142857139</v>
      </c>
      <c r="AQ30" s="413">
        <v>0.36571428571428571</v>
      </c>
    </row>
    <row r="31" spans="1:43" ht="14.15" customHeight="1">
      <c r="A31" s="24">
        <v>45412</v>
      </c>
      <c r="B31" s="392">
        <f>IF(YEAR(Table6[[#This Row],[Date]]) = 2024, WEEKNUM(Table6[[#This Row],[Date]])-13, WEEKNUM(Table6[[#This Row],[Date]])+40)</f>
        <v>5</v>
      </c>
      <c r="C31" s="31" t="s">
        <v>49</v>
      </c>
      <c r="D31" s="59" t="s">
        <v>48</v>
      </c>
      <c r="E31" s="1">
        <v>656</v>
      </c>
      <c r="F31" s="1">
        <v>340</v>
      </c>
      <c r="G31" s="61">
        <f t="shared" ref="G31" si="20">(E31-E24)/E24</f>
        <v>0.83753501400560226</v>
      </c>
      <c r="H31" s="61">
        <f t="shared" ref="H31" si="21">(F31-F24)/F24</f>
        <v>3.0303030303030304E-2</v>
      </c>
      <c r="I31" s="1">
        <f>I28+E31</f>
        <v>9299</v>
      </c>
      <c r="J31" s="1">
        <f>J28+F31</f>
        <v>7911</v>
      </c>
      <c r="K31" s="1">
        <f>Table3[[#This Row],[Calls Off]]+K28</f>
        <v>9299</v>
      </c>
      <c r="L31" s="1">
        <f>Table3[[#This Row],[Calls Ans]]+L28</f>
        <v>7911</v>
      </c>
      <c r="M31" s="63">
        <v>0.14000000000000001</v>
      </c>
      <c r="N31" s="63">
        <v>0.48</v>
      </c>
      <c r="O31" s="63">
        <v>0.52</v>
      </c>
      <c r="P31" s="63">
        <v>0.78</v>
      </c>
      <c r="Q31" s="83">
        <v>1</v>
      </c>
      <c r="R31" s="271">
        <v>241</v>
      </c>
      <c r="S31" s="140">
        <v>0.4055555555555555</v>
      </c>
      <c r="T31" s="106">
        <v>3</v>
      </c>
      <c r="U31" s="63" t="str">
        <f t="shared" si="0"/>
        <v>Outlier</v>
      </c>
      <c r="V31" s="63" t="str">
        <f t="shared" si="1"/>
        <v>Normal</v>
      </c>
      <c r="W31" s="18">
        <f t="shared" si="2"/>
        <v>0.83753501400560226</v>
      </c>
      <c r="X31" s="18">
        <f t="shared" si="3"/>
        <v>3.0303030303030304E-2</v>
      </c>
      <c r="AM31" s="411">
        <v>9</v>
      </c>
      <c r="AN31" s="412">
        <v>2186</v>
      </c>
      <c r="AO31" s="412">
        <v>1859</v>
      </c>
      <c r="AP31" s="413">
        <v>0.66999999999999993</v>
      </c>
      <c r="AQ31" s="413">
        <v>0.4</v>
      </c>
    </row>
    <row r="32" spans="1:43" ht="14.15" customHeight="1">
      <c r="A32" s="24">
        <v>45413</v>
      </c>
      <c r="B32" s="392">
        <f>IF(YEAR(Table6[[#This Row],[Date]]) = 2024, WEEKNUM(Table6[[#This Row],[Date]])-13, WEEKNUM(Table6[[#This Row],[Date]])+40)</f>
        <v>5</v>
      </c>
      <c r="C32" s="30" t="s">
        <v>50</v>
      </c>
      <c r="D32" s="59" t="s">
        <v>48</v>
      </c>
      <c r="E32" s="28">
        <v>0</v>
      </c>
      <c r="F32" s="28">
        <v>0</v>
      </c>
      <c r="G32" s="60">
        <v>0</v>
      </c>
      <c r="H32" s="60">
        <v>0</v>
      </c>
      <c r="I32" s="28">
        <v>0</v>
      </c>
      <c r="J32" s="28">
        <v>0</v>
      </c>
      <c r="K32" s="28">
        <v>0</v>
      </c>
      <c r="L32" s="28">
        <v>0</v>
      </c>
      <c r="M32" s="64">
        <v>0</v>
      </c>
      <c r="N32" s="64">
        <v>0</v>
      </c>
      <c r="O32" s="64">
        <v>0</v>
      </c>
      <c r="P32" s="64">
        <v>0</v>
      </c>
      <c r="Q32" s="82">
        <v>0</v>
      </c>
      <c r="R32" s="272">
        <v>0</v>
      </c>
      <c r="S32" s="157">
        <v>0</v>
      </c>
      <c r="T32" s="106">
        <v>0</v>
      </c>
      <c r="U32" s="63" t="str">
        <f t="shared" si="0"/>
        <v>Normal</v>
      </c>
      <c r="V32" s="63" t="str">
        <f t="shared" si="1"/>
        <v>Normal</v>
      </c>
      <c r="W32" s="18">
        <f t="shared" si="2"/>
        <v>0</v>
      </c>
      <c r="X32" s="18">
        <f t="shared" si="3"/>
        <v>0</v>
      </c>
      <c r="AM32" s="411">
        <v>10</v>
      </c>
      <c r="AN32" s="412">
        <v>1856</v>
      </c>
      <c r="AO32" s="412">
        <v>1547</v>
      </c>
      <c r="AP32" s="413">
        <v>0.54142857142857148</v>
      </c>
      <c r="AQ32" s="413">
        <v>0.40857142857142864</v>
      </c>
    </row>
    <row r="33" spans="1:43" ht="14.15" customHeight="1">
      <c r="A33" s="24">
        <v>45414</v>
      </c>
      <c r="B33" s="392">
        <f>IF(YEAR(Table6[[#This Row],[Date]]) = 2024, WEEKNUM(Table6[[#This Row],[Date]])-13, WEEKNUM(Table6[[#This Row],[Date]])+40)</f>
        <v>5</v>
      </c>
      <c r="C33" s="31" t="s">
        <v>51</v>
      </c>
      <c r="D33" s="59" t="s">
        <v>48</v>
      </c>
      <c r="E33" s="1">
        <v>507</v>
      </c>
      <c r="F33" s="1">
        <v>370</v>
      </c>
      <c r="G33" s="61">
        <f t="shared" ref="G33:G35" si="22">(E33-E26)/E26</f>
        <v>0.2014218009478673</v>
      </c>
      <c r="H33" s="61">
        <f t="shared" ref="H33:H35" si="23">(F33-F26)/F26</f>
        <v>5.4131054131054131E-2</v>
      </c>
      <c r="I33" s="1">
        <f t="shared" ref="I33:I35" si="24">I32+E33</f>
        <v>507</v>
      </c>
      <c r="J33" s="1">
        <f t="shared" ref="J33:J35" si="25">J32+F33</f>
        <v>370</v>
      </c>
      <c r="K33" s="1">
        <f>Table3[[#This Row],[Calls Off]]+K31</f>
        <v>9806</v>
      </c>
      <c r="L33" s="1">
        <f>Table3[[#This Row],[Calls Ans]]+L31</f>
        <v>8281</v>
      </c>
      <c r="M33" s="63">
        <v>0.38</v>
      </c>
      <c r="N33" s="63">
        <v>0.27</v>
      </c>
      <c r="O33" s="63">
        <v>0.73</v>
      </c>
      <c r="P33" s="63">
        <v>0.85</v>
      </c>
      <c r="Q33" s="83">
        <v>1</v>
      </c>
      <c r="R33" s="271">
        <v>214</v>
      </c>
      <c r="S33" s="140">
        <v>0.16874999999999998</v>
      </c>
      <c r="T33" s="106">
        <v>4</v>
      </c>
      <c r="U33" s="63" t="str">
        <f t="shared" si="0"/>
        <v>Normal</v>
      </c>
      <c r="V33" s="63" t="str">
        <f t="shared" si="1"/>
        <v>Normal</v>
      </c>
      <c r="W33" s="18">
        <f t="shared" si="2"/>
        <v>0.2014218009478673</v>
      </c>
      <c r="X33" s="18">
        <f t="shared" si="3"/>
        <v>5.4131054131054131E-2</v>
      </c>
      <c r="AM33" s="411">
        <v>11</v>
      </c>
      <c r="AN33" s="412">
        <v>2190</v>
      </c>
      <c r="AO33" s="412">
        <v>1782</v>
      </c>
      <c r="AP33" s="413">
        <v>0.51857142857142857</v>
      </c>
      <c r="AQ33" s="413">
        <v>0.43428571428571433</v>
      </c>
    </row>
    <row r="34" spans="1:43" ht="14.15" customHeight="1">
      <c r="A34" s="24">
        <v>45415</v>
      </c>
      <c r="B34" s="392">
        <f>IF(YEAR(Table6[[#This Row],[Date]]) = 2024, WEEKNUM(Table6[[#This Row],[Date]])-13, WEEKNUM(Table6[[#This Row],[Date]])+40)</f>
        <v>5</v>
      </c>
      <c r="C34" s="30" t="s">
        <v>52</v>
      </c>
      <c r="D34" s="59" t="s">
        <v>48</v>
      </c>
      <c r="E34" s="28">
        <v>376</v>
      </c>
      <c r="F34" s="28">
        <v>319</v>
      </c>
      <c r="G34" s="60">
        <f t="shared" si="22"/>
        <v>-1.3123359580052493E-2</v>
      </c>
      <c r="H34" s="60">
        <f t="shared" si="23"/>
        <v>-2.4464831804281346E-2</v>
      </c>
      <c r="I34" s="28">
        <f t="shared" si="24"/>
        <v>883</v>
      </c>
      <c r="J34" s="28">
        <f t="shared" si="25"/>
        <v>689</v>
      </c>
      <c r="K34" s="28">
        <f>Table3[[#This Row],[Calls Off]]+K33</f>
        <v>10182</v>
      </c>
      <c r="L34" s="28">
        <f>Table3[[#This Row],[Calls Ans]]+L33</f>
        <v>8600</v>
      </c>
      <c r="M34" s="64">
        <v>0.56000000000000005</v>
      </c>
      <c r="N34" s="64">
        <v>0.15</v>
      </c>
      <c r="O34" s="64">
        <v>0.85</v>
      </c>
      <c r="P34" s="64">
        <v>0.55000000000000004</v>
      </c>
      <c r="Q34" s="82">
        <v>1</v>
      </c>
      <c r="R34" s="272">
        <v>216</v>
      </c>
      <c r="S34" s="157">
        <v>0.10902777777777778</v>
      </c>
      <c r="T34" s="106">
        <v>4</v>
      </c>
      <c r="U34" s="63" t="str">
        <f t="shared" si="0"/>
        <v>Normal</v>
      </c>
      <c r="V34" s="63" t="str">
        <f t="shared" si="1"/>
        <v>Normal</v>
      </c>
      <c r="W34" s="18">
        <f t="shared" si="2"/>
        <v>-1.3123359580052493E-2</v>
      </c>
      <c r="X34" s="18">
        <f t="shared" si="3"/>
        <v>-2.4464831804281346E-2</v>
      </c>
      <c r="AM34" s="411">
        <v>12</v>
      </c>
      <c r="AN34" s="412">
        <v>1976</v>
      </c>
      <c r="AO34" s="412">
        <v>1629</v>
      </c>
      <c r="AP34" s="413">
        <v>0.56285714285714294</v>
      </c>
      <c r="AQ34" s="413">
        <v>0.41571428571428576</v>
      </c>
    </row>
    <row r="35" spans="1:43" ht="14.15" customHeight="1">
      <c r="A35" s="24">
        <v>45416</v>
      </c>
      <c r="B35" s="392">
        <f>IF(YEAR(Table6[[#This Row],[Date]]) = 2024, WEEKNUM(Table6[[#This Row],[Date]])-13, WEEKNUM(Table6[[#This Row],[Date]])+40)</f>
        <v>5</v>
      </c>
      <c r="C35" s="31" t="s">
        <v>53</v>
      </c>
      <c r="D35" s="59" t="s">
        <v>48</v>
      </c>
      <c r="E35" s="1">
        <v>221</v>
      </c>
      <c r="F35" s="1">
        <v>199</v>
      </c>
      <c r="G35" s="61">
        <f t="shared" si="22"/>
        <v>-0.12648221343873517</v>
      </c>
      <c r="H35" s="61">
        <f t="shared" si="23"/>
        <v>-8.7155963302752298E-2</v>
      </c>
      <c r="I35" s="1">
        <f t="shared" si="24"/>
        <v>1104</v>
      </c>
      <c r="J35" s="1">
        <f t="shared" si="25"/>
        <v>888</v>
      </c>
      <c r="K35" s="1">
        <f>Table3[[#This Row],[Calls Off]]+K34</f>
        <v>10403</v>
      </c>
      <c r="L35" s="1">
        <f>Table3[[#This Row],[Calls Ans]]+L34</f>
        <v>8799</v>
      </c>
      <c r="M35" s="63">
        <v>0.73</v>
      </c>
      <c r="N35" s="63">
        <v>0.1</v>
      </c>
      <c r="O35" s="63">
        <v>0.9</v>
      </c>
      <c r="P35" s="63">
        <v>0.34</v>
      </c>
      <c r="Q35" s="83">
        <v>1</v>
      </c>
      <c r="R35" s="271">
        <v>187</v>
      </c>
      <c r="S35" s="140">
        <v>4.3750000000000004E-2</v>
      </c>
      <c r="T35" s="106">
        <v>4</v>
      </c>
      <c r="U35" s="63" t="str">
        <f t="shared" si="0"/>
        <v>Normal</v>
      </c>
      <c r="V35" s="63" t="str">
        <f t="shared" si="1"/>
        <v>Normal</v>
      </c>
      <c r="W35" s="18">
        <f t="shared" si="2"/>
        <v>-0.12648221343873517</v>
      </c>
      <c r="X35" s="18">
        <f t="shared" si="3"/>
        <v>-8.7155963302752298E-2</v>
      </c>
      <c r="AM35" s="411">
        <v>13</v>
      </c>
      <c r="AN35" s="412">
        <v>2250</v>
      </c>
      <c r="AO35" s="412">
        <v>1947</v>
      </c>
      <c r="AP35" s="413">
        <v>0.57285714285714284</v>
      </c>
      <c r="AQ35" s="413">
        <v>0.44</v>
      </c>
    </row>
    <row r="36" spans="1:43" ht="14.15" customHeight="1">
      <c r="A36" s="24">
        <v>45417</v>
      </c>
      <c r="B36" s="392">
        <f>IF(YEAR(Table6[[#This Row],[Date]]) = 2024, WEEKNUM(Table6[[#This Row],[Date]])-13, WEEKNUM(Table6[[#This Row],[Date]])+40)</f>
        <v>6</v>
      </c>
      <c r="C36" s="30" t="s">
        <v>54</v>
      </c>
      <c r="D36" s="59" t="s">
        <v>48</v>
      </c>
      <c r="E36" s="28">
        <v>0</v>
      </c>
      <c r="F36" s="28">
        <v>0</v>
      </c>
      <c r="G36" s="60">
        <v>0</v>
      </c>
      <c r="H36" s="60">
        <v>0</v>
      </c>
      <c r="I36" s="28">
        <v>0</v>
      </c>
      <c r="J36" s="28">
        <v>0</v>
      </c>
      <c r="K36" s="28">
        <v>0</v>
      </c>
      <c r="L36" s="28">
        <v>0</v>
      </c>
      <c r="M36" s="64">
        <v>0</v>
      </c>
      <c r="N36" s="64">
        <v>0</v>
      </c>
      <c r="O36" s="64">
        <v>0</v>
      </c>
      <c r="P36" s="64">
        <v>0</v>
      </c>
      <c r="Q36" s="82">
        <v>0</v>
      </c>
      <c r="R36" s="272">
        <v>0</v>
      </c>
      <c r="S36" s="157">
        <v>0</v>
      </c>
      <c r="T36" s="106">
        <v>0</v>
      </c>
      <c r="U36" s="63" t="str">
        <f t="shared" si="0"/>
        <v>Normal</v>
      </c>
      <c r="V36" s="63" t="str">
        <f t="shared" si="1"/>
        <v>Normal</v>
      </c>
      <c r="W36" s="18">
        <f t="shared" si="2"/>
        <v>0</v>
      </c>
      <c r="X36" s="18">
        <f t="shared" si="3"/>
        <v>0</v>
      </c>
      <c r="AM36" s="411">
        <v>14</v>
      </c>
      <c r="AN36" s="412">
        <v>1404</v>
      </c>
      <c r="AO36" s="412">
        <v>1201</v>
      </c>
      <c r="AP36" s="413">
        <v>0.49714285714285722</v>
      </c>
      <c r="AQ36" s="413">
        <v>0.34285714285714286</v>
      </c>
    </row>
    <row r="37" spans="1:43" ht="14.15" customHeight="1">
      <c r="A37" s="24">
        <v>45418</v>
      </c>
      <c r="B37" s="392">
        <f>IF(YEAR(Table6[[#This Row],[Date]]) = 2024, WEEKNUM(Table6[[#This Row],[Date]])-13, WEEKNUM(Table6[[#This Row],[Date]])+40)</f>
        <v>6</v>
      </c>
      <c r="C37" s="31" t="s">
        <v>55</v>
      </c>
      <c r="D37" s="59" t="s">
        <v>48</v>
      </c>
      <c r="E37" s="1">
        <v>453</v>
      </c>
      <c r="F37" s="1">
        <v>356</v>
      </c>
      <c r="G37" s="61">
        <v>0</v>
      </c>
      <c r="H37" s="61">
        <v>0</v>
      </c>
      <c r="I37" s="1">
        <f>I35+E37</f>
        <v>1557</v>
      </c>
      <c r="J37" s="1">
        <f>J35+F37</f>
        <v>1244</v>
      </c>
      <c r="K37" s="1">
        <f>Table3[[#This Row],[Calls Off]]+K35</f>
        <v>10856</v>
      </c>
      <c r="L37" s="1">
        <f>Table3[[#This Row],[Calls Ans]]+L35</f>
        <v>9155</v>
      </c>
      <c r="M37" s="63">
        <v>0.44</v>
      </c>
      <c r="N37" s="63">
        <v>0.21</v>
      </c>
      <c r="O37" s="63">
        <v>0.79</v>
      </c>
      <c r="P37" s="63">
        <v>0.82</v>
      </c>
      <c r="Q37" s="83">
        <v>1</v>
      </c>
      <c r="R37" s="271">
        <v>206</v>
      </c>
      <c r="S37" s="140">
        <v>0.16319444444444445</v>
      </c>
      <c r="T37" s="106">
        <v>3</v>
      </c>
      <c r="U37" s="63" t="str">
        <f t="shared" si="0"/>
        <v>Normal</v>
      </c>
      <c r="V37" s="63" t="str">
        <f t="shared" si="1"/>
        <v>Normal</v>
      </c>
      <c r="W37" s="18">
        <f t="shared" si="2"/>
        <v>0</v>
      </c>
      <c r="X37" s="18">
        <f t="shared" si="3"/>
        <v>0</v>
      </c>
      <c r="AM37" s="411">
        <v>15</v>
      </c>
      <c r="AN37" s="412">
        <v>2198</v>
      </c>
      <c r="AO37" s="412">
        <v>1708</v>
      </c>
      <c r="AP37" s="413">
        <v>0.45142857142857146</v>
      </c>
      <c r="AQ37" s="413">
        <v>0.58000000000000007</v>
      </c>
    </row>
    <row r="38" spans="1:43" ht="14.15" customHeight="1">
      <c r="A38" s="24">
        <v>45419</v>
      </c>
      <c r="B38" s="392">
        <f>IF(YEAR(Table6[[#This Row],[Date]]) = 2024, WEEKNUM(Table6[[#This Row],[Date]])-13, WEEKNUM(Table6[[#This Row],[Date]])+40)</f>
        <v>6</v>
      </c>
      <c r="C38" s="30" t="s">
        <v>49</v>
      </c>
      <c r="D38" s="59" t="s">
        <v>48</v>
      </c>
      <c r="E38" s="28">
        <v>362</v>
      </c>
      <c r="F38" s="28">
        <v>313</v>
      </c>
      <c r="G38" s="61">
        <f t="shared" ref="G38:G42" si="26">(E38-E31)/E31</f>
        <v>-0.44817073170731708</v>
      </c>
      <c r="H38" s="61">
        <f t="shared" ref="H38:H42" si="27">(F38-F31)/F31</f>
        <v>-7.9411764705882348E-2</v>
      </c>
      <c r="I38" s="1">
        <f>I37+E38</f>
        <v>1919</v>
      </c>
      <c r="J38" s="1">
        <f>J37+F38</f>
        <v>1557</v>
      </c>
      <c r="K38" s="1">
        <f>Table3[[#This Row],[Calls Off]]+K37</f>
        <v>11218</v>
      </c>
      <c r="L38" s="1">
        <f>Table3[[#This Row],[Calls Ans]]+L37</f>
        <v>9468</v>
      </c>
      <c r="M38" s="64">
        <v>0.67</v>
      </c>
      <c r="N38" s="64">
        <v>0.14000000000000001</v>
      </c>
      <c r="O38" s="64">
        <v>0.86</v>
      </c>
      <c r="P38" s="64">
        <v>0.54</v>
      </c>
      <c r="Q38" s="82">
        <v>1</v>
      </c>
      <c r="R38" s="272">
        <v>229</v>
      </c>
      <c r="S38" s="157">
        <v>6.3194444444444442E-2</v>
      </c>
      <c r="T38" s="106">
        <v>4</v>
      </c>
      <c r="U38" s="63" t="str">
        <f t="shared" si="0"/>
        <v>Outlier</v>
      </c>
      <c r="V38" s="63" t="str">
        <f t="shared" si="1"/>
        <v>Normal</v>
      </c>
      <c r="W38" s="18">
        <f t="shared" si="2"/>
        <v>-0.44817073170731708</v>
      </c>
      <c r="X38" s="18">
        <f t="shared" si="3"/>
        <v>-7.9411764705882348E-2</v>
      </c>
      <c r="AM38" s="411">
        <v>16</v>
      </c>
      <c r="AN38" s="412">
        <v>2091</v>
      </c>
      <c r="AO38" s="412">
        <v>1699</v>
      </c>
      <c r="AP38" s="413">
        <v>0.54571428571428571</v>
      </c>
      <c r="AQ38" s="413">
        <v>0.47142857142857142</v>
      </c>
    </row>
    <row r="39" spans="1:43" ht="14.15" customHeight="1">
      <c r="A39" s="24">
        <v>45420</v>
      </c>
      <c r="B39" s="392">
        <f>IF(YEAR(Table6[[#This Row],[Date]]) = 2024, WEEKNUM(Table6[[#This Row],[Date]])-13, WEEKNUM(Table6[[#This Row],[Date]])+40)</f>
        <v>6</v>
      </c>
      <c r="C39" s="31" t="s">
        <v>50</v>
      </c>
      <c r="D39" s="59" t="s">
        <v>48</v>
      </c>
      <c r="E39" s="1">
        <v>336</v>
      </c>
      <c r="F39" s="1">
        <v>324</v>
      </c>
      <c r="G39" s="61">
        <v>0</v>
      </c>
      <c r="H39" s="61">
        <v>0</v>
      </c>
      <c r="I39" s="1">
        <f t="shared" ref="I39:I42" si="28">I38+E39</f>
        <v>2255</v>
      </c>
      <c r="J39" s="1">
        <f t="shared" ref="J39:J42" si="29">J38+F39</f>
        <v>1881</v>
      </c>
      <c r="K39" s="1">
        <f>Table3[[#This Row],[Calls Off]]+K38</f>
        <v>11554</v>
      </c>
      <c r="L39" s="1">
        <f>Table3[[#This Row],[Calls Ans]]+L38</f>
        <v>9792</v>
      </c>
      <c r="M39" s="63">
        <v>0.86</v>
      </c>
      <c r="N39" s="63">
        <v>0.04</v>
      </c>
      <c r="O39" s="63">
        <v>0.96</v>
      </c>
      <c r="P39" s="63">
        <v>0.56000000000000005</v>
      </c>
      <c r="Q39" s="83">
        <v>1</v>
      </c>
      <c r="R39" s="271">
        <v>194</v>
      </c>
      <c r="S39" s="140">
        <v>2.9861111111111113E-2</v>
      </c>
      <c r="T39" s="106">
        <v>4</v>
      </c>
      <c r="U39" s="63" t="str">
        <f t="shared" si="0"/>
        <v>Normal</v>
      </c>
      <c r="V39" s="63" t="str">
        <f t="shared" si="1"/>
        <v>Normal</v>
      </c>
      <c r="W39" s="18">
        <f t="shared" si="2"/>
        <v>0</v>
      </c>
      <c r="X39" s="18">
        <f t="shared" si="3"/>
        <v>0</v>
      </c>
      <c r="AM39" s="411">
        <v>17</v>
      </c>
      <c r="AN39" s="412">
        <v>2217</v>
      </c>
      <c r="AO39" s="412">
        <v>1805</v>
      </c>
      <c r="AP39" s="413">
        <v>0.45142857142857146</v>
      </c>
      <c r="AQ39" s="413">
        <v>0.51571428571428579</v>
      </c>
    </row>
    <row r="40" spans="1:43" ht="14.15" customHeight="1">
      <c r="A40" s="24">
        <v>45421</v>
      </c>
      <c r="B40" s="392">
        <f>IF(YEAR(Table6[[#This Row],[Date]]) = 2024, WEEKNUM(Table6[[#This Row],[Date]])-13, WEEKNUM(Table6[[#This Row],[Date]])+40)</f>
        <v>6</v>
      </c>
      <c r="C40" s="30" t="s">
        <v>51</v>
      </c>
      <c r="D40" s="59" t="s">
        <v>48</v>
      </c>
      <c r="E40" s="28">
        <v>334</v>
      </c>
      <c r="F40" s="28">
        <v>281</v>
      </c>
      <c r="G40" s="61">
        <f t="shared" si="26"/>
        <v>-0.34122287968441817</v>
      </c>
      <c r="H40" s="61">
        <f t="shared" si="27"/>
        <v>-0.24054054054054055</v>
      </c>
      <c r="I40" s="1">
        <f t="shared" si="28"/>
        <v>2589</v>
      </c>
      <c r="J40" s="1">
        <f t="shared" si="29"/>
        <v>2162</v>
      </c>
      <c r="K40" s="1">
        <f>Table3[[#This Row],[Calls Off]]+K39</f>
        <v>11888</v>
      </c>
      <c r="L40" s="1">
        <f>Table3[[#This Row],[Calls Ans]]+L39</f>
        <v>10073</v>
      </c>
      <c r="M40" s="64">
        <v>0.61</v>
      </c>
      <c r="N40" s="64">
        <v>0.16</v>
      </c>
      <c r="O40" s="64">
        <v>0.84</v>
      </c>
      <c r="P40" s="64">
        <v>0.65</v>
      </c>
      <c r="Q40" s="82">
        <v>1</v>
      </c>
      <c r="R40" s="272">
        <v>220</v>
      </c>
      <c r="S40" s="157">
        <v>0.10208333333333335</v>
      </c>
      <c r="T40" s="106">
        <v>3</v>
      </c>
      <c r="U40" s="63" t="str">
        <f t="shared" si="0"/>
        <v>Normal</v>
      </c>
      <c r="V40" s="63" t="str">
        <f t="shared" si="1"/>
        <v>Outlier</v>
      </c>
      <c r="W40" s="18">
        <f t="shared" si="2"/>
        <v>-0.34122287968441817</v>
      </c>
      <c r="X40" s="18">
        <f t="shared" si="3"/>
        <v>-0.24054054054054055</v>
      </c>
      <c r="AM40" s="411">
        <v>18</v>
      </c>
      <c r="AN40" s="412">
        <v>2076</v>
      </c>
      <c r="AO40" s="412">
        <v>1548</v>
      </c>
      <c r="AP40" s="413">
        <v>0.34428571428571431</v>
      </c>
      <c r="AQ40" s="413">
        <v>0.39999999999999997</v>
      </c>
    </row>
    <row r="41" spans="1:43" ht="14.15" customHeight="1">
      <c r="A41" s="24">
        <v>45422</v>
      </c>
      <c r="B41" s="392">
        <f>IF(YEAR(Table6[[#This Row],[Date]]) = 2024, WEEKNUM(Table6[[#This Row],[Date]])-13, WEEKNUM(Table6[[#This Row],[Date]])+40)</f>
        <v>6</v>
      </c>
      <c r="C41" s="31" t="s">
        <v>52</v>
      </c>
      <c r="D41" s="59" t="s">
        <v>48</v>
      </c>
      <c r="E41" s="1">
        <v>369</v>
      </c>
      <c r="F41" s="1">
        <v>312</v>
      </c>
      <c r="G41" s="61">
        <f t="shared" si="26"/>
        <v>-1.8617021276595744E-2</v>
      </c>
      <c r="H41" s="61">
        <f t="shared" si="27"/>
        <v>-2.1943573667711599E-2</v>
      </c>
      <c r="I41" s="1">
        <f t="shared" si="28"/>
        <v>2958</v>
      </c>
      <c r="J41" s="1">
        <f t="shared" si="29"/>
        <v>2474</v>
      </c>
      <c r="K41" s="1">
        <f>Table3[[#This Row],[Calls Off]]+K40</f>
        <v>12257</v>
      </c>
      <c r="L41" s="1">
        <f>Table3[[#This Row],[Calls Ans]]+L40</f>
        <v>10385</v>
      </c>
      <c r="M41" s="63">
        <v>0.51</v>
      </c>
      <c r="N41" s="63">
        <v>0.15</v>
      </c>
      <c r="O41" s="63">
        <v>0.85</v>
      </c>
      <c r="P41" s="63">
        <v>0.72</v>
      </c>
      <c r="Q41" s="83">
        <v>1</v>
      </c>
      <c r="R41" s="271">
        <v>219</v>
      </c>
      <c r="S41" s="140">
        <v>0.14791666666666667</v>
      </c>
      <c r="T41" s="106">
        <v>3</v>
      </c>
      <c r="U41" s="63" t="str">
        <f t="shared" si="0"/>
        <v>Normal</v>
      </c>
      <c r="V41" s="63" t="str">
        <f t="shared" si="1"/>
        <v>Normal</v>
      </c>
      <c r="W41" s="18">
        <f t="shared" si="2"/>
        <v>-1.8617021276595744E-2</v>
      </c>
      <c r="X41" s="18">
        <f t="shared" si="3"/>
        <v>-2.1943573667711599E-2</v>
      </c>
      <c r="AM41" s="411">
        <v>19</v>
      </c>
      <c r="AN41" s="412">
        <v>2028</v>
      </c>
      <c r="AO41" s="412">
        <v>1701</v>
      </c>
      <c r="AP41" s="413">
        <v>0.43857142857142861</v>
      </c>
      <c r="AQ41" s="413">
        <v>0.41285714285714281</v>
      </c>
    </row>
    <row r="42" spans="1:43" ht="14.15" customHeight="1">
      <c r="A42" s="24">
        <v>45423</v>
      </c>
      <c r="B42" s="392">
        <f>IF(YEAR(Table6[[#This Row],[Date]]) = 2024, WEEKNUM(Table6[[#This Row],[Date]])-13, WEEKNUM(Table6[[#This Row],[Date]])+40)</f>
        <v>6</v>
      </c>
      <c r="C42" s="30" t="s">
        <v>53</v>
      </c>
      <c r="D42" s="59" t="s">
        <v>48</v>
      </c>
      <c r="E42" s="28">
        <v>176</v>
      </c>
      <c r="F42" s="28">
        <v>167</v>
      </c>
      <c r="G42" s="61">
        <f t="shared" si="26"/>
        <v>-0.20361990950226244</v>
      </c>
      <c r="H42" s="61">
        <f t="shared" si="27"/>
        <v>-0.16080402010050251</v>
      </c>
      <c r="I42" s="1">
        <f t="shared" si="28"/>
        <v>3134</v>
      </c>
      <c r="J42" s="1">
        <f t="shared" si="29"/>
        <v>2641</v>
      </c>
      <c r="K42" s="1">
        <f>Table3[[#This Row],[Calls Off]]+K41</f>
        <v>12433</v>
      </c>
      <c r="L42" s="1">
        <f>Table3[[#This Row],[Calls Ans]]+L41</f>
        <v>10552</v>
      </c>
      <c r="M42" s="64">
        <v>0.82</v>
      </c>
      <c r="N42" s="64">
        <v>0.05</v>
      </c>
      <c r="O42" s="64">
        <v>0.95</v>
      </c>
      <c r="P42" s="64">
        <v>0.38</v>
      </c>
      <c r="Q42" s="82">
        <v>1</v>
      </c>
      <c r="R42" s="272">
        <v>210</v>
      </c>
      <c r="S42" s="157">
        <v>3.8194444444444441E-2</v>
      </c>
      <c r="T42" s="106">
        <v>3</v>
      </c>
      <c r="U42" s="63" t="str">
        <f t="shared" si="0"/>
        <v>Normal</v>
      </c>
      <c r="V42" s="63" t="str">
        <f t="shared" si="1"/>
        <v>Normal</v>
      </c>
      <c r="W42" s="18">
        <f t="shared" si="2"/>
        <v>-0.20361990950226244</v>
      </c>
      <c r="X42" s="18">
        <f t="shared" si="3"/>
        <v>-0.16080402010050251</v>
      </c>
      <c r="AM42" s="411" t="s">
        <v>174</v>
      </c>
      <c r="AN42" s="412">
        <v>38807</v>
      </c>
      <c r="AO42" s="412">
        <v>32330</v>
      </c>
      <c r="AP42" s="413">
        <v>0.51613636363636373</v>
      </c>
      <c r="AQ42" s="413">
        <v>0.43916666666666654</v>
      </c>
    </row>
    <row r="43" spans="1:43" ht="14.15" customHeight="1">
      <c r="A43" s="24">
        <v>45424</v>
      </c>
      <c r="B43" s="392">
        <f>IF(YEAR(Table6[[#This Row],[Date]]) = 2024, WEEKNUM(Table6[[#This Row],[Date]])-13, WEEKNUM(Table6[[#This Row],[Date]])+40)</f>
        <v>7</v>
      </c>
      <c r="C43" s="31" t="s">
        <v>54</v>
      </c>
      <c r="D43" s="59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v>0</v>
      </c>
      <c r="L43" s="1">
        <v>0</v>
      </c>
      <c r="M43" s="63">
        <v>0</v>
      </c>
      <c r="N43" s="63">
        <v>0</v>
      </c>
      <c r="O43" s="63">
        <v>0</v>
      </c>
      <c r="P43" s="63">
        <v>0</v>
      </c>
      <c r="Q43" s="83">
        <v>0</v>
      </c>
      <c r="R43" s="271">
        <v>0</v>
      </c>
      <c r="S43" s="140">
        <v>0</v>
      </c>
      <c r="T43" s="106">
        <v>0</v>
      </c>
      <c r="U43" s="63" t="str">
        <f t="shared" si="0"/>
        <v>Normal</v>
      </c>
      <c r="V43" s="63" t="str">
        <f t="shared" si="1"/>
        <v>Normal</v>
      </c>
      <c r="W43" s="18">
        <f t="shared" si="2"/>
        <v>0</v>
      </c>
      <c r="X43" s="18">
        <f t="shared" si="3"/>
        <v>0</v>
      </c>
    </row>
    <row r="44" spans="1:43" ht="14.15" customHeight="1">
      <c r="A44" s="24">
        <v>45425</v>
      </c>
      <c r="B44" s="392">
        <f>IF(YEAR(Table6[[#This Row],[Date]]) = 2024, WEEKNUM(Table6[[#This Row],[Date]])-13, WEEKNUM(Table6[[#This Row],[Date]])+40)</f>
        <v>7</v>
      </c>
      <c r="C44" s="30" t="s">
        <v>55</v>
      </c>
      <c r="D44" s="59" t="s">
        <v>48</v>
      </c>
      <c r="E44" s="28">
        <v>575</v>
      </c>
      <c r="F44" s="28">
        <v>331</v>
      </c>
      <c r="G44" s="61">
        <f>(E44-E37)/E37</f>
        <v>0.26931567328918321</v>
      </c>
      <c r="H44" s="61">
        <f>(F44-F37)/F37</f>
        <v>-7.02247191011236E-2</v>
      </c>
      <c r="I44" s="1">
        <f>I42+E44</f>
        <v>3709</v>
      </c>
      <c r="J44" s="1">
        <f>J42+F44</f>
        <v>2972</v>
      </c>
      <c r="K44" s="1">
        <f>Table3[[#This Row],[Calls Off]]+K42</f>
        <v>13008</v>
      </c>
      <c r="L44" s="1">
        <f>Table3[[#This Row],[Calls Ans]]+L42</f>
        <v>10883</v>
      </c>
      <c r="M44" s="64">
        <v>0.19</v>
      </c>
      <c r="N44" s="64">
        <v>0.42</v>
      </c>
      <c r="O44" s="64">
        <v>0.57999999999999996</v>
      </c>
      <c r="P44" s="64">
        <v>0.76</v>
      </c>
      <c r="Q44" s="82">
        <v>1</v>
      </c>
      <c r="R44" s="272">
        <v>218</v>
      </c>
      <c r="S44" s="157">
        <v>0.38611111111111113</v>
      </c>
      <c r="T44" s="106">
        <v>3</v>
      </c>
      <c r="U44" s="63" t="str">
        <f t="shared" si="0"/>
        <v>Normal</v>
      </c>
      <c r="V44" s="63" t="str">
        <f t="shared" si="1"/>
        <v>Normal</v>
      </c>
      <c r="W44" s="18">
        <f t="shared" si="2"/>
        <v>0.26931567328918321</v>
      </c>
      <c r="X44" s="18">
        <f t="shared" si="3"/>
        <v>-7.02247191011236E-2</v>
      </c>
    </row>
    <row r="45" spans="1:43" ht="14.15" customHeight="1">
      <c r="A45" s="24">
        <v>45426</v>
      </c>
      <c r="B45" s="392">
        <f>IF(YEAR(Table6[[#This Row],[Date]]) = 2024, WEEKNUM(Table6[[#This Row],[Date]])-13, WEEKNUM(Table6[[#This Row],[Date]])+40)</f>
        <v>7</v>
      </c>
      <c r="C45" s="31" t="s">
        <v>49</v>
      </c>
      <c r="D45" s="59" t="s">
        <v>48</v>
      </c>
      <c r="E45" s="1">
        <v>309</v>
      </c>
      <c r="F45" s="1">
        <v>276</v>
      </c>
      <c r="G45" s="61">
        <f t="shared" ref="G45:G49" si="30">(E45-E38)/E38</f>
        <v>-0.14640883977900551</v>
      </c>
      <c r="H45" s="61">
        <f t="shared" ref="H45:H49" si="31">(F45-F38)/F38</f>
        <v>-0.1182108626198083</v>
      </c>
      <c r="I45" s="1">
        <f>I44+E45</f>
        <v>4018</v>
      </c>
      <c r="J45" s="1">
        <f>J44+F45</f>
        <v>3248</v>
      </c>
      <c r="K45" s="1">
        <f>Table3[[#This Row],[Calls Off]]+K44</f>
        <v>13317</v>
      </c>
      <c r="L45" s="1">
        <f>Table3[[#This Row],[Calls Ans]]+L44</f>
        <v>11159</v>
      </c>
      <c r="M45" s="63">
        <v>0.72</v>
      </c>
      <c r="N45" s="63">
        <v>0.11</v>
      </c>
      <c r="O45" s="63">
        <v>0.89</v>
      </c>
      <c r="P45" s="63">
        <v>0.48</v>
      </c>
      <c r="Q45" s="83">
        <v>1</v>
      </c>
      <c r="R45" s="271">
        <v>195</v>
      </c>
      <c r="S45" s="140">
        <v>5.2083333333333336E-2</v>
      </c>
      <c r="T45" s="106">
        <v>4</v>
      </c>
      <c r="U45" s="63" t="str">
        <f t="shared" si="0"/>
        <v>Normal</v>
      </c>
      <c r="V45" s="63" t="str">
        <f t="shared" si="1"/>
        <v>Normal</v>
      </c>
      <c r="W45" s="18">
        <f t="shared" si="2"/>
        <v>-0.14640883977900551</v>
      </c>
      <c r="X45" s="18">
        <f t="shared" si="3"/>
        <v>-0.1182108626198083</v>
      </c>
    </row>
    <row r="46" spans="1:43" ht="14.15" customHeight="1">
      <c r="A46" s="24">
        <v>45427</v>
      </c>
      <c r="B46" s="392">
        <f>IF(YEAR(Table6[[#This Row],[Date]]) = 2024, WEEKNUM(Table6[[#This Row],[Date]])-13, WEEKNUM(Table6[[#This Row],[Date]])+40)</f>
        <v>7</v>
      </c>
      <c r="C46" s="30" t="s">
        <v>50</v>
      </c>
      <c r="D46" s="59" t="s">
        <v>48</v>
      </c>
      <c r="E46" s="28">
        <v>341</v>
      </c>
      <c r="F46" s="28">
        <v>310</v>
      </c>
      <c r="G46" s="61">
        <f t="shared" si="30"/>
        <v>1.488095238095238E-2</v>
      </c>
      <c r="H46" s="61">
        <f t="shared" si="31"/>
        <v>-4.3209876543209874E-2</v>
      </c>
      <c r="I46" s="1">
        <f t="shared" ref="I46:I49" si="32">I45+E46</f>
        <v>4359</v>
      </c>
      <c r="J46" s="1">
        <f t="shared" ref="J46:J49" si="33">J45+F46</f>
        <v>3558</v>
      </c>
      <c r="K46" s="1">
        <f>Table3[[#This Row],[Calls Off]]+K45</f>
        <v>13658</v>
      </c>
      <c r="L46" s="1">
        <f>Table3[[#This Row],[Calls Ans]]+L45</f>
        <v>11469</v>
      </c>
      <c r="M46" s="64">
        <v>0.82</v>
      </c>
      <c r="N46" s="64">
        <v>0.09</v>
      </c>
      <c r="O46" s="64">
        <v>0.91</v>
      </c>
      <c r="P46" s="64">
        <v>0.45</v>
      </c>
      <c r="Q46" s="82">
        <v>1</v>
      </c>
      <c r="R46" s="272">
        <v>204</v>
      </c>
      <c r="S46" s="157">
        <v>4.6527777777777779E-2</v>
      </c>
      <c r="T46" s="106">
        <v>5</v>
      </c>
      <c r="U46" s="63" t="str">
        <f t="shared" si="0"/>
        <v>Normal</v>
      </c>
      <c r="V46" s="63" t="str">
        <f t="shared" si="1"/>
        <v>Normal</v>
      </c>
      <c r="W46" s="18">
        <f t="shared" si="2"/>
        <v>1.488095238095238E-2</v>
      </c>
      <c r="X46" s="18">
        <f t="shared" si="3"/>
        <v>-4.3209876543209874E-2</v>
      </c>
    </row>
    <row r="47" spans="1:43" ht="14.15" customHeight="1">
      <c r="A47" s="24">
        <v>45428</v>
      </c>
      <c r="B47" s="392">
        <f>IF(YEAR(Table6[[#This Row],[Date]]) = 2024, WEEKNUM(Table6[[#This Row],[Date]])-13, WEEKNUM(Table6[[#This Row],[Date]])+40)</f>
        <v>7</v>
      </c>
      <c r="C47" s="31" t="s">
        <v>51</v>
      </c>
      <c r="D47" s="59" t="s">
        <v>48</v>
      </c>
      <c r="E47" s="1">
        <v>324</v>
      </c>
      <c r="F47" s="1">
        <v>295</v>
      </c>
      <c r="G47" s="61">
        <f t="shared" si="30"/>
        <v>-2.9940119760479042E-2</v>
      </c>
      <c r="H47" s="61">
        <f t="shared" si="31"/>
        <v>4.9822064056939501E-2</v>
      </c>
      <c r="I47" s="1">
        <f t="shared" si="32"/>
        <v>4683</v>
      </c>
      <c r="J47" s="1">
        <f t="shared" si="33"/>
        <v>3853</v>
      </c>
      <c r="K47" s="1">
        <f>Table3[[#This Row],[Calls Off]]+K46</f>
        <v>13982</v>
      </c>
      <c r="L47" s="1">
        <f>Table3[[#This Row],[Calls Ans]]+L46</f>
        <v>11764</v>
      </c>
      <c r="M47" s="63">
        <v>0.73</v>
      </c>
      <c r="N47" s="63">
        <v>0.09</v>
      </c>
      <c r="O47" s="63">
        <v>0.91</v>
      </c>
      <c r="P47" s="63">
        <v>0.51</v>
      </c>
      <c r="Q47" s="83">
        <v>1</v>
      </c>
      <c r="R47" s="271">
        <v>198</v>
      </c>
      <c r="S47" s="140">
        <v>7.0833333333333331E-2</v>
      </c>
      <c r="T47" s="106">
        <v>4</v>
      </c>
      <c r="U47" s="63" t="str">
        <f t="shared" si="0"/>
        <v>Normal</v>
      </c>
      <c r="V47" s="63" t="str">
        <f t="shared" si="1"/>
        <v>Normal</v>
      </c>
      <c r="W47" s="18">
        <f t="shared" si="2"/>
        <v>-2.9940119760479042E-2</v>
      </c>
      <c r="X47" s="18">
        <f t="shared" si="3"/>
        <v>4.9822064056939501E-2</v>
      </c>
    </row>
    <row r="48" spans="1:43">
      <c r="A48" s="24">
        <v>45429</v>
      </c>
      <c r="B48" s="392">
        <f>IF(YEAR(Table6[[#This Row],[Date]]) = 2024, WEEKNUM(Table6[[#This Row],[Date]])-13, WEEKNUM(Table6[[#This Row],[Date]])+40)</f>
        <v>7</v>
      </c>
      <c r="C48" s="30" t="s">
        <v>52</v>
      </c>
      <c r="D48" s="59" t="s">
        <v>48</v>
      </c>
      <c r="E48" s="28">
        <v>347</v>
      </c>
      <c r="F48" s="28">
        <v>310</v>
      </c>
      <c r="G48" s="61">
        <f t="shared" si="30"/>
        <v>-5.9620596205962058E-2</v>
      </c>
      <c r="H48" s="61">
        <f t="shared" si="31"/>
        <v>-6.41025641025641E-3</v>
      </c>
      <c r="I48" s="1">
        <f t="shared" si="32"/>
        <v>5030</v>
      </c>
      <c r="J48" s="1">
        <f t="shared" si="33"/>
        <v>4163</v>
      </c>
      <c r="K48" s="1">
        <f>Table3[[#This Row],[Calls Off]]+K47</f>
        <v>14329</v>
      </c>
      <c r="L48" s="1">
        <f>Table3[[#This Row],[Calls Ans]]+L47</f>
        <v>12074</v>
      </c>
      <c r="M48" s="64">
        <v>0.72</v>
      </c>
      <c r="N48" s="64">
        <v>0.11</v>
      </c>
      <c r="O48" s="64">
        <v>0.89</v>
      </c>
      <c r="P48" s="64">
        <v>0.36</v>
      </c>
      <c r="Q48" s="82">
        <v>1</v>
      </c>
      <c r="R48" s="272">
        <v>230</v>
      </c>
      <c r="S48" s="157">
        <v>7.1527777777777787E-2</v>
      </c>
      <c r="T48" s="106">
        <v>4</v>
      </c>
      <c r="U48" s="63" t="str">
        <f t="shared" si="0"/>
        <v>Normal</v>
      </c>
      <c r="V48" s="63" t="str">
        <f t="shared" si="1"/>
        <v>Normal</v>
      </c>
      <c r="W48" s="18">
        <f t="shared" si="2"/>
        <v>-5.9620596205962058E-2</v>
      </c>
      <c r="X48" s="18">
        <f t="shared" si="3"/>
        <v>-6.41025641025641E-3</v>
      </c>
    </row>
    <row r="49" spans="1:24">
      <c r="A49" s="24">
        <v>45430</v>
      </c>
      <c r="B49" s="392">
        <f>IF(YEAR(Table6[[#This Row],[Date]]) = 2024, WEEKNUM(Table6[[#This Row],[Date]])-13, WEEKNUM(Table6[[#This Row],[Date]])+40)</f>
        <v>7</v>
      </c>
      <c r="C49" s="31" t="s">
        <v>53</v>
      </c>
      <c r="D49" s="59" t="s">
        <v>48</v>
      </c>
      <c r="E49" s="1">
        <v>206</v>
      </c>
      <c r="F49" s="1">
        <v>189</v>
      </c>
      <c r="G49" s="61">
        <f t="shared" si="30"/>
        <v>0.17045454545454544</v>
      </c>
      <c r="H49" s="61">
        <f t="shared" si="31"/>
        <v>0.1317365269461078</v>
      </c>
      <c r="I49" s="1">
        <f t="shared" si="32"/>
        <v>5236</v>
      </c>
      <c r="J49" s="1">
        <f t="shared" si="33"/>
        <v>4352</v>
      </c>
      <c r="K49" s="1">
        <f>Table3[[#This Row],[Calls Off]]+K48</f>
        <v>14535</v>
      </c>
      <c r="L49" s="1">
        <f>Table3[[#This Row],[Calls Ans]]+L48</f>
        <v>12263</v>
      </c>
      <c r="M49" s="63">
        <v>0.76</v>
      </c>
      <c r="N49" s="63">
        <v>0.08</v>
      </c>
      <c r="O49" s="63">
        <v>0.92</v>
      </c>
      <c r="P49" s="63">
        <v>0.32</v>
      </c>
      <c r="Q49" s="83">
        <v>1</v>
      </c>
      <c r="R49" s="271">
        <v>188</v>
      </c>
      <c r="S49" s="140">
        <v>4.6527777777777779E-2</v>
      </c>
      <c r="T49" s="106">
        <v>4</v>
      </c>
      <c r="U49" s="63" t="str">
        <f t="shared" si="0"/>
        <v>Normal</v>
      </c>
      <c r="V49" s="63" t="str">
        <f t="shared" si="1"/>
        <v>Normal</v>
      </c>
      <c r="W49" s="18">
        <f t="shared" si="2"/>
        <v>0.17045454545454544</v>
      </c>
      <c r="X49" s="18">
        <f t="shared" si="3"/>
        <v>0.1317365269461078</v>
      </c>
    </row>
    <row r="50" spans="1:24">
      <c r="A50" s="24">
        <v>45431</v>
      </c>
      <c r="B50" s="392">
        <f>IF(YEAR(Table6[[#This Row],[Date]]) = 2024, WEEKNUM(Table6[[#This Row],[Date]])-13, WEEKNUM(Table6[[#This Row],[Date]])+40)</f>
        <v>8</v>
      </c>
      <c r="C50" s="30" t="s">
        <v>54</v>
      </c>
      <c r="D50" s="59" t="s">
        <v>48</v>
      </c>
      <c r="E50" s="28">
        <v>0</v>
      </c>
      <c r="F50" s="28">
        <v>0</v>
      </c>
      <c r="G50" s="60">
        <v>0</v>
      </c>
      <c r="H50" s="60">
        <v>0</v>
      </c>
      <c r="I50" s="28">
        <v>0</v>
      </c>
      <c r="J50" s="28">
        <v>0</v>
      </c>
      <c r="K50" s="28">
        <v>0</v>
      </c>
      <c r="L50" s="28">
        <v>0</v>
      </c>
      <c r="M50" s="64">
        <v>0</v>
      </c>
      <c r="N50" s="64">
        <v>0</v>
      </c>
      <c r="O50" s="64">
        <v>0</v>
      </c>
      <c r="P50" s="64">
        <v>0</v>
      </c>
      <c r="Q50" s="82">
        <v>0</v>
      </c>
      <c r="R50" s="272">
        <v>0</v>
      </c>
      <c r="S50" s="157">
        <v>0</v>
      </c>
      <c r="T50" s="106">
        <v>0</v>
      </c>
      <c r="U50" s="63" t="str">
        <f t="shared" si="0"/>
        <v>Normal</v>
      </c>
      <c r="V50" s="63" t="str">
        <f t="shared" si="1"/>
        <v>Normal</v>
      </c>
      <c r="W50" s="18">
        <f t="shared" si="2"/>
        <v>0</v>
      </c>
      <c r="X50" s="18">
        <f t="shared" si="3"/>
        <v>0</v>
      </c>
    </row>
    <row r="51" spans="1:24">
      <c r="A51" s="24">
        <v>45432</v>
      </c>
      <c r="B51" s="392">
        <f>IF(YEAR(Table6[[#This Row],[Date]]) = 2024, WEEKNUM(Table6[[#This Row],[Date]])-13, WEEKNUM(Table6[[#This Row],[Date]])+40)</f>
        <v>8</v>
      </c>
      <c r="C51" s="31" t="s">
        <v>55</v>
      </c>
      <c r="D51" s="59" t="s">
        <v>48</v>
      </c>
      <c r="E51" s="1">
        <v>0</v>
      </c>
      <c r="F51" s="1">
        <v>0</v>
      </c>
      <c r="G51" s="61">
        <v>0</v>
      </c>
      <c r="H51" s="61">
        <v>0</v>
      </c>
      <c r="I51" s="1">
        <v>0</v>
      </c>
      <c r="J51" s="1">
        <v>0</v>
      </c>
      <c r="K51" s="1">
        <v>0</v>
      </c>
      <c r="L51" s="1">
        <v>0</v>
      </c>
      <c r="M51" s="63">
        <v>0</v>
      </c>
      <c r="N51" s="63">
        <v>0</v>
      </c>
      <c r="O51" s="63">
        <v>0</v>
      </c>
      <c r="P51" s="63">
        <v>0</v>
      </c>
      <c r="Q51" s="83">
        <v>0</v>
      </c>
      <c r="R51" s="271">
        <v>0</v>
      </c>
      <c r="S51" s="140">
        <v>0</v>
      </c>
      <c r="T51" s="106">
        <v>0</v>
      </c>
      <c r="U51" s="63" t="str">
        <f t="shared" si="0"/>
        <v>Normal</v>
      </c>
      <c r="V51" s="63" t="str">
        <f t="shared" si="1"/>
        <v>Normal</v>
      </c>
      <c r="W51" s="18">
        <f t="shared" si="2"/>
        <v>0</v>
      </c>
      <c r="X51" s="18">
        <f t="shared" si="3"/>
        <v>0</v>
      </c>
    </row>
    <row r="52" spans="1:24">
      <c r="A52" s="24">
        <v>45433</v>
      </c>
      <c r="B52" s="392">
        <f>IF(YEAR(Table6[[#This Row],[Date]]) = 2024, WEEKNUM(Table6[[#This Row],[Date]])-13, WEEKNUM(Table6[[#This Row],[Date]])+40)</f>
        <v>8</v>
      </c>
      <c r="C52" s="30" t="s">
        <v>49</v>
      </c>
      <c r="D52" s="59" t="s">
        <v>48</v>
      </c>
      <c r="E52" s="28">
        <v>523</v>
      </c>
      <c r="F52" s="28">
        <v>437</v>
      </c>
      <c r="G52" s="61">
        <f t="shared" ref="G52:G56" si="34">(E52-E45)/E45</f>
        <v>0.69255663430420711</v>
      </c>
      <c r="H52" s="61">
        <f t="shared" ref="H52:H56" si="35">(F52-F45)/F45</f>
        <v>0.58333333333333337</v>
      </c>
      <c r="I52" s="1">
        <f>I51+E52</f>
        <v>523</v>
      </c>
      <c r="J52" s="1">
        <f>J51+F52</f>
        <v>437</v>
      </c>
      <c r="K52" s="1">
        <f>Table3[[#This Row],[Calls Off]]+K49</f>
        <v>15058</v>
      </c>
      <c r="L52" s="1">
        <f>Table3[[#This Row],[Calls Ans]]+L49</f>
        <v>12700</v>
      </c>
      <c r="M52" s="64">
        <v>0.51</v>
      </c>
      <c r="N52" s="64">
        <v>0.16</v>
      </c>
      <c r="O52" s="64">
        <v>0.84</v>
      </c>
      <c r="P52" s="64">
        <v>0.6</v>
      </c>
      <c r="Q52" s="82">
        <v>1</v>
      </c>
      <c r="R52" s="272">
        <v>216</v>
      </c>
      <c r="S52" s="157">
        <v>0.11388888888888889</v>
      </c>
      <c r="T52" s="106">
        <v>5</v>
      </c>
      <c r="U52" s="63" t="str">
        <f t="shared" si="0"/>
        <v>Outlier</v>
      </c>
      <c r="V52" s="63" t="str">
        <f t="shared" si="1"/>
        <v>Outlier</v>
      </c>
      <c r="W52" s="18">
        <f t="shared" si="2"/>
        <v>0.69255663430420711</v>
      </c>
      <c r="X52" s="18">
        <f t="shared" si="3"/>
        <v>0.58333333333333337</v>
      </c>
    </row>
    <row r="53" spans="1:24">
      <c r="A53" s="24">
        <v>45434</v>
      </c>
      <c r="B53" s="392">
        <f>IF(YEAR(Table6[[#This Row],[Date]]) = 2024, WEEKNUM(Table6[[#This Row],[Date]])-13, WEEKNUM(Table6[[#This Row],[Date]])+40)</f>
        <v>8</v>
      </c>
      <c r="C53" s="31" t="s">
        <v>50</v>
      </c>
      <c r="D53" s="59" t="s">
        <v>48</v>
      </c>
      <c r="E53" s="1">
        <v>360</v>
      </c>
      <c r="F53" s="1">
        <v>345</v>
      </c>
      <c r="G53" s="61">
        <f t="shared" si="34"/>
        <v>5.5718475073313782E-2</v>
      </c>
      <c r="H53" s="61">
        <f t="shared" si="35"/>
        <v>0.11290322580645161</v>
      </c>
      <c r="I53" s="1">
        <f t="shared" ref="I53:I56" si="36">I52+E53</f>
        <v>883</v>
      </c>
      <c r="J53" s="1">
        <f t="shared" ref="J53:J56" si="37">J52+F53</f>
        <v>782</v>
      </c>
      <c r="K53" s="1">
        <f>Table3[[#This Row],[Calls Off]]+K52</f>
        <v>15418</v>
      </c>
      <c r="L53" s="1">
        <f>Table3[[#This Row],[Calls Ans]]+L52</f>
        <v>13045</v>
      </c>
      <c r="M53" s="63">
        <v>0.89</v>
      </c>
      <c r="N53" s="63">
        <v>0.04</v>
      </c>
      <c r="O53" s="63">
        <v>0.96</v>
      </c>
      <c r="P53" s="63">
        <v>0.48</v>
      </c>
      <c r="Q53" s="83">
        <v>1</v>
      </c>
      <c r="R53" s="271">
        <v>196</v>
      </c>
      <c r="S53" s="140">
        <v>3.1944444444444449E-2</v>
      </c>
      <c r="T53" s="106">
        <v>5</v>
      </c>
      <c r="U53" s="63" t="str">
        <f t="shared" si="0"/>
        <v>Normal</v>
      </c>
      <c r="V53" s="63" t="str">
        <f t="shared" si="1"/>
        <v>Normal</v>
      </c>
      <c r="W53" s="18">
        <f t="shared" si="2"/>
        <v>5.5718475073313782E-2</v>
      </c>
      <c r="X53" s="18">
        <f t="shared" si="3"/>
        <v>0.11290322580645161</v>
      </c>
    </row>
    <row r="54" spans="1:24">
      <c r="A54" s="24">
        <v>45435</v>
      </c>
      <c r="B54" s="392">
        <f>IF(YEAR(Table6[[#This Row],[Date]]) = 2024, WEEKNUM(Table6[[#This Row],[Date]])-13, WEEKNUM(Table6[[#This Row],[Date]])+40)</f>
        <v>8</v>
      </c>
      <c r="C54" s="30" t="s">
        <v>51</v>
      </c>
      <c r="D54" s="59" t="s">
        <v>48</v>
      </c>
      <c r="E54" s="28">
        <v>321</v>
      </c>
      <c r="F54" s="28">
        <v>297</v>
      </c>
      <c r="G54" s="61">
        <f t="shared" si="34"/>
        <v>-9.2592592592592587E-3</v>
      </c>
      <c r="H54" s="61">
        <f t="shared" si="35"/>
        <v>6.7796610169491523E-3</v>
      </c>
      <c r="I54" s="1">
        <f t="shared" si="36"/>
        <v>1204</v>
      </c>
      <c r="J54" s="1">
        <f t="shared" si="37"/>
        <v>1079</v>
      </c>
      <c r="K54" s="1">
        <f>Table3[[#This Row],[Calls Off]]+K53</f>
        <v>15739</v>
      </c>
      <c r="L54" s="1">
        <f>Table3[[#This Row],[Calls Ans]]+L53</f>
        <v>13342</v>
      </c>
      <c r="M54" s="64">
        <v>0.82</v>
      </c>
      <c r="N54" s="64">
        <v>7.0000000000000007E-2</v>
      </c>
      <c r="O54" s="64">
        <v>0.93</v>
      </c>
      <c r="P54" s="64">
        <v>0.51</v>
      </c>
      <c r="Q54" s="82">
        <v>1</v>
      </c>
      <c r="R54" s="272">
        <v>199</v>
      </c>
      <c r="S54" s="157">
        <v>7.4305555555555555E-2</v>
      </c>
      <c r="T54" s="106">
        <v>4</v>
      </c>
      <c r="U54" s="63" t="str">
        <f t="shared" si="0"/>
        <v>Normal</v>
      </c>
      <c r="V54" s="63" t="str">
        <f t="shared" si="1"/>
        <v>Normal</v>
      </c>
      <c r="W54" s="18">
        <f t="shared" si="2"/>
        <v>-9.2592592592592587E-3</v>
      </c>
      <c r="X54" s="18">
        <f t="shared" si="3"/>
        <v>6.7796610169491523E-3</v>
      </c>
    </row>
    <row r="55" spans="1:24">
      <c r="A55" s="24">
        <v>45436</v>
      </c>
      <c r="B55" s="392">
        <f>IF(YEAR(Table6[[#This Row],[Date]]) = 2024, WEEKNUM(Table6[[#This Row],[Date]])-13, WEEKNUM(Table6[[#This Row],[Date]])+40)</f>
        <v>8</v>
      </c>
      <c r="C55" s="31" t="s">
        <v>52</v>
      </c>
      <c r="D55" s="59" t="s">
        <v>48</v>
      </c>
      <c r="E55" s="1">
        <v>360</v>
      </c>
      <c r="F55" s="1">
        <v>344</v>
      </c>
      <c r="G55" s="61">
        <f t="shared" si="34"/>
        <v>3.7463976945244955E-2</v>
      </c>
      <c r="H55" s="61">
        <f t="shared" si="35"/>
        <v>0.10967741935483871</v>
      </c>
      <c r="I55" s="1">
        <f t="shared" si="36"/>
        <v>1564</v>
      </c>
      <c r="J55" s="1">
        <f t="shared" si="37"/>
        <v>1423</v>
      </c>
      <c r="K55" s="1">
        <f>Table3[[#This Row],[Calls Off]]+K54</f>
        <v>16099</v>
      </c>
      <c r="L55" s="1">
        <f>Table3[[#This Row],[Calls Ans]]+L54</f>
        <v>13686</v>
      </c>
      <c r="M55" s="63">
        <v>0.86</v>
      </c>
      <c r="N55" s="63">
        <v>0.04</v>
      </c>
      <c r="O55" s="63">
        <v>0.96</v>
      </c>
      <c r="P55" s="63">
        <v>0.59</v>
      </c>
      <c r="Q55" s="83">
        <v>1</v>
      </c>
      <c r="R55" s="271">
        <v>184</v>
      </c>
      <c r="S55" s="140">
        <v>3.6111111111111115E-2</v>
      </c>
      <c r="T55" s="106">
        <v>4</v>
      </c>
      <c r="U55" s="63" t="str">
        <f t="shared" si="0"/>
        <v>Normal</v>
      </c>
      <c r="V55" s="63" t="str">
        <f t="shared" si="1"/>
        <v>Normal</v>
      </c>
      <c r="W55" s="18">
        <f t="shared" si="2"/>
        <v>3.7463976945244955E-2</v>
      </c>
      <c r="X55" s="18">
        <f t="shared" si="3"/>
        <v>0.10967741935483871</v>
      </c>
    </row>
    <row r="56" spans="1:24">
      <c r="A56" s="24">
        <v>45437</v>
      </c>
      <c r="B56" s="392">
        <f>IF(YEAR(Table6[[#This Row],[Date]]) = 2024, WEEKNUM(Table6[[#This Row],[Date]])-13, WEEKNUM(Table6[[#This Row],[Date]])+40)</f>
        <v>8</v>
      </c>
      <c r="C56" s="30" t="s">
        <v>53</v>
      </c>
      <c r="D56" s="59" t="s">
        <v>48</v>
      </c>
      <c r="E56" s="28">
        <v>236</v>
      </c>
      <c r="F56" s="28">
        <v>218</v>
      </c>
      <c r="G56" s="61">
        <f t="shared" si="34"/>
        <v>0.14563106796116504</v>
      </c>
      <c r="H56" s="61">
        <f t="shared" si="35"/>
        <v>0.15343915343915343</v>
      </c>
      <c r="I56" s="1">
        <f t="shared" si="36"/>
        <v>1800</v>
      </c>
      <c r="J56" s="1">
        <f t="shared" si="37"/>
        <v>1641</v>
      </c>
      <c r="K56" s="1">
        <f>Table3[[#This Row],[Calls Off]]+K55</f>
        <v>16335</v>
      </c>
      <c r="L56" s="1">
        <f>Table3[[#This Row],[Calls Ans]]+L55</f>
        <v>13904</v>
      </c>
      <c r="M56" s="64">
        <v>0.85</v>
      </c>
      <c r="N56" s="64">
        <v>0.06</v>
      </c>
      <c r="O56" s="64">
        <v>0.94</v>
      </c>
      <c r="P56" s="64">
        <v>0.38</v>
      </c>
      <c r="Q56" s="82">
        <v>1</v>
      </c>
      <c r="R56" s="272">
        <v>194</v>
      </c>
      <c r="S56" s="157">
        <v>2.7083333333333334E-2</v>
      </c>
      <c r="T56" s="106">
        <v>4</v>
      </c>
      <c r="U56" s="63" t="str">
        <f t="shared" si="0"/>
        <v>Normal</v>
      </c>
      <c r="V56" s="63" t="str">
        <f t="shared" si="1"/>
        <v>Normal</v>
      </c>
      <c r="W56" s="18">
        <f t="shared" si="2"/>
        <v>0.14563106796116504</v>
      </c>
      <c r="X56" s="18">
        <f t="shared" si="3"/>
        <v>0.15343915343915343</v>
      </c>
    </row>
    <row r="57" spans="1:24">
      <c r="A57" s="24">
        <v>45438</v>
      </c>
      <c r="B57" s="392">
        <f>IF(YEAR(Table6[[#This Row],[Date]]) = 2024, WEEKNUM(Table6[[#This Row],[Date]])-13, WEEKNUM(Table6[[#This Row],[Date]])+40)</f>
        <v>9</v>
      </c>
      <c r="C57" s="31" t="s">
        <v>54</v>
      </c>
      <c r="D57" s="59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v>0</v>
      </c>
      <c r="L57" s="1">
        <v>0</v>
      </c>
      <c r="M57" s="63">
        <v>0</v>
      </c>
      <c r="N57" s="63">
        <v>0</v>
      </c>
      <c r="O57" s="63">
        <v>0</v>
      </c>
      <c r="P57" s="63">
        <v>0</v>
      </c>
      <c r="Q57" s="83">
        <v>0</v>
      </c>
      <c r="R57" s="271">
        <v>0</v>
      </c>
      <c r="S57" s="140">
        <v>0</v>
      </c>
      <c r="T57" s="106">
        <v>0</v>
      </c>
      <c r="U57" s="63" t="str">
        <f t="shared" si="0"/>
        <v>Normal</v>
      </c>
      <c r="V57" s="63" t="str">
        <f t="shared" si="1"/>
        <v>Normal</v>
      </c>
      <c r="W57" s="18">
        <f t="shared" si="2"/>
        <v>0</v>
      </c>
      <c r="X57" s="18">
        <f t="shared" si="3"/>
        <v>0</v>
      </c>
    </row>
    <row r="58" spans="1:24">
      <c r="A58" s="24">
        <v>45439</v>
      </c>
      <c r="B58" s="392">
        <f>IF(YEAR(Table6[[#This Row],[Date]]) = 2024, WEEKNUM(Table6[[#This Row],[Date]])-13, WEEKNUM(Table6[[#This Row],[Date]])+40)</f>
        <v>9</v>
      </c>
      <c r="C58" s="30" t="s">
        <v>55</v>
      </c>
      <c r="D58" s="59" t="s">
        <v>48</v>
      </c>
      <c r="E58" s="28">
        <v>521</v>
      </c>
      <c r="F58" s="28">
        <v>306</v>
      </c>
      <c r="G58" s="61">
        <v>0</v>
      </c>
      <c r="H58" s="61">
        <v>0</v>
      </c>
      <c r="I58" s="1">
        <f>I56+E58</f>
        <v>2321</v>
      </c>
      <c r="J58" s="1">
        <f>J56+F58</f>
        <v>1947</v>
      </c>
      <c r="K58" s="1">
        <f>Table3[[#This Row],[Calls Off]]+K56</f>
        <v>16856</v>
      </c>
      <c r="L58" s="1">
        <f>Table3[[#This Row],[Calls Ans]]+L56</f>
        <v>14210</v>
      </c>
      <c r="M58" s="64">
        <v>0.59</v>
      </c>
      <c r="N58" s="64">
        <v>0.15</v>
      </c>
      <c r="O58" s="64">
        <v>0.85</v>
      </c>
      <c r="P58" s="64">
        <v>0.53</v>
      </c>
      <c r="Q58" s="82">
        <v>1</v>
      </c>
      <c r="R58" s="272">
        <v>227</v>
      </c>
      <c r="S58" s="157">
        <v>0.26250000000000001</v>
      </c>
      <c r="T58" s="106">
        <v>4</v>
      </c>
      <c r="U58" s="63" t="str">
        <f t="shared" si="0"/>
        <v>Normal</v>
      </c>
      <c r="V58" s="63" t="str">
        <f t="shared" si="1"/>
        <v>Normal</v>
      </c>
      <c r="W58" s="18">
        <f t="shared" si="2"/>
        <v>0</v>
      </c>
      <c r="X58" s="18">
        <f t="shared" si="3"/>
        <v>0</v>
      </c>
    </row>
    <row r="59" spans="1:24">
      <c r="A59" s="24">
        <v>45440</v>
      </c>
      <c r="B59" s="392">
        <f>IF(YEAR(Table6[[#This Row],[Date]]) = 2024, WEEKNUM(Table6[[#This Row],[Date]])-13, WEEKNUM(Table6[[#This Row],[Date]])+40)</f>
        <v>9</v>
      </c>
      <c r="C59" s="31" t="s">
        <v>49</v>
      </c>
      <c r="D59" s="59" t="s">
        <v>48</v>
      </c>
      <c r="E59" s="1">
        <v>426</v>
      </c>
      <c r="F59" s="1">
        <v>382</v>
      </c>
      <c r="G59" s="61">
        <f t="shared" ref="G59:G63" si="38">(E59-E52)/E52</f>
        <v>-0.18546845124282982</v>
      </c>
      <c r="H59" s="61">
        <f t="shared" ref="H59:H63" si="39">(F59-F52)/F52</f>
        <v>-0.12585812356979406</v>
      </c>
      <c r="I59" s="1">
        <f>I58+E59</f>
        <v>2747</v>
      </c>
      <c r="J59" s="1">
        <f>J58+F59</f>
        <v>2329</v>
      </c>
      <c r="K59" s="1">
        <f>Table3[[#This Row],[Calls Off]]+K58</f>
        <v>17282</v>
      </c>
      <c r="L59" s="1">
        <f>Table3[[#This Row],[Calls Ans]]+L58</f>
        <v>14592</v>
      </c>
      <c r="M59" s="63">
        <v>0.75</v>
      </c>
      <c r="N59" s="63">
        <v>0.09</v>
      </c>
      <c r="O59" s="63">
        <v>0.91</v>
      </c>
      <c r="P59" s="63">
        <v>0.53</v>
      </c>
      <c r="Q59" s="83">
        <v>1</v>
      </c>
      <c r="R59" s="271">
        <v>192</v>
      </c>
      <c r="S59" s="140">
        <v>4.9999999999999996E-2</v>
      </c>
      <c r="T59" s="106">
        <v>5</v>
      </c>
      <c r="U59" s="63" t="str">
        <f t="shared" si="0"/>
        <v>Normal</v>
      </c>
      <c r="V59" s="63" t="str">
        <f t="shared" si="1"/>
        <v>Normal</v>
      </c>
      <c r="W59" s="18">
        <f t="shared" si="2"/>
        <v>-0.18546845124282982</v>
      </c>
      <c r="X59" s="18">
        <f t="shared" si="3"/>
        <v>-0.12585812356979406</v>
      </c>
    </row>
    <row r="60" spans="1:24">
      <c r="A60" s="24">
        <v>45441</v>
      </c>
      <c r="B60" s="392">
        <f>IF(YEAR(Table6[[#This Row],[Date]]) = 2024, WEEKNUM(Table6[[#This Row],[Date]])-13, WEEKNUM(Table6[[#This Row],[Date]])+40)</f>
        <v>9</v>
      </c>
      <c r="C60" s="30" t="s">
        <v>50</v>
      </c>
      <c r="D60" s="59" t="s">
        <v>48</v>
      </c>
      <c r="E60" s="28">
        <v>340</v>
      </c>
      <c r="F60" s="28">
        <v>325</v>
      </c>
      <c r="G60" s="61">
        <f t="shared" si="38"/>
        <v>-5.5555555555555552E-2</v>
      </c>
      <c r="H60" s="61">
        <f t="shared" si="39"/>
        <v>-5.7971014492753624E-2</v>
      </c>
      <c r="I60" s="1">
        <f t="shared" ref="I60:I62" si="40">I59+E60</f>
        <v>3087</v>
      </c>
      <c r="J60" s="1">
        <f t="shared" ref="J60:J62" si="41">J59+F60</f>
        <v>2654</v>
      </c>
      <c r="K60" s="1">
        <f>Table3[[#This Row],[Calls Off]]+K59</f>
        <v>17622</v>
      </c>
      <c r="L60" s="1">
        <f>Table3[[#This Row],[Calls Ans]]+L59</f>
        <v>14917</v>
      </c>
      <c r="M60" s="64">
        <v>0.88</v>
      </c>
      <c r="N60" s="64">
        <v>0.04</v>
      </c>
      <c r="O60" s="64">
        <v>0.96</v>
      </c>
      <c r="P60" s="64">
        <v>0.45</v>
      </c>
      <c r="Q60" s="82">
        <v>1</v>
      </c>
      <c r="R60" s="272">
        <v>193</v>
      </c>
      <c r="S60" s="157">
        <v>2.1527777777777781E-2</v>
      </c>
      <c r="T60" s="106">
        <v>5</v>
      </c>
      <c r="U60" s="63" t="str">
        <f t="shared" si="0"/>
        <v>Normal</v>
      </c>
      <c r="V60" s="63" t="str">
        <f t="shared" si="1"/>
        <v>Normal</v>
      </c>
      <c r="W60" s="18">
        <f t="shared" si="2"/>
        <v>-5.5555555555555552E-2</v>
      </c>
      <c r="X60" s="18">
        <f t="shared" si="3"/>
        <v>-5.7971014492753624E-2</v>
      </c>
    </row>
    <row r="61" spans="1:24">
      <c r="A61" s="24">
        <v>45442</v>
      </c>
      <c r="B61" s="392">
        <f>IF(YEAR(Table6[[#This Row],[Date]]) = 2024, WEEKNUM(Table6[[#This Row],[Date]])-13, WEEKNUM(Table6[[#This Row],[Date]])+40)</f>
        <v>9</v>
      </c>
      <c r="C61" s="31" t="s">
        <v>51</v>
      </c>
      <c r="D61" s="59" t="s">
        <v>48</v>
      </c>
      <c r="E61" s="1">
        <v>380</v>
      </c>
      <c r="F61" s="1">
        <v>354</v>
      </c>
      <c r="G61" s="61">
        <f t="shared" si="38"/>
        <v>0.18380062305295949</v>
      </c>
      <c r="H61" s="61">
        <f t="shared" si="39"/>
        <v>0.19191919191919191</v>
      </c>
      <c r="I61" s="1">
        <f t="shared" si="40"/>
        <v>3467</v>
      </c>
      <c r="J61" s="1">
        <f t="shared" si="41"/>
        <v>3008</v>
      </c>
      <c r="K61" s="1">
        <f>Table3[[#This Row],[Calls Off]]+K60</f>
        <v>18002</v>
      </c>
      <c r="L61" s="1">
        <f>Table3[[#This Row],[Calls Ans]]+L60</f>
        <v>15271</v>
      </c>
      <c r="M61" s="63">
        <v>0.79</v>
      </c>
      <c r="N61" s="63">
        <v>0.06</v>
      </c>
      <c r="O61" s="63">
        <v>0.94</v>
      </c>
      <c r="P61" s="63">
        <v>0.46</v>
      </c>
      <c r="Q61" s="83">
        <v>1</v>
      </c>
      <c r="R61" s="271">
        <v>195</v>
      </c>
      <c r="S61" s="140">
        <v>6.805555555555555E-2</v>
      </c>
      <c r="T61" s="106">
        <v>5</v>
      </c>
      <c r="U61" s="63" t="str">
        <f t="shared" si="0"/>
        <v>Normal</v>
      </c>
      <c r="V61" s="63" t="str">
        <f t="shared" si="1"/>
        <v>Normal</v>
      </c>
      <c r="W61" s="18">
        <f t="shared" si="2"/>
        <v>0.18380062305295949</v>
      </c>
      <c r="X61" s="18">
        <f t="shared" si="3"/>
        <v>0.19191919191919191</v>
      </c>
    </row>
    <row r="62" spans="1:24">
      <c r="A62" s="24">
        <v>45443</v>
      </c>
      <c r="B62" s="392">
        <f>IF(YEAR(Table6[[#This Row],[Date]]) = 2024, WEEKNUM(Table6[[#This Row],[Date]])-13, WEEKNUM(Table6[[#This Row],[Date]])+40)</f>
        <v>9</v>
      </c>
      <c r="C62" s="30" t="s">
        <v>52</v>
      </c>
      <c r="D62" s="59" t="s">
        <v>48</v>
      </c>
      <c r="E62" s="28">
        <v>349</v>
      </c>
      <c r="F62" s="28">
        <v>332</v>
      </c>
      <c r="G62" s="61">
        <f t="shared" si="38"/>
        <v>-3.0555555555555555E-2</v>
      </c>
      <c r="H62" s="61">
        <f t="shared" si="39"/>
        <v>-3.4883720930232558E-2</v>
      </c>
      <c r="I62" s="1">
        <f t="shared" si="40"/>
        <v>3816</v>
      </c>
      <c r="J62" s="1">
        <f t="shared" si="41"/>
        <v>3340</v>
      </c>
      <c r="K62" s="1">
        <f>Table3[[#This Row],[Calls Off]]+K61</f>
        <v>18351</v>
      </c>
      <c r="L62" s="1">
        <f>Table3[[#This Row],[Calls Ans]]+L61</f>
        <v>15603</v>
      </c>
      <c r="M62" s="64">
        <v>0.86</v>
      </c>
      <c r="N62" s="64">
        <v>0.04</v>
      </c>
      <c r="O62" s="64">
        <v>0.96</v>
      </c>
      <c r="P62" s="64">
        <v>0.46</v>
      </c>
      <c r="Q62" s="82">
        <v>1</v>
      </c>
      <c r="R62" s="272">
        <v>194</v>
      </c>
      <c r="S62" s="157">
        <v>2.2916666666666669E-2</v>
      </c>
      <c r="T62" s="106">
        <v>5</v>
      </c>
      <c r="U62" s="63" t="str">
        <f t="shared" si="0"/>
        <v>Normal</v>
      </c>
      <c r="V62" s="63" t="str">
        <f t="shared" si="1"/>
        <v>Normal</v>
      </c>
      <c r="W62" s="18">
        <f t="shared" si="2"/>
        <v>-3.0555555555555555E-2</v>
      </c>
      <c r="X62" s="18">
        <f t="shared" si="3"/>
        <v>-3.4883720930232558E-2</v>
      </c>
    </row>
    <row r="63" spans="1:24">
      <c r="A63" s="24">
        <v>45444</v>
      </c>
      <c r="B63" s="392">
        <f>IF(YEAR(Table6[[#This Row],[Date]]) = 2024, WEEKNUM(Table6[[#This Row],[Date]])-13, WEEKNUM(Table6[[#This Row],[Date]])+40)</f>
        <v>9</v>
      </c>
      <c r="C63" s="31" t="s">
        <v>53</v>
      </c>
      <c r="D63" s="59" t="s">
        <v>48</v>
      </c>
      <c r="E63" s="1">
        <v>170</v>
      </c>
      <c r="F63" s="1">
        <v>160</v>
      </c>
      <c r="G63" s="61">
        <f t="shared" si="38"/>
        <v>-0.27966101694915252</v>
      </c>
      <c r="H63" s="61">
        <f t="shared" si="39"/>
        <v>-0.26605504587155965</v>
      </c>
      <c r="I63" s="1">
        <f>Table3[[#This Row],[Calls Off]]</f>
        <v>170</v>
      </c>
      <c r="J63" s="1">
        <f>Table3[[#This Row],[Calls Ans]]</f>
        <v>160</v>
      </c>
      <c r="K63" s="1">
        <f>Table3[[#This Row],[Calls Off]]+K62</f>
        <v>18521</v>
      </c>
      <c r="L63" s="1">
        <f>Table3[[#This Row],[Calls Ans]]+L62</f>
        <v>15763</v>
      </c>
      <c r="M63" s="63">
        <v>0.82</v>
      </c>
      <c r="N63" s="63">
        <v>0.06</v>
      </c>
      <c r="O63" s="63">
        <v>0.94</v>
      </c>
      <c r="P63" s="63">
        <v>0.37</v>
      </c>
      <c r="Q63" s="83">
        <v>1</v>
      </c>
      <c r="R63" s="271">
        <v>220</v>
      </c>
      <c r="S63" s="140">
        <v>4.7222222222222221E-2</v>
      </c>
      <c r="T63" s="106">
        <v>3</v>
      </c>
      <c r="U63" s="63" t="str">
        <f t="shared" si="0"/>
        <v>Normal</v>
      </c>
      <c r="V63" s="63" t="str">
        <f t="shared" si="1"/>
        <v>Outlier</v>
      </c>
      <c r="W63" s="18">
        <f t="shared" si="2"/>
        <v>-0.27966101694915252</v>
      </c>
      <c r="X63" s="18">
        <f t="shared" si="3"/>
        <v>-0.26605504587155965</v>
      </c>
    </row>
    <row r="64" spans="1:24">
      <c r="A64" s="24">
        <v>45445</v>
      </c>
      <c r="B64" s="392">
        <f>IF(YEAR(Table6[[#This Row],[Date]]) = 2024, WEEKNUM(Table6[[#This Row],[Date]])-13, WEEKNUM(Table6[[#This Row],[Date]])+40)</f>
        <v>10</v>
      </c>
      <c r="C64" s="30" t="s">
        <v>54</v>
      </c>
      <c r="D64" s="59" t="s">
        <v>48</v>
      </c>
      <c r="E64" s="28">
        <v>0</v>
      </c>
      <c r="F64" s="28">
        <v>0</v>
      </c>
      <c r="G64" s="60">
        <v>0</v>
      </c>
      <c r="H64" s="60">
        <v>0</v>
      </c>
      <c r="I64" s="28">
        <v>0</v>
      </c>
      <c r="J64" s="28">
        <v>0</v>
      </c>
      <c r="K64" s="28">
        <v>0</v>
      </c>
      <c r="L64" s="28">
        <v>0</v>
      </c>
      <c r="M64" s="64">
        <v>0</v>
      </c>
      <c r="N64" s="64">
        <v>0</v>
      </c>
      <c r="O64" s="64">
        <v>0</v>
      </c>
      <c r="P64" s="64">
        <v>0</v>
      </c>
      <c r="Q64" s="82">
        <v>0</v>
      </c>
      <c r="R64" s="272">
        <v>0</v>
      </c>
      <c r="S64" s="157">
        <v>0</v>
      </c>
      <c r="T64" s="106">
        <v>0</v>
      </c>
      <c r="U64" s="63" t="str">
        <f t="shared" si="0"/>
        <v>Normal</v>
      </c>
      <c r="V64" s="63" t="str">
        <f t="shared" si="1"/>
        <v>Normal</v>
      </c>
      <c r="W64" s="18">
        <f t="shared" si="2"/>
        <v>0</v>
      </c>
      <c r="X64" s="18">
        <f t="shared" si="3"/>
        <v>0</v>
      </c>
    </row>
    <row r="65" spans="1:24">
      <c r="A65" s="24">
        <v>45446</v>
      </c>
      <c r="B65" s="392">
        <f>IF(YEAR(Table6[[#This Row],[Date]]) = 2024, WEEKNUM(Table6[[#This Row],[Date]])-13, WEEKNUM(Table6[[#This Row],[Date]])+40)</f>
        <v>10</v>
      </c>
      <c r="C65" s="31" t="s">
        <v>55</v>
      </c>
      <c r="D65" s="59" t="s">
        <v>48</v>
      </c>
      <c r="E65" s="1">
        <v>481</v>
      </c>
      <c r="F65" s="1">
        <v>355</v>
      </c>
      <c r="G65" s="61">
        <f>(E65-E58)/E58</f>
        <v>-7.6775431861804216E-2</v>
      </c>
      <c r="H65" s="61">
        <f>(F65-F58)/F58</f>
        <v>0.16013071895424835</v>
      </c>
      <c r="I65" s="1">
        <f>I63+E65</f>
        <v>651</v>
      </c>
      <c r="J65" s="1">
        <f>J63+F65</f>
        <v>515</v>
      </c>
      <c r="K65" s="1">
        <f>Table3[[#This Row],[Calls Off]]+K63</f>
        <v>19002</v>
      </c>
      <c r="L65" s="1">
        <f>Table3[[#This Row],[Calls Ans]]+L63</f>
        <v>16118</v>
      </c>
      <c r="M65" s="63">
        <v>0.5</v>
      </c>
      <c r="N65" s="63">
        <v>0.25</v>
      </c>
      <c r="O65" s="63">
        <v>0.75</v>
      </c>
      <c r="P65" s="63">
        <v>0.61</v>
      </c>
      <c r="Q65" s="83">
        <v>1</v>
      </c>
      <c r="R65" s="271">
        <v>206</v>
      </c>
      <c r="S65" s="140">
        <v>0.20486111111111113</v>
      </c>
      <c r="T65" s="106">
        <v>4</v>
      </c>
      <c r="U65" s="63" t="str">
        <f t="shared" si="0"/>
        <v>Normal</v>
      </c>
      <c r="V65" s="63" t="str">
        <f t="shared" si="1"/>
        <v>Normal</v>
      </c>
      <c r="W65" s="18">
        <f t="shared" si="2"/>
        <v>-7.6775431861804216E-2</v>
      </c>
      <c r="X65" s="18">
        <f t="shared" si="3"/>
        <v>0.16013071895424835</v>
      </c>
    </row>
    <row r="66" spans="1:24">
      <c r="A66" s="24">
        <v>45447</v>
      </c>
      <c r="B66" s="392">
        <f>IF(YEAR(Table6[[#This Row],[Date]]) = 2024, WEEKNUM(Table6[[#This Row],[Date]])-13, WEEKNUM(Table6[[#This Row],[Date]])+40)</f>
        <v>10</v>
      </c>
      <c r="C66" s="30" t="s">
        <v>49</v>
      </c>
      <c r="D66" s="59" t="s">
        <v>48</v>
      </c>
      <c r="E66" s="28">
        <v>332</v>
      </c>
      <c r="F66" s="28">
        <v>297</v>
      </c>
      <c r="G66" s="61">
        <f t="shared" ref="G66:G70" si="42">(E66-E59)/E59</f>
        <v>-0.22065727699530516</v>
      </c>
      <c r="H66" s="61">
        <f t="shared" ref="H66:H70" si="43">(F66-F59)/F59</f>
        <v>-0.22251308900523561</v>
      </c>
      <c r="I66" s="1">
        <f>I65+E66</f>
        <v>983</v>
      </c>
      <c r="J66" s="1">
        <f>J65+F66</f>
        <v>812</v>
      </c>
      <c r="K66" s="1">
        <f>Table3[[#This Row],[Calls Off]]+K65</f>
        <v>19334</v>
      </c>
      <c r="L66" s="1">
        <f>Table3[[#This Row],[Calls Ans]]+L65</f>
        <v>16415</v>
      </c>
      <c r="M66" s="64">
        <v>0.69</v>
      </c>
      <c r="N66" s="64">
        <v>0.1</v>
      </c>
      <c r="O66" s="64">
        <v>0.9</v>
      </c>
      <c r="P66" s="64">
        <v>0.51</v>
      </c>
      <c r="Q66" s="82">
        <v>1</v>
      </c>
      <c r="R66" s="272">
        <v>211</v>
      </c>
      <c r="S66" s="157">
        <v>5.5555555555555552E-2</v>
      </c>
      <c r="T66" s="106">
        <v>4</v>
      </c>
      <c r="U66" s="63" t="str">
        <f t="shared" si="0"/>
        <v>Normal</v>
      </c>
      <c r="V66" s="63" t="str">
        <f t="shared" si="1"/>
        <v>Normal</v>
      </c>
      <c r="W66" s="18">
        <f t="shared" si="2"/>
        <v>-0.22065727699530516</v>
      </c>
      <c r="X66" s="18">
        <f t="shared" si="3"/>
        <v>-0.22251308900523561</v>
      </c>
    </row>
    <row r="67" spans="1:24">
      <c r="A67" s="24">
        <v>45448</v>
      </c>
      <c r="B67" s="392">
        <f>IF(YEAR(Table6[[#This Row],[Date]]) = 2024, WEEKNUM(Table6[[#This Row],[Date]])-13, WEEKNUM(Table6[[#This Row],[Date]])+40)</f>
        <v>10</v>
      </c>
      <c r="C67" s="31" t="s">
        <v>50</v>
      </c>
      <c r="D67" s="59" t="s">
        <v>48</v>
      </c>
      <c r="E67" s="1">
        <v>357</v>
      </c>
      <c r="F67" s="1">
        <v>304</v>
      </c>
      <c r="G67" s="61">
        <f t="shared" si="42"/>
        <v>0.05</v>
      </c>
      <c r="H67" s="61">
        <f t="shared" si="43"/>
        <v>-6.4615384615384616E-2</v>
      </c>
      <c r="I67" s="1">
        <f t="shared" ref="I67:I70" si="44">I66+E67</f>
        <v>1340</v>
      </c>
      <c r="J67" s="1">
        <f t="shared" ref="J67:J70" si="45">J66+F67</f>
        <v>1116</v>
      </c>
      <c r="K67" s="1">
        <f>Table3[[#This Row],[Calls Off]]+K66</f>
        <v>19691</v>
      </c>
      <c r="L67" s="1">
        <f>Table3[[#This Row],[Calls Ans]]+L66</f>
        <v>16719</v>
      </c>
      <c r="M67" s="63">
        <v>0.64</v>
      </c>
      <c r="N67" s="63">
        <v>0.14000000000000001</v>
      </c>
      <c r="O67" s="63">
        <v>0.86</v>
      </c>
      <c r="P67" s="63">
        <v>0.52</v>
      </c>
      <c r="Q67" s="83">
        <v>1</v>
      </c>
      <c r="R67" s="271">
        <v>218</v>
      </c>
      <c r="S67" s="140">
        <v>0.11458333333333333</v>
      </c>
      <c r="T67" s="106">
        <v>4</v>
      </c>
      <c r="U67" s="63" t="str">
        <f t="shared" ref="U67:U123" si="46">IF(OR(G67&lt;$AB$5,G67&gt;$AC$5), "Outlier", "Normal")</f>
        <v>Normal</v>
      </c>
      <c r="V67" s="63" t="str">
        <f t="shared" ref="V67:V123" si="47">IF(OR(H67&lt;$AB$6,H67&gt;$AC$6), "Outlier", "Normal")</f>
        <v>Normal</v>
      </c>
      <c r="W67" s="18">
        <f t="shared" ref="W67:W123" si="48">IF(U67="Normal",$G67,IF($G67&lt;150%, $G67, $AB$9))</f>
        <v>0.05</v>
      </c>
      <c r="X67" s="18">
        <f t="shared" ref="X67:X123" si="49">IF(V67="Normal",$H67,IF($H67&lt;150%, $H67, $AF$9))</f>
        <v>-6.4615384615384616E-2</v>
      </c>
    </row>
    <row r="68" spans="1:24">
      <c r="A68" s="24">
        <v>45449</v>
      </c>
      <c r="B68" s="392">
        <f>IF(YEAR(Table6[[#This Row],[Date]]) = 2024, WEEKNUM(Table6[[#This Row],[Date]])-13, WEEKNUM(Table6[[#This Row],[Date]])+40)</f>
        <v>10</v>
      </c>
      <c r="C68" s="30" t="s">
        <v>51</v>
      </c>
      <c r="D68" s="59" t="s">
        <v>48</v>
      </c>
      <c r="E68" s="28">
        <v>317</v>
      </c>
      <c r="F68" s="28">
        <v>260</v>
      </c>
      <c r="G68" s="61">
        <f t="shared" si="42"/>
        <v>-0.16578947368421051</v>
      </c>
      <c r="H68" s="61">
        <f t="shared" si="43"/>
        <v>-0.2655367231638418</v>
      </c>
      <c r="I68" s="1">
        <f t="shared" si="44"/>
        <v>1657</v>
      </c>
      <c r="J68" s="1">
        <f t="shared" si="45"/>
        <v>1376</v>
      </c>
      <c r="K68" s="1">
        <f>Table3[[#This Row],[Calls Off]]+K67</f>
        <v>20008</v>
      </c>
      <c r="L68" s="1">
        <f>Table3[[#This Row],[Calls Ans]]+L67</f>
        <v>16979</v>
      </c>
      <c r="M68" s="64">
        <v>0.6</v>
      </c>
      <c r="N68" s="64">
        <v>0.18</v>
      </c>
      <c r="O68" s="64">
        <v>0.82</v>
      </c>
      <c r="P68" s="64">
        <v>0.6</v>
      </c>
      <c r="Q68" s="82">
        <v>1</v>
      </c>
      <c r="R68" s="272">
        <v>199</v>
      </c>
      <c r="S68" s="157">
        <v>0.11527777777777777</v>
      </c>
      <c r="T68" s="106">
        <v>3</v>
      </c>
      <c r="U68" s="63" t="str">
        <f t="shared" si="46"/>
        <v>Normal</v>
      </c>
      <c r="V68" s="63" t="str">
        <f t="shared" si="47"/>
        <v>Outlier</v>
      </c>
      <c r="W68" s="18">
        <f t="shared" si="48"/>
        <v>-0.16578947368421051</v>
      </c>
      <c r="X68" s="18">
        <f t="shared" si="49"/>
        <v>-0.2655367231638418</v>
      </c>
    </row>
    <row r="69" spans="1:24">
      <c r="A69" s="24">
        <v>45450</v>
      </c>
      <c r="B69" s="392">
        <f>IF(YEAR(Table6[[#This Row],[Date]]) = 2024, WEEKNUM(Table6[[#This Row],[Date]])-13, WEEKNUM(Table6[[#This Row],[Date]])+40)</f>
        <v>10</v>
      </c>
      <c r="C69" s="31" t="s">
        <v>52</v>
      </c>
      <c r="D69" s="59" t="s">
        <v>48</v>
      </c>
      <c r="E69" s="1">
        <v>276</v>
      </c>
      <c r="F69" s="1">
        <v>247</v>
      </c>
      <c r="G69" s="61">
        <f t="shared" si="42"/>
        <v>-0.20916905444126074</v>
      </c>
      <c r="H69" s="61">
        <f t="shared" si="43"/>
        <v>-0.25602409638554219</v>
      </c>
      <c r="I69" s="1">
        <f t="shared" si="44"/>
        <v>1933</v>
      </c>
      <c r="J69" s="1">
        <f t="shared" si="45"/>
        <v>1623</v>
      </c>
      <c r="K69" s="1">
        <f>Table3[[#This Row],[Calls Off]]+K68</f>
        <v>20284</v>
      </c>
      <c r="L69" s="1">
        <f>Table3[[#This Row],[Calls Ans]]+L68</f>
        <v>17226</v>
      </c>
      <c r="M69" s="63">
        <v>0.66</v>
      </c>
      <c r="N69" s="63">
        <v>0.09</v>
      </c>
      <c r="O69" s="63">
        <v>0.81</v>
      </c>
      <c r="P69" s="63">
        <v>0.43</v>
      </c>
      <c r="Q69" s="83">
        <v>1</v>
      </c>
      <c r="R69" s="271">
        <v>198</v>
      </c>
      <c r="S69" s="140">
        <v>0.15972222222222224</v>
      </c>
      <c r="T69" s="106">
        <v>4</v>
      </c>
      <c r="U69" s="63" t="str">
        <f t="shared" si="46"/>
        <v>Normal</v>
      </c>
      <c r="V69" s="63" t="str">
        <f t="shared" si="47"/>
        <v>Outlier</v>
      </c>
      <c r="W69" s="18">
        <f t="shared" si="48"/>
        <v>-0.20916905444126074</v>
      </c>
      <c r="X69" s="18">
        <f t="shared" si="49"/>
        <v>-0.25602409638554219</v>
      </c>
    </row>
    <row r="70" spans="1:24">
      <c r="A70" s="24">
        <v>45451</v>
      </c>
      <c r="B70" s="392">
        <f>IF(YEAR(Table6[[#This Row],[Date]]) = 2024, WEEKNUM(Table6[[#This Row],[Date]])-13, WEEKNUM(Table6[[#This Row],[Date]])+40)</f>
        <v>10</v>
      </c>
      <c r="C70" s="30" t="s">
        <v>53</v>
      </c>
      <c r="D70" s="59" t="s">
        <v>48</v>
      </c>
      <c r="E70" s="28">
        <v>93</v>
      </c>
      <c r="F70" s="28">
        <v>84</v>
      </c>
      <c r="G70" s="61">
        <f t="shared" si="42"/>
        <v>-0.45294117647058824</v>
      </c>
      <c r="H70" s="61">
        <f t="shared" si="43"/>
        <v>-0.47499999999999998</v>
      </c>
      <c r="I70" s="1">
        <f t="shared" si="44"/>
        <v>2026</v>
      </c>
      <c r="J70" s="1">
        <f t="shared" si="45"/>
        <v>1707</v>
      </c>
      <c r="K70" s="1">
        <f>Table3[[#This Row],[Calls Off]]+K69</f>
        <v>20377</v>
      </c>
      <c r="L70" s="1">
        <f>Table3[[#This Row],[Calls Ans]]+L69</f>
        <v>17310</v>
      </c>
      <c r="M70" s="64">
        <v>0.7</v>
      </c>
      <c r="N70" s="64">
        <v>0.09</v>
      </c>
      <c r="O70" s="64">
        <v>0.91</v>
      </c>
      <c r="P70" s="64">
        <v>0.19</v>
      </c>
      <c r="Q70" s="82">
        <v>1</v>
      </c>
      <c r="R70" s="272">
        <v>167</v>
      </c>
      <c r="S70" s="157">
        <v>8.0555555555555561E-2</v>
      </c>
      <c r="T70" s="106">
        <v>3</v>
      </c>
      <c r="U70" s="63" t="str">
        <f t="shared" si="46"/>
        <v>Outlier</v>
      </c>
      <c r="V70" s="63" t="str">
        <f t="shared" si="47"/>
        <v>Outlier</v>
      </c>
      <c r="W70" s="18">
        <f t="shared" si="48"/>
        <v>-0.45294117647058824</v>
      </c>
      <c r="X70" s="18">
        <f t="shared" si="49"/>
        <v>-0.47499999999999998</v>
      </c>
    </row>
    <row r="71" spans="1:24">
      <c r="A71" s="24">
        <v>45452</v>
      </c>
      <c r="B71" s="392">
        <f>IF(YEAR(Table6[[#This Row],[Date]]) = 2024, WEEKNUM(Table6[[#This Row],[Date]])-13, WEEKNUM(Table6[[#This Row],[Date]])+40)</f>
        <v>11</v>
      </c>
      <c r="C71" s="31" t="s">
        <v>54</v>
      </c>
      <c r="D71" s="59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v>0</v>
      </c>
      <c r="L71" s="1">
        <v>0</v>
      </c>
      <c r="M71" s="63">
        <v>0</v>
      </c>
      <c r="N71" s="63">
        <v>0</v>
      </c>
      <c r="O71" s="63">
        <v>0</v>
      </c>
      <c r="P71" s="63">
        <v>0</v>
      </c>
      <c r="Q71" s="83">
        <v>0</v>
      </c>
      <c r="R71" s="271">
        <v>0</v>
      </c>
      <c r="S71" s="140">
        <v>0</v>
      </c>
      <c r="T71" s="106">
        <v>0</v>
      </c>
      <c r="U71" s="63" t="str">
        <f t="shared" si="46"/>
        <v>Normal</v>
      </c>
      <c r="V71" s="63" t="str">
        <f t="shared" si="47"/>
        <v>Normal</v>
      </c>
      <c r="W71" s="18">
        <f t="shared" si="48"/>
        <v>0</v>
      </c>
      <c r="X71" s="18">
        <f t="shared" si="49"/>
        <v>0</v>
      </c>
    </row>
    <row r="72" spans="1:24">
      <c r="A72" s="24">
        <v>45453</v>
      </c>
      <c r="B72" s="392">
        <f>IF(YEAR(Table6[[#This Row],[Date]]) = 2024, WEEKNUM(Table6[[#This Row],[Date]])-13, WEEKNUM(Table6[[#This Row],[Date]])+40)</f>
        <v>11</v>
      </c>
      <c r="C72" s="30" t="s">
        <v>55</v>
      </c>
      <c r="D72" s="59" t="s">
        <v>48</v>
      </c>
      <c r="E72" s="28">
        <v>521</v>
      </c>
      <c r="F72" s="28">
        <v>367</v>
      </c>
      <c r="G72" s="60">
        <f>(E72-E65)/E65</f>
        <v>8.3160083160083165E-2</v>
      </c>
      <c r="H72" s="60">
        <f>(F72-F65)/F65</f>
        <v>3.3802816901408447E-2</v>
      </c>
      <c r="I72" s="28">
        <f>I70+E72</f>
        <v>2547</v>
      </c>
      <c r="J72" s="28">
        <f>J70+F72</f>
        <v>2074</v>
      </c>
      <c r="K72" s="28">
        <f>Table3[[#This Row],[Calls Off]]+K70</f>
        <v>20898</v>
      </c>
      <c r="L72" s="28">
        <f>Table3[[#This Row],[Calls Ans]]+L70</f>
        <v>17677</v>
      </c>
      <c r="M72" s="64">
        <v>0.38</v>
      </c>
      <c r="N72" s="64">
        <v>0.28999999999999998</v>
      </c>
      <c r="O72" s="64">
        <v>0.71</v>
      </c>
      <c r="P72" s="64">
        <v>0.63</v>
      </c>
      <c r="Q72" s="82">
        <v>1</v>
      </c>
      <c r="R72" s="272">
        <v>210</v>
      </c>
      <c r="S72" s="157">
        <v>0.22847222222222222</v>
      </c>
      <c r="T72" s="106">
        <v>4</v>
      </c>
      <c r="U72" s="63" t="str">
        <f t="shared" si="46"/>
        <v>Normal</v>
      </c>
      <c r="V72" s="63" t="str">
        <f t="shared" si="47"/>
        <v>Normal</v>
      </c>
      <c r="W72" s="18">
        <f t="shared" si="48"/>
        <v>8.3160083160083165E-2</v>
      </c>
      <c r="X72" s="18">
        <f t="shared" si="49"/>
        <v>3.3802816901408447E-2</v>
      </c>
    </row>
    <row r="73" spans="1:24">
      <c r="A73" s="24">
        <v>45454</v>
      </c>
      <c r="B73" s="392">
        <f>IF(YEAR(Table6[[#This Row],[Date]]) = 2024, WEEKNUM(Table6[[#This Row],[Date]])-13, WEEKNUM(Table6[[#This Row],[Date]])+40)</f>
        <v>11</v>
      </c>
      <c r="C73" s="31" t="s">
        <v>49</v>
      </c>
      <c r="D73" s="59" t="s">
        <v>48</v>
      </c>
      <c r="E73" s="1">
        <v>374</v>
      </c>
      <c r="F73" s="1">
        <v>339</v>
      </c>
      <c r="G73" s="61">
        <f t="shared" ref="G73:G77" si="50">(E73-E66)/E66</f>
        <v>0.12650602409638553</v>
      </c>
      <c r="H73" s="61">
        <f t="shared" ref="H73:H77" si="51">(F73-F66)/F66</f>
        <v>0.14141414141414141</v>
      </c>
      <c r="I73" s="1">
        <f>I72+E73</f>
        <v>2921</v>
      </c>
      <c r="J73" s="1">
        <f>J72+F73</f>
        <v>2413</v>
      </c>
      <c r="K73" s="1">
        <f>Table3[[#This Row],[Calls Off]]+K72</f>
        <v>21272</v>
      </c>
      <c r="L73" s="1">
        <f>Table3[[#This Row],[Calls Ans]]+L72</f>
        <v>18016</v>
      </c>
      <c r="M73" s="63">
        <v>0.78</v>
      </c>
      <c r="N73" s="63">
        <v>0.09</v>
      </c>
      <c r="O73" s="63">
        <v>0.91</v>
      </c>
      <c r="P73" s="63">
        <v>0.47</v>
      </c>
      <c r="Q73" s="83">
        <v>1</v>
      </c>
      <c r="R73" s="271">
        <v>300</v>
      </c>
      <c r="S73" s="140">
        <v>4.0972222222222222E-2</v>
      </c>
      <c r="T73" s="106">
        <v>5</v>
      </c>
      <c r="U73" s="63" t="str">
        <f t="shared" si="46"/>
        <v>Normal</v>
      </c>
      <c r="V73" s="63" t="str">
        <f t="shared" si="47"/>
        <v>Normal</v>
      </c>
      <c r="W73" s="18">
        <f t="shared" si="48"/>
        <v>0.12650602409638553</v>
      </c>
      <c r="X73" s="18">
        <f t="shared" si="49"/>
        <v>0.14141414141414141</v>
      </c>
    </row>
    <row r="74" spans="1:24">
      <c r="A74" s="24">
        <v>45455</v>
      </c>
      <c r="B74" s="392">
        <f>IF(YEAR(Table6[[#This Row],[Date]]) = 2024, WEEKNUM(Table6[[#This Row],[Date]])-13, WEEKNUM(Table6[[#This Row],[Date]])+40)</f>
        <v>11</v>
      </c>
      <c r="C74" s="30" t="s">
        <v>50</v>
      </c>
      <c r="D74" s="59" t="s">
        <v>48</v>
      </c>
      <c r="E74" s="28">
        <v>387</v>
      </c>
      <c r="F74" s="28">
        <v>322</v>
      </c>
      <c r="G74" s="60">
        <f t="shared" si="50"/>
        <v>8.4033613445378158E-2</v>
      </c>
      <c r="H74" s="60">
        <f t="shared" si="51"/>
        <v>5.921052631578947E-2</v>
      </c>
      <c r="I74" s="28">
        <f t="shared" ref="I74:I77" si="52">I73+E74</f>
        <v>3308</v>
      </c>
      <c r="J74" s="28">
        <f t="shared" ref="J74:J77" si="53">J73+F74</f>
        <v>2735</v>
      </c>
      <c r="K74" s="28">
        <f>Table3[[#This Row],[Calls Off]]+K73</f>
        <v>21659</v>
      </c>
      <c r="L74" s="28">
        <f>Table3[[#This Row],[Calls Ans]]+L73</f>
        <v>18338</v>
      </c>
      <c r="M74" s="64">
        <v>0.54</v>
      </c>
      <c r="N74" s="64">
        <v>0.16</v>
      </c>
      <c r="O74" s="64">
        <v>0.84</v>
      </c>
      <c r="P74" s="64">
        <v>0.56000000000000005</v>
      </c>
      <c r="Q74" s="82">
        <v>1</v>
      </c>
      <c r="R74" s="272">
        <v>212</v>
      </c>
      <c r="S74" s="157">
        <v>0.12986111111111112</v>
      </c>
      <c r="T74" s="106">
        <v>4</v>
      </c>
      <c r="U74" s="63" t="str">
        <f t="shared" si="46"/>
        <v>Normal</v>
      </c>
      <c r="V74" s="63" t="str">
        <f t="shared" si="47"/>
        <v>Normal</v>
      </c>
      <c r="W74" s="18">
        <f t="shared" si="48"/>
        <v>8.4033613445378158E-2</v>
      </c>
      <c r="X74" s="18">
        <f t="shared" si="49"/>
        <v>5.921052631578947E-2</v>
      </c>
    </row>
    <row r="75" spans="1:24">
      <c r="A75" s="24">
        <v>45456</v>
      </c>
      <c r="B75" s="392">
        <f>IF(YEAR(Table6[[#This Row],[Date]]) = 2024, WEEKNUM(Table6[[#This Row],[Date]])-13, WEEKNUM(Table6[[#This Row],[Date]])+40)</f>
        <v>11</v>
      </c>
      <c r="C75" s="31" t="s">
        <v>51</v>
      </c>
      <c r="D75" s="59" t="s">
        <v>48</v>
      </c>
      <c r="E75" s="1">
        <v>334</v>
      </c>
      <c r="F75" s="1">
        <v>287</v>
      </c>
      <c r="G75" s="61">
        <f t="shared" si="50"/>
        <v>5.362776025236593E-2</v>
      </c>
      <c r="H75" s="61">
        <f t="shared" si="51"/>
        <v>0.10384615384615385</v>
      </c>
      <c r="I75" s="1">
        <f t="shared" si="52"/>
        <v>3642</v>
      </c>
      <c r="J75" s="1">
        <f t="shared" si="53"/>
        <v>3022</v>
      </c>
      <c r="K75" s="1">
        <f>Table3[[#This Row],[Calls Off]]+K74</f>
        <v>21993</v>
      </c>
      <c r="L75" s="1">
        <f>Table3[[#This Row],[Calls Ans]]+L74</f>
        <v>18625</v>
      </c>
      <c r="M75" s="63">
        <v>0.68</v>
      </c>
      <c r="N75" s="63">
        <v>0.13</v>
      </c>
      <c r="O75" s="63">
        <v>0.87</v>
      </c>
      <c r="P75" s="63">
        <v>0.49</v>
      </c>
      <c r="Q75" s="83">
        <v>1</v>
      </c>
      <c r="R75" s="271">
        <v>199</v>
      </c>
      <c r="S75" s="140">
        <v>7.2222222222222229E-2</v>
      </c>
      <c r="T75" s="106">
        <v>4</v>
      </c>
      <c r="U75" s="63" t="str">
        <f t="shared" si="46"/>
        <v>Normal</v>
      </c>
      <c r="V75" s="63" t="str">
        <f t="shared" si="47"/>
        <v>Normal</v>
      </c>
      <c r="W75" s="18">
        <f t="shared" si="48"/>
        <v>5.362776025236593E-2</v>
      </c>
      <c r="X75" s="18">
        <f t="shared" si="49"/>
        <v>0.10384615384615385</v>
      </c>
    </row>
    <row r="76" spans="1:24">
      <c r="A76" s="24">
        <v>45457</v>
      </c>
      <c r="B76" s="392">
        <f>IF(YEAR(Table6[[#This Row],[Date]]) = 2024, WEEKNUM(Table6[[#This Row],[Date]])-13, WEEKNUM(Table6[[#This Row],[Date]])+40)</f>
        <v>11</v>
      </c>
      <c r="C76" s="30" t="s">
        <v>52</v>
      </c>
      <c r="D76" s="59" t="s">
        <v>48</v>
      </c>
      <c r="E76" s="28">
        <v>422</v>
      </c>
      <c r="F76" s="28">
        <v>334</v>
      </c>
      <c r="G76" s="60">
        <f t="shared" si="50"/>
        <v>0.52898550724637683</v>
      </c>
      <c r="H76" s="60">
        <f t="shared" si="51"/>
        <v>0.35222672064777327</v>
      </c>
      <c r="I76" s="28">
        <f t="shared" si="52"/>
        <v>4064</v>
      </c>
      <c r="J76" s="28">
        <f t="shared" si="53"/>
        <v>3356</v>
      </c>
      <c r="K76" s="28">
        <f>Table3[[#This Row],[Calls Off]]+K75</f>
        <v>22415</v>
      </c>
      <c r="L76" s="28">
        <f>Table3[[#This Row],[Calls Ans]]+L75</f>
        <v>18959</v>
      </c>
      <c r="M76" s="64">
        <v>0.52</v>
      </c>
      <c r="N76" s="64">
        <v>0.2</v>
      </c>
      <c r="O76" s="64">
        <v>0.8</v>
      </c>
      <c r="P76" s="64">
        <v>0.57999999999999996</v>
      </c>
      <c r="Q76" s="82">
        <v>1</v>
      </c>
      <c r="R76" s="272">
        <v>219</v>
      </c>
      <c r="S76" s="157">
        <v>0.17986111111111111</v>
      </c>
      <c r="T76" s="106">
        <v>4</v>
      </c>
      <c r="U76" s="63" t="str">
        <f t="shared" si="46"/>
        <v>Outlier</v>
      </c>
      <c r="V76" s="63" t="str">
        <f t="shared" si="47"/>
        <v>Outlier</v>
      </c>
      <c r="W76" s="18">
        <f t="shared" si="48"/>
        <v>0.52898550724637683</v>
      </c>
      <c r="X76" s="18">
        <f t="shared" si="49"/>
        <v>0.35222672064777327</v>
      </c>
    </row>
    <row r="77" spans="1:24">
      <c r="A77" s="24">
        <v>45458</v>
      </c>
      <c r="B77" s="392">
        <f>IF(YEAR(Table6[[#This Row],[Date]]) = 2024, WEEKNUM(Table6[[#This Row],[Date]])-13, WEEKNUM(Table6[[#This Row],[Date]])+40)</f>
        <v>11</v>
      </c>
      <c r="C77" s="31" t="s">
        <v>53</v>
      </c>
      <c r="D77" s="59" t="s">
        <v>48</v>
      </c>
      <c r="E77" s="1">
        <v>152</v>
      </c>
      <c r="F77" s="1">
        <v>133</v>
      </c>
      <c r="G77" s="61">
        <f t="shared" si="50"/>
        <v>0.63440860215053763</v>
      </c>
      <c r="H77" s="61">
        <f t="shared" si="51"/>
        <v>0.58333333333333337</v>
      </c>
      <c r="I77" s="1">
        <f t="shared" si="52"/>
        <v>4216</v>
      </c>
      <c r="J77" s="1">
        <f t="shared" si="53"/>
        <v>3489</v>
      </c>
      <c r="K77" s="1">
        <f>Table3[[#This Row],[Calls Off]]+K76</f>
        <v>22567</v>
      </c>
      <c r="L77" s="1">
        <f>Table3[[#This Row],[Calls Ans]]+L76</f>
        <v>19092</v>
      </c>
      <c r="M77" s="63">
        <v>0.73</v>
      </c>
      <c r="N77" s="63">
        <v>0.12</v>
      </c>
      <c r="O77" s="63">
        <v>0.88</v>
      </c>
      <c r="P77" s="63">
        <v>0.31</v>
      </c>
      <c r="Q77" s="83">
        <v>1</v>
      </c>
      <c r="R77" s="271">
        <v>211</v>
      </c>
      <c r="S77" s="140">
        <v>5.2083333333333336E-2</v>
      </c>
      <c r="T77" s="106">
        <v>3</v>
      </c>
      <c r="U77" s="63" t="str">
        <f t="shared" si="46"/>
        <v>Outlier</v>
      </c>
      <c r="V77" s="63" t="str">
        <f t="shared" si="47"/>
        <v>Outlier</v>
      </c>
      <c r="W77" s="18">
        <f t="shared" si="48"/>
        <v>0.63440860215053763</v>
      </c>
      <c r="X77" s="18">
        <f t="shared" si="49"/>
        <v>0.58333333333333337</v>
      </c>
    </row>
    <row r="78" spans="1:24">
      <c r="A78" s="24">
        <v>45459</v>
      </c>
      <c r="B78" s="392">
        <f>IF(YEAR(Table6[[#This Row],[Date]]) = 2024, WEEKNUM(Table6[[#This Row],[Date]])-13, WEEKNUM(Table6[[#This Row],[Date]])+40)</f>
        <v>12</v>
      </c>
      <c r="C78" s="30" t="s">
        <v>54</v>
      </c>
      <c r="D78" s="59" t="s">
        <v>48</v>
      </c>
      <c r="E78" s="28">
        <v>0</v>
      </c>
      <c r="F78" s="28">
        <v>0</v>
      </c>
      <c r="G78" s="60">
        <v>0</v>
      </c>
      <c r="H78" s="60">
        <v>0</v>
      </c>
      <c r="I78" s="28">
        <v>0</v>
      </c>
      <c r="J78" s="28">
        <v>0</v>
      </c>
      <c r="K78" s="28">
        <v>0</v>
      </c>
      <c r="L78" s="28">
        <v>0</v>
      </c>
      <c r="M78" s="64">
        <v>0</v>
      </c>
      <c r="N78" s="64">
        <v>0</v>
      </c>
      <c r="O78" s="64">
        <v>0</v>
      </c>
      <c r="P78" s="64">
        <v>0</v>
      </c>
      <c r="Q78" s="82">
        <v>0</v>
      </c>
      <c r="R78" s="272">
        <v>0</v>
      </c>
      <c r="S78" s="157">
        <v>0</v>
      </c>
      <c r="T78" s="106">
        <v>0</v>
      </c>
      <c r="U78" s="63" t="str">
        <f t="shared" si="46"/>
        <v>Normal</v>
      </c>
      <c r="V78" s="63" t="str">
        <f t="shared" si="47"/>
        <v>Normal</v>
      </c>
      <c r="W78" s="18">
        <f t="shared" si="48"/>
        <v>0</v>
      </c>
      <c r="X78" s="18">
        <f t="shared" si="49"/>
        <v>0</v>
      </c>
    </row>
    <row r="79" spans="1:24">
      <c r="A79" s="24">
        <v>45460</v>
      </c>
      <c r="B79" s="392">
        <f>IF(YEAR(Table6[[#This Row],[Date]]) = 2024, WEEKNUM(Table6[[#This Row],[Date]])-13, WEEKNUM(Table6[[#This Row],[Date]])+40)</f>
        <v>12</v>
      </c>
      <c r="C79" s="31" t="s">
        <v>55</v>
      </c>
      <c r="D79" s="59" t="s">
        <v>48</v>
      </c>
      <c r="E79" s="1">
        <v>492</v>
      </c>
      <c r="F79" s="1">
        <v>359</v>
      </c>
      <c r="G79" s="61">
        <f>(E79-E72)/E72</f>
        <v>-5.5662188099808059E-2</v>
      </c>
      <c r="H79" s="61">
        <f>(F79-F72)/F72</f>
        <v>-2.1798365122615803E-2</v>
      </c>
      <c r="I79" s="1">
        <f>I77+E79</f>
        <v>4708</v>
      </c>
      <c r="J79" s="1">
        <f>J77+F79</f>
        <v>3848</v>
      </c>
      <c r="K79" s="1">
        <f>Table3[[#This Row],[Calls Off]]+K77</f>
        <v>23059</v>
      </c>
      <c r="L79" s="1">
        <f>Table3[[#This Row],[Calls Ans]]+L77</f>
        <v>19451</v>
      </c>
      <c r="M79" s="63">
        <v>0.52</v>
      </c>
      <c r="N79" s="63">
        <v>0.26</v>
      </c>
      <c r="O79" s="63">
        <v>0.74</v>
      </c>
      <c r="P79" s="63">
        <v>0.62</v>
      </c>
      <c r="Q79" s="83">
        <v>1</v>
      </c>
      <c r="R79" s="271">
        <v>231</v>
      </c>
      <c r="S79" s="140">
        <v>0.26111111111111113</v>
      </c>
      <c r="T79" s="106">
        <v>4</v>
      </c>
      <c r="U79" s="63" t="str">
        <f t="shared" si="46"/>
        <v>Normal</v>
      </c>
      <c r="V79" s="63" t="str">
        <f t="shared" si="47"/>
        <v>Normal</v>
      </c>
      <c r="W79" s="18">
        <f t="shared" si="48"/>
        <v>-5.5662188099808059E-2</v>
      </c>
      <c r="X79" s="18">
        <f t="shared" si="49"/>
        <v>-2.1798365122615803E-2</v>
      </c>
    </row>
    <row r="80" spans="1:24">
      <c r="A80" s="24">
        <v>45461</v>
      </c>
      <c r="B80" s="392">
        <f>IF(YEAR(Table6[[#This Row],[Date]]) = 2024, WEEKNUM(Table6[[#This Row],[Date]])-13, WEEKNUM(Table6[[#This Row],[Date]])+40)</f>
        <v>12</v>
      </c>
      <c r="C80" s="30" t="s">
        <v>49</v>
      </c>
      <c r="D80" s="59" t="s">
        <v>48</v>
      </c>
      <c r="E80" s="28">
        <v>439</v>
      </c>
      <c r="F80" s="28">
        <v>340</v>
      </c>
      <c r="G80" s="60">
        <f t="shared" ref="G80:G84" si="54">(E80-E73)/E73</f>
        <v>0.17379679144385027</v>
      </c>
      <c r="H80" s="60">
        <f t="shared" ref="H80:H84" si="55">(F80-F73)/F73</f>
        <v>2.9498525073746312E-3</v>
      </c>
      <c r="I80" s="28">
        <f>I79+E80</f>
        <v>5147</v>
      </c>
      <c r="J80" s="28">
        <f>J79+F80</f>
        <v>4188</v>
      </c>
      <c r="K80" s="28">
        <f>Table3[[#This Row],[Calls Off]]+K79</f>
        <v>23498</v>
      </c>
      <c r="L80" s="28">
        <f>Table3[[#This Row],[Calls Ans]]+L79</f>
        <v>19791</v>
      </c>
      <c r="M80" s="64">
        <v>0.46</v>
      </c>
      <c r="N80" s="64">
        <v>0.22</v>
      </c>
      <c r="O80" s="64">
        <v>0.78</v>
      </c>
      <c r="P80" s="64">
        <v>0.59</v>
      </c>
      <c r="Q80" s="82">
        <v>1</v>
      </c>
      <c r="R80" s="272">
        <v>211</v>
      </c>
      <c r="S80" s="157">
        <v>0.19930555555555554</v>
      </c>
      <c r="T80" s="106">
        <v>4</v>
      </c>
      <c r="U80" s="63" t="str">
        <f t="shared" si="46"/>
        <v>Normal</v>
      </c>
      <c r="V80" s="63" t="str">
        <f t="shared" si="47"/>
        <v>Normal</v>
      </c>
      <c r="W80" s="18">
        <f t="shared" si="48"/>
        <v>0.17379679144385027</v>
      </c>
      <c r="X80" s="18">
        <f t="shared" si="49"/>
        <v>2.9498525073746312E-3</v>
      </c>
    </row>
    <row r="81" spans="1:26">
      <c r="A81" s="24">
        <v>45462</v>
      </c>
      <c r="B81" s="392">
        <f>IF(YEAR(Table6[[#This Row],[Date]]) = 2024, WEEKNUM(Table6[[#This Row],[Date]])-13, WEEKNUM(Table6[[#This Row],[Date]])+40)</f>
        <v>12</v>
      </c>
      <c r="C81" s="31" t="s">
        <v>50</v>
      </c>
      <c r="D81" s="59" t="s">
        <v>48</v>
      </c>
      <c r="E81" s="1">
        <v>328</v>
      </c>
      <c r="F81" s="1">
        <v>272</v>
      </c>
      <c r="G81" s="61">
        <f t="shared" si="54"/>
        <v>-0.15245478036175711</v>
      </c>
      <c r="H81" s="61">
        <f t="shared" si="55"/>
        <v>-0.15527950310559005</v>
      </c>
      <c r="I81" s="1">
        <f t="shared" ref="I81:I84" si="56">I80+E81</f>
        <v>5475</v>
      </c>
      <c r="J81" s="1">
        <f t="shared" ref="J81:J84" si="57">J80+F81</f>
        <v>4460</v>
      </c>
      <c r="K81" s="1">
        <f>Table3[[#This Row],[Calls Off]]+K80</f>
        <v>23826</v>
      </c>
      <c r="L81" s="1">
        <f>Table3[[#This Row],[Calls Ans]]+L80</f>
        <v>20063</v>
      </c>
      <c r="M81" s="63">
        <v>0.6</v>
      </c>
      <c r="N81" s="63">
        <v>0.16</v>
      </c>
      <c r="O81" s="63">
        <v>0.84</v>
      </c>
      <c r="P81" s="63">
        <v>0.47</v>
      </c>
      <c r="Q81" s="83">
        <v>1</v>
      </c>
      <c r="R81" s="271">
        <v>233</v>
      </c>
      <c r="S81" s="140">
        <v>0.10833333333333334</v>
      </c>
      <c r="T81" s="106">
        <v>4</v>
      </c>
      <c r="U81" s="63" t="str">
        <f t="shared" si="46"/>
        <v>Normal</v>
      </c>
      <c r="V81" s="63" t="str">
        <f t="shared" si="47"/>
        <v>Normal</v>
      </c>
      <c r="W81" s="18">
        <f t="shared" si="48"/>
        <v>-0.15245478036175711</v>
      </c>
      <c r="X81" s="18">
        <f t="shared" si="49"/>
        <v>-0.15527950310559005</v>
      </c>
    </row>
    <row r="82" spans="1:26">
      <c r="A82" s="24">
        <v>45463</v>
      </c>
      <c r="B82" s="392">
        <f>IF(YEAR(Table6[[#This Row],[Date]]) = 2024, WEEKNUM(Table6[[#This Row],[Date]])-13, WEEKNUM(Table6[[#This Row],[Date]])+40)</f>
        <v>12</v>
      </c>
      <c r="C82" s="30" t="s">
        <v>51</v>
      </c>
      <c r="D82" s="59" t="s">
        <v>48</v>
      </c>
      <c r="E82" s="28">
        <v>274</v>
      </c>
      <c r="F82" s="28">
        <v>255</v>
      </c>
      <c r="G82" s="60">
        <f t="shared" si="54"/>
        <v>-0.17964071856287425</v>
      </c>
      <c r="H82" s="60">
        <f t="shared" si="55"/>
        <v>-0.11149825783972125</v>
      </c>
      <c r="I82" s="28">
        <f t="shared" si="56"/>
        <v>5749</v>
      </c>
      <c r="J82" s="28">
        <f t="shared" si="57"/>
        <v>4715</v>
      </c>
      <c r="K82" s="28">
        <f>Table3[[#This Row],[Calls Off]]+K81</f>
        <v>24100</v>
      </c>
      <c r="L82" s="28">
        <f>Table3[[#This Row],[Calls Ans]]+L81</f>
        <v>20318</v>
      </c>
      <c r="M82" s="64">
        <v>0.77</v>
      </c>
      <c r="N82" s="64">
        <v>0.06</v>
      </c>
      <c r="O82" s="64">
        <v>0.94</v>
      </c>
      <c r="P82" s="64">
        <v>0.44</v>
      </c>
      <c r="Q82" s="82">
        <v>1</v>
      </c>
      <c r="R82" s="272">
        <v>204</v>
      </c>
      <c r="S82" s="157">
        <v>6.1805555555555558E-2</v>
      </c>
      <c r="T82" s="106">
        <v>4</v>
      </c>
      <c r="U82" s="63" t="str">
        <f t="shared" si="46"/>
        <v>Normal</v>
      </c>
      <c r="V82" s="63" t="str">
        <f t="shared" si="47"/>
        <v>Normal</v>
      </c>
      <c r="W82" s="18">
        <f t="shared" si="48"/>
        <v>-0.17964071856287425</v>
      </c>
      <c r="X82" s="18">
        <f t="shared" si="49"/>
        <v>-0.11149825783972125</v>
      </c>
    </row>
    <row r="83" spans="1:26">
      <c r="A83" s="24">
        <v>45464</v>
      </c>
      <c r="B83" s="392">
        <f>IF(YEAR(Table6[[#This Row],[Date]]) = 2024, WEEKNUM(Table6[[#This Row],[Date]])-13, WEEKNUM(Table6[[#This Row],[Date]])+40)</f>
        <v>12</v>
      </c>
      <c r="C83" s="31" t="s">
        <v>52</v>
      </c>
      <c r="D83" s="59" t="s">
        <v>48</v>
      </c>
      <c r="E83" s="1">
        <v>252</v>
      </c>
      <c r="F83" s="1">
        <v>234</v>
      </c>
      <c r="G83" s="61">
        <f t="shared" si="54"/>
        <v>-0.40284360189573459</v>
      </c>
      <c r="H83" s="61">
        <f t="shared" si="55"/>
        <v>-0.29940119760479039</v>
      </c>
      <c r="I83" s="1">
        <f t="shared" si="56"/>
        <v>6001</v>
      </c>
      <c r="J83" s="1">
        <f t="shared" si="57"/>
        <v>4949</v>
      </c>
      <c r="K83" s="1">
        <f>Table3[[#This Row],[Calls Off]]+K82</f>
        <v>24352</v>
      </c>
      <c r="L83" s="1">
        <f>Table3[[#This Row],[Calls Ans]]+L82</f>
        <v>20552</v>
      </c>
      <c r="M83" s="63">
        <v>0.81</v>
      </c>
      <c r="N83" s="63">
        <v>0.06</v>
      </c>
      <c r="O83" s="63">
        <v>0.94</v>
      </c>
      <c r="P83" s="63">
        <v>0.4</v>
      </c>
      <c r="Q83" s="83">
        <v>1</v>
      </c>
      <c r="R83" s="271">
        <v>185</v>
      </c>
      <c r="S83" s="140">
        <v>2.9861111111111113E-2</v>
      </c>
      <c r="T83" s="106">
        <v>4</v>
      </c>
      <c r="U83" s="63" t="str">
        <f t="shared" si="46"/>
        <v>Normal</v>
      </c>
      <c r="V83" s="63" t="str">
        <f t="shared" si="47"/>
        <v>Outlier</v>
      </c>
      <c r="W83" s="18">
        <f t="shared" si="48"/>
        <v>-0.40284360189573459</v>
      </c>
      <c r="X83" s="18">
        <f t="shared" si="49"/>
        <v>-0.29940119760479039</v>
      </c>
    </row>
    <row r="84" spans="1:26">
      <c r="A84" s="24">
        <v>45465</v>
      </c>
      <c r="B84" s="392">
        <f>IF(YEAR(Table6[[#This Row],[Date]]) = 2024, WEEKNUM(Table6[[#This Row],[Date]])-13, WEEKNUM(Table6[[#This Row],[Date]])+40)</f>
        <v>12</v>
      </c>
      <c r="C84" s="30" t="s">
        <v>53</v>
      </c>
      <c r="D84" s="59" t="s">
        <v>48</v>
      </c>
      <c r="E84" s="28">
        <v>191</v>
      </c>
      <c r="F84" s="28">
        <v>169</v>
      </c>
      <c r="G84" s="60">
        <f t="shared" si="54"/>
        <v>0.25657894736842107</v>
      </c>
      <c r="H84" s="60">
        <f t="shared" si="55"/>
        <v>0.27067669172932329</v>
      </c>
      <c r="I84" s="28">
        <f t="shared" si="56"/>
        <v>6192</v>
      </c>
      <c r="J84" s="28">
        <f t="shared" si="57"/>
        <v>5118</v>
      </c>
      <c r="K84" s="28">
        <f>Table3[[#This Row],[Calls Off]]+K83</f>
        <v>24543</v>
      </c>
      <c r="L84" s="28">
        <f>Table3[[#This Row],[Calls Ans]]+L83</f>
        <v>20721</v>
      </c>
      <c r="M84" s="64">
        <v>0.78</v>
      </c>
      <c r="N84" s="64">
        <v>0.09</v>
      </c>
      <c r="O84" s="64">
        <v>0.91</v>
      </c>
      <c r="P84" s="64">
        <v>0.39</v>
      </c>
      <c r="Q84" s="82">
        <v>1</v>
      </c>
      <c r="R84" s="272">
        <v>193</v>
      </c>
      <c r="S84" s="157">
        <v>3.5416666666666666E-2</v>
      </c>
      <c r="T84" s="106">
        <v>3</v>
      </c>
      <c r="U84" s="63" t="str">
        <f t="shared" si="46"/>
        <v>Normal</v>
      </c>
      <c r="V84" s="63" t="str">
        <f t="shared" si="47"/>
        <v>Outlier</v>
      </c>
      <c r="W84" s="18">
        <f t="shared" si="48"/>
        <v>0.25657894736842107</v>
      </c>
      <c r="X84" s="18">
        <f t="shared" si="49"/>
        <v>0.27067669172932329</v>
      </c>
    </row>
    <row r="85" spans="1:26">
      <c r="A85" s="24">
        <v>45466</v>
      </c>
      <c r="B85" s="392">
        <f>IF(YEAR(Table6[[#This Row],[Date]]) = 2024, WEEKNUM(Table6[[#This Row],[Date]])-13, WEEKNUM(Table6[[#This Row],[Date]])+40)</f>
        <v>13</v>
      </c>
      <c r="C85" s="31" t="s">
        <v>54</v>
      </c>
      <c r="D85" s="59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v>0</v>
      </c>
      <c r="L85" s="1">
        <v>0</v>
      </c>
      <c r="M85" s="63">
        <v>0</v>
      </c>
      <c r="N85" s="63">
        <v>0</v>
      </c>
      <c r="O85" s="63">
        <v>0</v>
      </c>
      <c r="P85" s="63">
        <v>0</v>
      </c>
      <c r="Q85" s="83">
        <v>0</v>
      </c>
      <c r="R85" s="271">
        <v>0</v>
      </c>
      <c r="S85" s="140">
        <v>0</v>
      </c>
      <c r="T85" s="106">
        <v>0</v>
      </c>
      <c r="U85" s="63" t="str">
        <f t="shared" si="46"/>
        <v>Normal</v>
      </c>
      <c r="V85" s="63" t="str">
        <f t="shared" si="47"/>
        <v>Normal</v>
      </c>
      <c r="W85" s="18">
        <f t="shared" si="48"/>
        <v>0</v>
      </c>
      <c r="X85" s="18">
        <f t="shared" si="49"/>
        <v>0</v>
      </c>
    </row>
    <row r="86" spans="1:26">
      <c r="A86" s="24">
        <v>45467</v>
      </c>
      <c r="B86" s="392">
        <f>IF(YEAR(Table6[[#This Row],[Date]]) = 2024, WEEKNUM(Table6[[#This Row],[Date]])-13, WEEKNUM(Table6[[#This Row],[Date]])+40)</f>
        <v>13</v>
      </c>
      <c r="C86" s="30" t="s">
        <v>55</v>
      </c>
      <c r="D86" s="59" t="s">
        <v>48</v>
      </c>
      <c r="E86" s="28">
        <v>358</v>
      </c>
      <c r="F86" s="28">
        <v>336</v>
      </c>
      <c r="G86" s="60">
        <f>(E86-E79)/E79</f>
        <v>-0.27235772357723576</v>
      </c>
      <c r="H86" s="60">
        <f>(F86-F79)/F79</f>
        <v>-6.4066852367688026E-2</v>
      </c>
      <c r="I86" s="28">
        <f>I84+E86</f>
        <v>6550</v>
      </c>
      <c r="J86" s="28">
        <f>J84+F86</f>
        <v>5454</v>
      </c>
      <c r="K86" s="28">
        <f>Table3[[#This Row],[Calls Off]]+K84</f>
        <v>24901</v>
      </c>
      <c r="L86" s="28">
        <f>Table3[[#This Row],[Calls Ans]]+L84</f>
        <v>21057</v>
      </c>
      <c r="M86" s="64">
        <v>0.86</v>
      </c>
      <c r="N86" s="64">
        <v>0.05</v>
      </c>
      <c r="O86" s="64">
        <v>0.95</v>
      </c>
      <c r="P86" s="64">
        <v>0.46</v>
      </c>
      <c r="Q86" s="82">
        <v>1</v>
      </c>
      <c r="R86" s="272">
        <v>193</v>
      </c>
      <c r="S86" s="157">
        <v>2.7777777777777776E-2</v>
      </c>
      <c r="T86" s="106">
        <v>5</v>
      </c>
      <c r="U86" s="63" t="str">
        <f t="shared" si="46"/>
        <v>Normal</v>
      </c>
      <c r="V86" s="63" t="str">
        <f t="shared" si="47"/>
        <v>Normal</v>
      </c>
      <c r="W86" s="18">
        <f t="shared" si="48"/>
        <v>-0.27235772357723576</v>
      </c>
      <c r="X86" s="18">
        <f t="shared" si="49"/>
        <v>-6.4066852367688026E-2</v>
      </c>
    </row>
    <row r="87" spans="1:26">
      <c r="A87" s="24">
        <v>45468</v>
      </c>
      <c r="B87" s="392">
        <f>IF(YEAR(Table6[[#This Row],[Date]]) = 2024, WEEKNUM(Table6[[#This Row],[Date]])-13, WEEKNUM(Table6[[#This Row],[Date]])+40)</f>
        <v>13</v>
      </c>
      <c r="C87" s="31" t="s">
        <v>49</v>
      </c>
      <c r="D87" s="59" t="s">
        <v>48</v>
      </c>
      <c r="E87" s="1">
        <v>449</v>
      </c>
      <c r="F87" s="1">
        <v>346</v>
      </c>
      <c r="G87" s="61">
        <f t="shared" ref="G87:G91" si="58">(E87-E80)/E80</f>
        <v>2.2779043280182234E-2</v>
      </c>
      <c r="H87" s="61">
        <f t="shared" ref="H87:H91" si="59">(F87-F80)/F80</f>
        <v>1.7647058823529412E-2</v>
      </c>
      <c r="I87" s="1">
        <f>I86+E87</f>
        <v>6999</v>
      </c>
      <c r="J87" s="1">
        <f>J86+F87</f>
        <v>5800</v>
      </c>
      <c r="K87" s="1">
        <f>Table3[[#This Row],[Calls Off]]+K86</f>
        <v>25350</v>
      </c>
      <c r="L87" s="1">
        <f>Table3[[#This Row],[Calls Ans]]+L86</f>
        <v>21403</v>
      </c>
      <c r="M87" s="63">
        <v>0.56999999999999995</v>
      </c>
      <c r="N87" s="63">
        <v>0.22</v>
      </c>
      <c r="O87" s="63">
        <v>0.78</v>
      </c>
      <c r="P87" s="63">
        <v>0.6</v>
      </c>
      <c r="Q87" s="83">
        <v>1</v>
      </c>
      <c r="R87" s="271">
        <v>223</v>
      </c>
      <c r="S87" s="140">
        <v>0.12361111111111112</v>
      </c>
      <c r="T87" s="106">
        <v>4</v>
      </c>
      <c r="U87" s="63" t="str">
        <f t="shared" si="46"/>
        <v>Normal</v>
      </c>
      <c r="V87" s="63" t="str">
        <f t="shared" si="47"/>
        <v>Normal</v>
      </c>
      <c r="W87" s="18">
        <f t="shared" si="48"/>
        <v>2.2779043280182234E-2</v>
      </c>
      <c r="X87" s="18">
        <f t="shared" si="49"/>
        <v>1.7647058823529412E-2</v>
      </c>
    </row>
    <row r="88" spans="1:26">
      <c r="A88" s="24">
        <v>45469</v>
      </c>
      <c r="B88" s="392">
        <f>IF(YEAR(Table6[[#This Row],[Date]]) = 2024, WEEKNUM(Table6[[#This Row],[Date]])-13, WEEKNUM(Table6[[#This Row],[Date]])+40)</f>
        <v>13</v>
      </c>
      <c r="C88" s="30" t="s">
        <v>50</v>
      </c>
      <c r="D88" s="59" t="s">
        <v>48</v>
      </c>
      <c r="E88" s="28">
        <v>398</v>
      </c>
      <c r="F88" s="28">
        <v>363</v>
      </c>
      <c r="G88" s="60">
        <f t="shared" si="58"/>
        <v>0.21341463414634146</v>
      </c>
      <c r="H88" s="60">
        <f t="shared" si="59"/>
        <v>0.33455882352941174</v>
      </c>
      <c r="I88" s="28">
        <f t="shared" ref="I88:I91" si="60">I87+E88</f>
        <v>7397</v>
      </c>
      <c r="J88" s="28">
        <f t="shared" ref="J88:J91" si="61">J87+F88</f>
        <v>6163</v>
      </c>
      <c r="K88" s="28">
        <f>Table3[[#This Row],[Calls Off]]+K87</f>
        <v>25748</v>
      </c>
      <c r="L88" s="28">
        <f>Table3[[#This Row],[Calls Ans]]+L87</f>
        <v>21766</v>
      </c>
      <c r="M88" s="64">
        <v>0.75</v>
      </c>
      <c r="N88" s="64">
        <v>0.08</v>
      </c>
      <c r="O88" s="64">
        <v>0.92</v>
      </c>
      <c r="P88" s="64">
        <v>0.5</v>
      </c>
      <c r="Q88" s="82">
        <v>1</v>
      </c>
      <c r="R88" s="272">
        <v>80</v>
      </c>
      <c r="S88" s="157">
        <v>0.13541666666666666</v>
      </c>
      <c r="T88" s="106">
        <v>5</v>
      </c>
      <c r="U88" s="63" t="str">
        <f t="shared" si="46"/>
        <v>Normal</v>
      </c>
      <c r="V88" s="63" t="str">
        <f t="shared" si="47"/>
        <v>Outlier</v>
      </c>
      <c r="W88" s="18">
        <f t="shared" si="48"/>
        <v>0.21341463414634146</v>
      </c>
      <c r="X88" s="18">
        <f t="shared" si="49"/>
        <v>0.33455882352941174</v>
      </c>
    </row>
    <row r="89" spans="1:26">
      <c r="A89" s="24">
        <v>45470</v>
      </c>
      <c r="B89" s="392">
        <f>IF(YEAR(Table6[[#This Row],[Date]]) = 2024, WEEKNUM(Table6[[#This Row],[Date]])-13, WEEKNUM(Table6[[#This Row],[Date]])+40)</f>
        <v>13</v>
      </c>
      <c r="C89" s="31" t="s">
        <v>51</v>
      </c>
      <c r="D89" s="59" t="s">
        <v>48</v>
      </c>
      <c r="E89" s="1">
        <v>456</v>
      </c>
      <c r="F89" s="1">
        <v>402</v>
      </c>
      <c r="G89" s="61">
        <f t="shared" si="58"/>
        <v>0.66423357664233573</v>
      </c>
      <c r="H89" s="61">
        <f t="shared" si="59"/>
        <v>0.57647058823529407</v>
      </c>
      <c r="I89" s="1">
        <f t="shared" si="60"/>
        <v>7853</v>
      </c>
      <c r="J89" s="1">
        <f t="shared" si="61"/>
        <v>6565</v>
      </c>
      <c r="K89" s="1">
        <f>Table3[[#This Row],[Calls Off]]+K88</f>
        <v>26204</v>
      </c>
      <c r="L89" s="1">
        <f>Table3[[#This Row],[Calls Ans]]+L88</f>
        <v>22168</v>
      </c>
      <c r="M89" s="63">
        <v>0.67</v>
      </c>
      <c r="N89" s="63">
        <v>0.11</v>
      </c>
      <c r="O89" s="63">
        <v>0.89</v>
      </c>
      <c r="P89" s="63">
        <v>0.55000000000000004</v>
      </c>
      <c r="Q89" s="83">
        <v>1</v>
      </c>
      <c r="R89" s="271">
        <v>91</v>
      </c>
      <c r="S89" s="140">
        <v>0.14305555555555557</v>
      </c>
      <c r="T89" s="106">
        <v>5</v>
      </c>
      <c r="U89" s="63" t="str">
        <f t="shared" si="46"/>
        <v>Outlier</v>
      </c>
      <c r="V89" s="63" t="str">
        <f t="shared" si="47"/>
        <v>Outlier</v>
      </c>
      <c r="W89" s="18">
        <f t="shared" si="48"/>
        <v>0.66423357664233573</v>
      </c>
      <c r="X89" s="18">
        <f t="shared" si="49"/>
        <v>0.57647058823529407</v>
      </c>
    </row>
    <row r="90" spans="1:26">
      <c r="A90" s="24">
        <v>45471</v>
      </c>
      <c r="B90" s="392">
        <f>IF(YEAR(Table6[[#This Row],[Date]]) = 2024, WEEKNUM(Table6[[#This Row],[Date]])-13, WEEKNUM(Table6[[#This Row],[Date]])+40)</f>
        <v>13</v>
      </c>
      <c r="C90" s="30" t="s">
        <v>52</v>
      </c>
      <c r="D90" s="59" t="s">
        <v>48</v>
      </c>
      <c r="E90" s="28">
        <v>365</v>
      </c>
      <c r="F90" s="28">
        <v>318</v>
      </c>
      <c r="G90" s="60">
        <f t="shared" si="58"/>
        <v>0.44841269841269843</v>
      </c>
      <c r="H90" s="60">
        <f t="shared" si="59"/>
        <v>0.35897435897435898</v>
      </c>
      <c r="I90" s="28">
        <f t="shared" si="60"/>
        <v>8218</v>
      </c>
      <c r="J90" s="28">
        <f t="shared" si="61"/>
        <v>6883</v>
      </c>
      <c r="K90" s="28">
        <f>Table3[[#This Row],[Calls Off]]+K89</f>
        <v>26569</v>
      </c>
      <c r="L90" s="28">
        <f>Table3[[#This Row],[Calls Ans]]+L89</f>
        <v>22486</v>
      </c>
      <c r="M90" s="64">
        <v>0.6</v>
      </c>
      <c r="N90" s="64">
        <v>0.12</v>
      </c>
      <c r="O90" s="64">
        <v>0.88</v>
      </c>
      <c r="P90" s="64">
        <v>0.55000000000000004</v>
      </c>
      <c r="Q90" s="82">
        <v>1</v>
      </c>
      <c r="R90" s="272">
        <v>94</v>
      </c>
      <c r="S90" s="157">
        <v>0.13680555555555554</v>
      </c>
      <c r="T90" s="106">
        <v>4</v>
      </c>
      <c r="U90" s="63" t="str">
        <f t="shared" si="46"/>
        <v>Outlier</v>
      </c>
      <c r="V90" s="63" t="str">
        <f t="shared" si="47"/>
        <v>Outlier</v>
      </c>
      <c r="W90" s="18">
        <f t="shared" si="48"/>
        <v>0.44841269841269843</v>
      </c>
      <c r="X90" s="18">
        <f t="shared" si="49"/>
        <v>0.35897435897435898</v>
      </c>
    </row>
    <row r="91" spans="1:26">
      <c r="A91" s="24">
        <v>45472</v>
      </c>
      <c r="B91" s="392">
        <f>IF(YEAR(Table6[[#This Row],[Date]]) = 2024, WEEKNUM(Table6[[#This Row],[Date]])-13, WEEKNUM(Table6[[#This Row],[Date]])+40)</f>
        <v>13</v>
      </c>
      <c r="C91" s="31" t="s">
        <v>53</v>
      </c>
      <c r="D91" s="59" t="s">
        <v>48</v>
      </c>
      <c r="E91" s="1">
        <v>224</v>
      </c>
      <c r="F91" s="1">
        <v>182</v>
      </c>
      <c r="G91" s="61">
        <f t="shared" si="58"/>
        <v>0.17277486910994763</v>
      </c>
      <c r="H91" s="61">
        <f t="shared" si="59"/>
        <v>7.6923076923076927E-2</v>
      </c>
      <c r="I91" s="1">
        <f t="shared" si="60"/>
        <v>8442</v>
      </c>
      <c r="J91" s="1">
        <f t="shared" si="61"/>
        <v>7065</v>
      </c>
      <c r="K91" s="1">
        <f>Table3[[#This Row],[Calls Off]]+K90</f>
        <v>26793</v>
      </c>
      <c r="L91" s="1">
        <f>Table3[[#This Row],[Calls Ans]]+L90</f>
        <v>22668</v>
      </c>
      <c r="M91" s="63">
        <v>0.56000000000000005</v>
      </c>
      <c r="N91" s="63">
        <v>0.18</v>
      </c>
      <c r="O91" s="63">
        <v>0.65</v>
      </c>
      <c r="P91" s="63">
        <v>0.42</v>
      </c>
      <c r="Q91" s="83">
        <v>1</v>
      </c>
      <c r="R91" s="271">
        <v>154</v>
      </c>
      <c r="S91" s="140">
        <v>0.13541666666666666</v>
      </c>
      <c r="T91" s="106">
        <v>3</v>
      </c>
      <c r="U91" s="63" t="str">
        <f t="shared" si="46"/>
        <v>Normal</v>
      </c>
      <c r="V91" s="63" t="str">
        <f t="shared" si="47"/>
        <v>Normal</v>
      </c>
      <c r="W91" s="18">
        <f t="shared" si="48"/>
        <v>0.17277486910994763</v>
      </c>
      <c r="X91" s="18">
        <f t="shared" si="49"/>
        <v>7.6923076923076927E-2</v>
      </c>
    </row>
    <row r="92" spans="1:26">
      <c r="A92" s="24">
        <v>45473</v>
      </c>
      <c r="B92" s="392">
        <f>IF(YEAR(Table6[[#This Row],[Date]]) = 2024, WEEKNUM(Table6[[#This Row],[Date]])-13, WEEKNUM(Table6[[#This Row],[Date]])+40)</f>
        <v>14</v>
      </c>
      <c r="C92" s="30" t="s">
        <v>54</v>
      </c>
      <c r="D92" s="59" t="s">
        <v>48</v>
      </c>
      <c r="E92" s="28">
        <v>0</v>
      </c>
      <c r="F92" s="28">
        <v>0</v>
      </c>
      <c r="G92" s="60">
        <v>0</v>
      </c>
      <c r="H92" s="60">
        <v>0</v>
      </c>
      <c r="I92" s="28">
        <v>0</v>
      </c>
      <c r="J92" s="28">
        <v>0</v>
      </c>
      <c r="K92" s="28">
        <v>0</v>
      </c>
      <c r="L92" s="28">
        <v>0</v>
      </c>
      <c r="M92" s="64">
        <v>0</v>
      </c>
      <c r="N92" s="64">
        <v>0</v>
      </c>
      <c r="O92" s="64">
        <v>0</v>
      </c>
      <c r="P92" s="64">
        <v>0</v>
      </c>
      <c r="Q92" s="82">
        <v>0</v>
      </c>
      <c r="R92" s="272">
        <v>0</v>
      </c>
      <c r="S92" s="157">
        <v>0</v>
      </c>
      <c r="T92" s="106">
        <v>0</v>
      </c>
      <c r="U92" s="63" t="str">
        <f t="shared" si="46"/>
        <v>Normal</v>
      </c>
      <c r="V92" s="63" t="str">
        <f t="shared" si="47"/>
        <v>Normal</v>
      </c>
      <c r="W92" s="18">
        <f t="shared" si="48"/>
        <v>0</v>
      </c>
      <c r="X92" s="18">
        <f t="shared" si="49"/>
        <v>0</v>
      </c>
    </row>
    <row r="93" spans="1:26">
      <c r="A93" s="24">
        <v>45474</v>
      </c>
      <c r="B93" s="392">
        <f>IF(YEAR(Table6[[#This Row],[Date]]) = 2024, WEEKNUM(Table6[[#This Row],[Date]])-13, WEEKNUM(Table6[[#This Row],[Date]])+40)</f>
        <v>14</v>
      </c>
      <c r="C93" s="31" t="s">
        <v>55</v>
      </c>
      <c r="D93" s="59" t="s">
        <v>48</v>
      </c>
      <c r="E93" s="1">
        <v>0</v>
      </c>
      <c r="F93" s="1">
        <v>0</v>
      </c>
      <c r="G93" s="61">
        <v>0</v>
      </c>
      <c r="H93" s="61">
        <v>0</v>
      </c>
      <c r="I93" s="1">
        <v>0</v>
      </c>
      <c r="J93" s="1">
        <v>0</v>
      </c>
      <c r="K93" s="1">
        <v>0</v>
      </c>
      <c r="L93" s="1">
        <v>0</v>
      </c>
      <c r="M93" s="63">
        <v>0</v>
      </c>
      <c r="N93" s="63">
        <v>0</v>
      </c>
      <c r="O93" s="63">
        <v>0</v>
      </c>
      <c r="P93" s="63">
        <v>0</v>
      </c>
      <c r="Q93" s="83">
        <v>0</v>
      </c>
      <c r="R93" s="271">
        <v>0</v>
      </c>
      <c r="S93" s="140">
        <v>0</v>
      </c>
      <c r="T93" s="106">
        <v>0</v>
      </c>
      <c r="U93" s="63" t="str">
        <f t="shared" si="46"/>
        <v>Normal</v>
      </c>
      <c r="V93" s="63" t="str">
        <f t="shared" si="47"/>
        <v>Normal</v>
      </c>
      <c r="W93" s="18">
        <f t="shared" si="48"/>
        <v>0</v>
      </c>
      <c r="X93" s="18">
        <f t="shared" si="49"/>
        <v>0</v>
      </c>
      <c r="Z93" t="s">
        <v>147</v>
      </c>
    </row>
    <row r="94" spans="1:26">
      <c r="A94" s="24">
        <v>45475</v>
      </c>
      <c r="B94" s="392">
        <f>IF(YEAR(Table6[[#This Row],[Date]]) = 2024, WEEKNUM(Table6[[#This Row],[Date]])-13, WEEKNUM(Table6[[#This Row],[Date]])+40)</f>
        <v>14</v>
      </c>
      <c r="C94" s="30" t="s">
        <v>49</v>
      </c>
      <c r="D94" s="59" t="s">
        <v>48</v>
      </c>
      <c r="E94" s="28">
        <v>256</v>
      </c>
      <c r="F94" s="28">
        <v>159</v>
      </c>
      <c r="G94" s="60">
        <f t="shared" ref="G94:G98" si="62">(E94-E87)/E87</f>
        <v>-0.42984409799554568</v>
      </c>
      <c r="H94" s="60">
        <f t="shared" ref="H94:H98" si="63">(F94-F87)/F87</f>
        <v>-0.54046242774566478</v>
      </c>
      <c r="I94" s="28">
        <f>E94</f>
        <v>256</v>
      </c>
      <c r="J94" s="28">
        <f>F94</f>
        <v>159</v>
      </c>
      <c r="K94" s="28">
        <f>Table3[[#This Row],[Calls Off]]+K91</f>
        <v>27049</v>
      </c>
      <c r="L94" s="28">
        <f>Table3[[#This Row],[Calls Ans]]+L91</f>
        <v>22827</v>
      </c>
      <c r="M94" s="64">
        <v>0.36</v>
      </c>
      <c r="N94" s="64">
        <v>0.36</v>
      </c>
      <c r="O94" s="64">
        <v>0.64</v>
      </c>
      <c r="P94" s="64">
        <v>0.55000000000000004</v>
      </c>
      <c r="Q94" s="82">
        <v>1</v>
      </c>
      <c r="R94" s="272">
        <v>224</v>
      </c>
      <c r="S94" s="157">
        <v>0.27777777777777779</v>
      </c>
      <c r="T94" s="106">
        <v>2</v>
      </c>
      <c r="U94" s="63" t="str">
        <f t="shared" si="46"/>
        <v>Outlier</v>
      </c>
      <c r="V94" s="63" t="str">
        <f t="shared" si="47"/>
        <v>Outlier</v>
      </c>
      <c r="W94" s="18">
        <f t="shared" si="48"/>
        <v>-0.42984409799554568</v>
      </c>
      <c r="X94" s="18">
        <f t="shared" si="49"/>
        <v>-0.54046242774566478</v>
      </c>
    </row>
    <row r="95" spans="1:26">
      <c r="A95" s="24">
        <v>45476</v>
      </c>
      <c r="B95" s="392">
        <f>IF(YEAR(Table6[[#This Row],[Date]]) = 2024, WEEKNUM(Table6[[#This Row],[Date]])-13, WEEKNUM(Table6[[#This Row],[Date]])+40)</f>
        <v>14</v>
      </c>
      <c r="C95" s="31" t="s">
        <v>50</v>
      </c>
      <c r="D95" s="59" t="s">
        <v>48</v>
      </c>
      <c r="E95" s="1">
        <v>196</v>
      </c>
      <c r="F95" s="1">
        <v>165</v>
      </c>
      <c r="G95" s="61">
        <f t="shared" si="62"/>
        <v>-0.50753768844221103</v>
      </c>
      <c r="H95" s="61">
        <f t="shared" si="63"/>
        <v>-0.54545454545454541</v>
      </c>
      <c r="I95" s="1">
        <f t="shared" ref="I95:I98" si="64">I94+E95</f>
        <v>452</v>
      </c>
      <c r="J95" s="1">
        <f t="shared" ref="J95:J98" si="65">J94+F95</f>
        <v>324</v>
      </c>
      <c r="K95" s="1">
        <f>Table3[[#This Row],[Calls Off]]+K94</f>
        <v>27245</v>
      </c>
      <c r="L95" s="1">
        <f>Table3[[#This Row],[Calls Ans]]+L94</f>
        <v>22992</v>
      </c>
      <c r="M95" s="63">
        <v>0.67</v>
      </c>
      <c r="N95" s="63">
        <v>0.16</v>
      </c>
      <c r="O95" s="63">
        <v>0.84</v>
      </c>
      <c r="P95" s="63">
        <v>0.56999999999999995</v>
      </c>
      <c r="Q95" s="83">
        <v>1</v>
      </c>
      <c r="R95" s="271">
        <v>195</v>
      </c>
      <c r="S95" s="140">
        <v>9.3055555555555558E-2</v>
      </c>
      <c r="T95" s="106">
        <v>3</v>
      </c>
      <c r="U95" s="63" t="str">
        <f t="shared" si="46"/>
        <v>Outlier</v>
      </c>
      <c r="V95" s="63" t="str">
        <f t="shared" si="47"/>
        <v>Outlier</v>
      </c>
      <c r="W95" s="18">
        <f t="shared" si="48"/>
        <v>-0.50753768844221103</v>
      </c>
      <c r="X95" s="18">
        <f t="shared" si="49"/>
        <v>-0.54545454545454541</v>
      </c>
    </row>
    <row r="96" spans="1:26">
      <c r="A96" s="24">
        <v>45477</v>
      </c>
      <c r="B96" s="392">
        <f>IF(YEAR(Table6[[#This Row],[Date]]) = 2024, WEEKNUM(Table6[[#This Row],[Date]])-13, WEEKNUM(Table6[[#This Row],[Date]])+40)</f>
        <v>14</v>
      </c>
      <c r="C96" s="30" t="s">
        <v>51</v>
      </c>
      <c r="D96" s="59" t="s">
        <v>48</v>
      </c>
      <c r="E96" s="28">
        <v>405</v>
      </c>
      <c r="F96" s="28">
        <v>367</v>
      </c>
      <c r="G96" s="60">
        <f t="shared" si="62"/>
        <v>-0.1118421052631579</v>
      </c>
      <c r="H96" s="60">
        <f t="shared" si="63"/>
        <v>-8.7064676616915429E-2</v>
      </c>
      <c r="I96" s="28">
        <f t="shared" si="64"/>
        <v>857</v>
      </c>
      <c r="J96" s="28">
        <f t="shared" si="65"/>
        <v>691</v>
      </c>
      <c r="K96" s="28">
        <f>Table3[[#This Row],[Calls Off]]+K95</f>
        <v>27650</v>
      </c>
      <c r="L96" s="28">
        <f>Table3[[#This Row],[Calls Ans]]+L95</f>
        <v>23359</v>
      </c>
      <c r="M96" s="64">
        <v>0.8</v>
      </c>
      <c r="N96" s="64">
        <v>0.09</v>
      </c>
      <c r="O96" s="64">
        <v>0.91</v>
      </c>
      <c r="P96" s="64">
        <v>0.51</v>
      </c>
      <c r="Q96" s="82">
        <v>1</v>
      </c>
      <c r="R96" s="272">
        <v>187</v>
      </c>
      <c r="S96" s="157">
        <v>3.6111111111111115E-2</v>
      </c>
      <c r="T96" s="106">
        <v>5</v>
      </c>
      <c r="U96" s="63" t="str">
        <f t="shared" si="46"/>
        <v>Normal</v>
      </c>
      <c r="V96" s="63" t="str">
        <f t="shared" si="47"/>
        <v>Normal</v>
      </c>
      <c r="W96" s="18">
        <f t="shared" si="48"/>
        <v>-0.1118421052631579</v>
      </c>
      <c r="X96" s="18">
        <f t="shared" si="49"/>
        <v>-8.7064676616915429E-2</v>
      </c>
    </row>
    <row r="97" spans="1:24">
      <c r="A97" s="24">
        <v>45478</v>
      </c>
      <c r="B97" s="392">
        <f>IF(YEAR(Table6[[#This Row],[Date]]) = 2024, WEEKNUM(Table6[[#This Row],[Date]])-13, WEEKNUM(Table6[[#This Row],[Date]])+40)</f>
        <v>14</v>
      </c>
      <c r="C97" s="31" t="s">
        <v>52</v>
      </c>
      <c r="D97" s="59" t="s">
        <v>48</v>
      </c>
      <c r="E97" s="1">
        <v>352</v>
      </c>
      <c r="F97" s="1">
        <v>326</v>
      </c>
      <c r="G97" s="61">
        <f t="shared" si="62"/>
        <v>-3.5616438356164383E-2</v>
      </c>
      <c r="H97" s="61">
        <f t="shared" si="63"/>
        <v>2.5157232704402517E-2</v>
      </c>
      <c r="I97" s="1">
        <f t="shared" si="64"/>
        <v>1209</v>
      </c>
      <c r="J97" s="1">
        <f t="shared" si="65"/>
        <v>1017</v>
      </c>
      <c r="K97" s="1">
        <f>Table3[[#This Row],[Calls Off]]+K96</f>
        <v>28002</v>
      </c>
      <c r="L97" s="1">
        <f>Table3[[#This Row],[Calls Ans]]+L96</f>
        <v>23685</v>
      </c>
      <c r="M97" s="63">
        <v>0.78</v>
      </c>
      <c r="N97" s="63">
        <v>7.0000000000000007E-2</v>
      </c>
      <c r="O97" s="63">
        <v>0.93</v>
      </c>
      <c r="P97" s="63">
        <v>0.45</v>
      </c>
      <c r="Q97" s="83">
        <v>1</v>
      </c>
      <c r="R97" s="271">
        <v>211</v>
      </c>
      <c r="S97" s="140">
        <v>6.8749999999999992E-2</v>
      </c>
      <c r="T97" s="106">
        <v>5</v>
      </c>
      <c r="U97" s="63" t="str">
        <f t="shared" si="46"/>
        <v>Normal</v>
      </c>
      <c r="V97" s="63" t="str">
        <f t="shared" si="47"/>
        <v>Normal</v>
      </c>
      <c r="W97" s="18">
        <f t="shared" si="48"/>
        <v>-3.5616438356164383E-2</v>
      </c>
      <c r="X97" s="18">
        <f t="shared" si="49"/>
        <v>2.5157232704402517E-2</v>
      </c>
    </row>
    <row r="98" spans="1:24">
      <c r="A98" s="24">
        <v>45479</v>
      </c>
      <c r="B98" s="392">
        <f>IF(YEAR(Table6[[#This Row],[Date]]) = 2024, WEEKNUM(Table6[[#This Row],[Date]])-13, WEEKNUM(Table6[[#This Row],[Date]])+40)</f>
        <v>14</v>
      </c>
      <c r="C98" s="30" t="s">
        <v>53</v>
      </c>
      <c r="D98" s="59" t="s">
        <v>48</v>
      </c>
      <c r="E98" s="28">
        <v>195</v>
      </c>
      <c r="F98" s="28">
        <v>184</v>
      </c>
      <c r="G98" s="60">
        <f t="shared" si="62"/>
        <v>-0.12946428571428573</v>
      </c>
      <c r="H98" s="60">
        <f t="shared" si="63"/>
        <v>1.098901098901099E-2</v>
      </c>
      <c r="I98" s="28">
        <f t="shared" si="64"/>
        <v>1404</v>
      </c>
      <c r="J98" s="28">
        <f t="shared" si="65"/>
        <v>1201</v>
      </c>
      <c r="K98" s="28">
        <f>Table3[[#This Row],[Calls Off]]+K97</f>
        <v>28197</v>
      </c>
      <c r="L98" s="28">
        <f>Table3[[#This Row],[Calls Ans]]+L97</f>
        <v>23869</v>
      </c>
      <c r="M98" s="64">
        <v>0.87</v>
      </c>
      <c r="N98" s="64">
        <v>0.06</v>
      </c>
      <c r="O98" s="64">
        <v>0.94</v>
      </c>
      <c r="P98" s="64">
        <v>0.32</v>
      </c>
      <c r="Q98" s="82">
        <v>1</v>
      </c>
      <c r="R98" s="272">
        <v>188</v>
      </c>
      <c r="S98" s="157">
        <v>2.7777777777777776E-2</v>
      </c>
      <c r="T98" s="106">
        <v>4</v>
      </c>
      <c r="U98" s="63" t="str">
        <f t="shared" si="46"/>
        <v>Normal</v>
      </c>
      <c r="V98" s="63" t="str">
        <f t="shared" si="47"/>
        <v>Normal</v>
      </c>
      <c r="W98" s="18">
        <f t="shared" si="48"/>
        <v>-0.12946428571428573</v>
      </c>
      <c r="X98" s="18">
        <f t="shared" si="49"/>
        <v>1.098901098901099E-2</v>
      </c>
    </row>
    <row r="99" spans="1:24">
      <c r="A99" s="24">
        <v>45480</v>
      </c>
      <c r="B99" s="392">
        <f>IF(YEAR(Table6[[#This Row],[Date]]) = 2024, WEEKNUM(Table6[[#This Row],[Date]])-13, WEEKNUM(Table6[[#This Row],[Date]])+40)</f>
        <v>15</v>
      </c>
      <c r="C99" s="31" t="s">
        <v>54</v>
      </c>
      <c r="D99" s="59" t="s">
        <v>48</v>
      </c>
      <c r="E99" s="1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v>0</v>
      </c>
      <c r="L99" s="1">
        <v>0</v>
      </c>
      <c r="M99" s="63">
        <v>0</v>
      </c>
      <c r="N99" s="63">
        <v>0</v>
      </c>
      <c r="O99" s="63">
        <v>0</v>
      </c>
      <c r="P99" s="63">
        <v>0</v>
      </c>
      <c r="Q99" s="83">
        <v>0</v>
      </c>
      <c r="R99" s="271">
        <v>0</v>
      </c>
      <c r="S99" s="140">
        <v>0</v>
      </c>
      <c r="T99" s="106">
        <v>0</v>
      </c>
      <c r="U99" s="63" t="str">
        <f t="shared" si="46"/>
        <v>Normal</v>
      </c>
      <c r="V99" s="63" t="str">
        <f t="shared" si="47"/>
        <v>Normal</v>
      </c>
      <c r="W99" s="18">
        <f t="shared" si="48"/>
        <v>0</v>
      </c>
      <c r="X99" s="18">
        <f t="shared" si="49"/>
        <v>0</v>
      </c>
    </row>
    <row r="100" spans="1:24">
      <c r="A100" s="24">
        <v>45481</v>
      </c>
      <c r="B100" s="392">
        <f>IF(YEAR(Table6[[#This Row],[Date]]) = 2024, WEEKNUM(Table6[[#This Row],[Date]])-13, WEEKNUM(Table6[[#This Row],[Date]])+40)</f>
        <v>15</v>
      </c>
      <c r="C100" s="30" t="s">
        <v>55</v>
      </c>
      <c r="D100" s="59" t="s">
        <v>48</v>
      </c>
      <c r="E100" s="28">
        <v>434</v>
      </c>
      <c r="F100" s="28">
        <v>348</v>
      </c>
      <c r="G100" s="60">
        <v>0</v>
      </c>
      <c r="H100" s="60">
        <v>0</v>
      </c>
      <c r="I100" s="28">
        <f>I98+E100</f>
        <v>1838</v>
      </c>
      <c r="J100" s="28">
        <f>J98+F100</f>
        <v>1549</v>
      </c>
      <c r="K100" s="28">
        <f>Table3[[#This Row],[Calls Off]]+K98</f>
        <v>28631</v>
      </c>
      <c r="L100" s="28">
        <f>Table3[[#This Row],[Calls Ans]]+L98</f>
        <v>24217</v>
      </c>
      <c r="M100" s="64">
        <v>0.59</v>
      </c>
      <c r="N100" s="64">
        <v>0.2</v>
      </c>
      <c r="O100" s="64">
        <v>0.8</v>
      </c>
      <c r="P100" s="64">
        <v>0.8</v>
      </c>
      <c r="Q100" s="82">
        <v>1</v>
      </c>
      <c r="R100" s="272">
        <v>196</v>
      </c>
      <c r="S100" s="157">
        <v>0.12569444444444444</v>
      </c>
      <c r="T100" s="106">
        <v>3</v>
      </c>
      <c r="U100" s="63" t="str">
        <f t="shared" si="46"/>
        <v>Normal</v>
      </c>
      <c r="V100" s="63" t="str">
        <f t="shared" si="47"/>
        <v>Normal</v>
      </c>
      <c r="W100" s="18">
        <f t="shared" si="48"/>
        <v>0</v>
      </c>
      <c r="X100" s="18">
        <f t="shared" si="49"/>
        <v>0</v>
      </c>
    </row>
    <row r="101" spans="1:24">
      <c r="A101" s="24">
        <v>45482</v>
      </c>
      <c r="B101" s="392">
        <f>IF(YEAR(Table6[[#This Row],[Date]]) = 2024, WEEKNUM(Table6[[#This Row],[Date]])-13, WEEKNUM(Table6[[#This Row],[Date]])+40)</f>
        <v>15</v>
      </c>
      <c r="C101" s="31" t="s">
        <v>49</v>
      </c>
      <c r="D101" s="59" t="s">
        <v>48</v>
      </c>
      <c r="E101" s="1">
        <v>418</v>
      </c>
      <c r="F101" s="1">
        <v>313</v>
      </c>
      <c r="G101" s="61">
        <f t="shared" ref="G101:G105" si="66">(E101-E94)/E94</f>
        <v>0.6328125</v>
      </c>
      <c r="H101" s="61">
        <f t="shared" ref="H101:H105" si="67">(F101-F94)/F94</f>
        <v>0.96855345911949686</v>
      </c>
      <c r="I101" s="1">
        <f>I100+E101</f>
        <v>2256</v>
      </c>
      <c r="J101" s="1">
        <f>J100+F101</f>
        <v>1862</v>
      </c>
      <c r="K101" s="1">
        <f>Table3[[#This Row],[Calls Off]]+K100</f>
        <v>29049</v>
      </c>
      <c r="L101" s="1">
        <f>Table3[[#This Row],[Calls Ans]]+L100</f>
        <v>24530</v>
      </c>
      <c r="M101" s="63">
        <v>0.45</v>
      </c>
      <c r="N101" s="63">
        <v>0.25</v>
      </c>
      <c r="O101" s="63">
        <v>0.75</v>
      </c>
      <c r="P101" s="63">
        <v>0.72</v>
      </c>
      <c r="Q101" s="83">
        <v>1</v>
      </c>
      <c r="R101" s="271">
        <v>205</v>
      </c>
      <c r="S101" s="140">
        <v>0.20902777777777778</v>
      </c>
      <c r="T101" s="106">
        <v>3</v>
      </c>
      <c r="U101" s="63" t="str">
        <f t="shared" si="46"/>
        <v>Outlier</v>
      </c>
      <c r="V101" s="63" t="str">
        <f t="shared" si="47"/>
        <v>Outlier</v>
      </c>
      <c r="W101" s="18">
        <f t="shared" si="48"/>
        <v>0.6328125</v>
      </c>
      <c r="X101" s="18">
        <f t="shared" si="49"/>
        <v>0.96855345911949686</v>
      </c>
    </row>
    <row r="102" spans="1:24">
      <c r="A102" s="24">
        <v>45483</v>
      </c>
      <c r="B102" s="392">
        <f>IF(YEAR(Table6[[#This Row],[Date]]) = 2024, WEEKNUM(Table6[[#This Row],[Date]])-13, WEEKNUM(Table6[[#This Row],[Date]])+40)</f>
        <v>15</v>
      </c>
      <c r="C102" s="30" t="s">
        <v>50</v>
      </c>
      <c r="D102" s="59" t="s">
        <v>48</v>
      </c>
      <c r="E102" s="28">
        <v>353</v>
      </c>
      <c r="F102" s="28">
        <v>260</v>
      </c>
      <c r="G102" s="60">
        <f t="shared" si="66"/>
        <v>0.80102040816326525</v>
      </c>
      <c r="H102" s="60">
        <f t="shared" si="67"/>
        <v>0.5757575757575758</v>
      </c>
      <c r="I102" s="28">
        <f t="shared" ref="I102:I105" si="68">I101+E102</f>
        <v>2609</v>
      </c>
      <c r="J102" s="28">
        <f t="shared" ref="J102:J105" si="69">J101+F102</f>
        <v>2122</v>
      </c>
      <c r="K102" s="28">
        <f>Table3[[#This Row],[Calls Off]]+K101</f>
        <v>29402</v>
      </c>
      <c r="L102" s="28">
        <f>Table3[[#This Row],[Calls Ans]]+L101</f>
        <v>24790</v>
      </c>
      <c r="M102" s="64">
        <v>0.44</v>
      </c>
      <c r="N102" s="64">
        <v>0.26</v>
      </c>
      <c r="O102" s="64">
        <v>0.74</v>
      </c>
      <c r="P102" s="64">
        <v>0.9</v>
      </c>
      <c r="Q102" s="82">
        <v>1</v>
      </c>
      <c r="R102" s="272">
        <v>196</v>
      </c>
      <c r="S102" s="157">
        <v>0.21180555555555555</v>
      </c>
      <c r="T102" s="106">
        <v>2</v>
      </c>
      <c r="U102" s="63" t="str">
        <f t="shared" si="46"/>
        <v>Outlier</v>
      </c>
      <c r="V102" s="63" t="str">
        <f t="shared" si="47"/>
        <v>Outlier</v>
      </c>
      <c r="W102" s="18">
        <f t="shared" si="48"/>
        <v>0.80102040816326525</v>
      </c>
      <c r="X102" s="18">
        <f t="shared" si="49"/>
        <v>0.5757575757575758</v>
      </c>
    </row>
    <row r="103" spans="1:24">
      <c r="A103" s="24">
        <v>45484</v>
      </c>
      <c r="B103" s="392">
        <f>IF(YEAR(Table6[[#This Row],[Date]]) = 2024, WEEKNUM(Table6[[#This Row],[Date]])-13, WEEKNUM(Table6[[#This Row],[Date]])+40)</f>
        <v>15</v>
      </c>
      <c r="C103" s="31" t="s">
        <v>51</v>
      </c>
      <c r="D103" s="59" t="s">
        <v>48</v>
      </c>
      <c r="E103" s="1">
        <v>332</v>
      </c>
      <c r="F103" s="1">
        <v>260</v>
      </c>
      <c r="G103" s="61">
        <f t="shared" si="66"/>
        <v>-0.18024691358024691</v>
      </c>
      <c r="H103" s="61">
        <f t="shared" si="67"/>
        <v>-0.29155313351498635</v>
      </c>
      <c r="I103" s="1">
        <f t="shared" si="68"/>
        <v>2941</v>
      </c>
      <c r="J103" s="1">
        <f t="shared" si="69"/>
        <v>2382</v>
      </c>
      <c r="K103" s="1">
        <f>Table3[[#This Row],[Calls Off]]+K102</f>
        <v>29734</v>
      </c>
      <c r="L103" s="1">
        <f>Table3[[#This Row],[Calls Ans]]+L102</f>
        <v>25050</v>
      </c>
      <c r="M103" s="63">
        <v>0.55000000000000004</v>
      </c>
      <c r="N103" s="63">
        <v>0.22</v>
      </c>
      <c r="O103" s="63">
        <v>0.78</v>
      </c>
      <c r="P103" s="63">
        <v>0.6</v>
      </c>
      <c r="Q103" s="83">
        <v>1</v>
      </c>
      <c r="R103" s="271">
        <v>210</v>
      </c>
      <c r="S103" s="140">
        <v>0.16944444444444443</v>
      </c>
      <c r="T103" s="106">
        <v>3</v>
      </c>
      <c r="U103" s="63" t="str">
        <f t="shared" si="46"/>
        <v>Normal</v>
      </c>
      <c r="V103" s="63" t="str">
        <f t="shared" si="47"/>
        <v>Outlier</v>
      </c>
      <c r="W103" s="18">
        <f t="shared" si="48"/>
        <v>-0.18024691358024691</v>
      </c>
      <c r="X103" s="18">
        <f t="shared" si="49"/>
        <v>-0.29155313351498635</v>
      </c>
    </row>
    <row r="104" spans="1:24">
      <c r="A104" s="24">
        <v>45485</v>
      </c>
      <c r="B104" s="392">
        <f>IF(YEAR(Table6[[#This Row],[Date]]) = 2024, WEEKNUM(Table6[[#This Row],[Date]])-13, WEEKNUM(Table6[[#This Row],[Date]])+40)</f>
        <v>15</v>
      </c>
      <c r="C104" s="30" t="s">
        <v>52</v>
      </c>
      <c r="D104" s="59" t="s">
        <v>48</v>
      </c>
      <c r="E104" s="28">
        <v>431</v>
      </c>
      <c r="F104" s="28">
        <v>337</v>
      </c>
      <c r="G104" s="60">
        <f t="shared" si="66"/>
        <v>0.22443181818181818</v>
      </c>
      <c r="H104" s="60">
        <f t="shared" si="67"/>
        <v>3.3742331288343558E-2</v>
      </c>
      <c r="I104" s="28">
        <f t="shared" si="68"/>
        <v>3372</v>
      </c>
      <c r="J104" s="28">
        <f t="shared" si="69"/>
        <v>2719</v>
      </c>
      <c r="K104" s="28">
        <f>Table3[[#This Row],[Calls Off]]+K103</f>
        <v>30165</v>
      </c>
      <c r="L104" s="28">
        <f>Table3[[#This Row],[Calls Ans]]+L103</f>
        <v>25387</v>
      </c>
      <c r="M104" s="64">
        <v>0.5</v>
      </c>
      <c r="N104" s="64">
        <v>0.22</v>
      </c>
      <c r="O104" s="64">
        <v>0.78</v>
      </c>
      <c r="P104" s="64">
        <v>0.6</v>
      </c>
      <c r="Q104" s="82">
        <v>1</v>
      </c>
      <c r="R104" s="272">
        <v>196</v>
      </c>
      <c r="S104" s="157">
        <v>0.22569444444444445</v>
      </c>
      <c r="T104" s="106">
        <v>3</v>
      </c>
      <c r="U104" s="63" t="str">
        <f t="shared" si="46"/>
        <v>Normal</v>
      </c>
      <c r="V104" s="63" t="str">
        <f t="shared" si="47"/>
        <v>Normal</v>
      </c>
      <c r="W104" s="18">
        <f t="shared" si="48"/>
        <v>0.22443181818181818</v>
      </c>
      <c r="X104" s="18">
        <f t="shared" si="49"/>
        <v>3.3742331288343558E-2</v>
      </c>
    </row>
    <row r="105" spans="1:24">
      <c r="A105" s="24">
        <v>45486</v>
      </c>
      <c r="B105" s="392">
        <f>IF(YEAR(Table6[[#This Row],[Date]]) = 2024, WEEKNUM(Table6[[#This Row],[Date]])-13, WEEKNUM(Table6[[#This Row],[Date]])+40)</f>
        <v>15</v>
      </c>
      <c r="C105" s="31" t="s">
        <v>53</v>
      </c>
      <c r="D105" s="59" t="s">
        <v>48</v>
      </c>
      <c r="E105" s="1">
        <v>230</v>
      </c>
      <c r="F105" s="1">
        <v>190</v>
      </c>
      <c r="G105" s="61">
        <f t="shared" si="66"/>
        <v>0.17948717948717949</v>
      </c>
      <c r="H105" s="61">
        <f t="shared" si="67"/>
        <v>3.2608695652173912E-2</v>
      </c>
      <c r="I105" s="1">
        <f t="shared" si="68"/>
        <v>3602</v>
      </c>
      <c r="J105" s="1">
        <f t="shared" si="69"/>
        <v>2909</v>
      </c>
      <c r="K105" s="1">
        <f>Table3[[#This Row],[Calls Off]]+K104</f>
        <v>30395</v>
      </c>
      <c r="L105" s="1">
        <f>Table3[[#This Row],[Calls Ans]]+L104</f>
        <v>25577</v>
      </c>
      <c r="M105" s="63">
        <v>0.63</v>
      </c>
      <c r="N105" s="63">
        <v>0.17</v>
      </c>
      <c r="O105" s="63">
        <v>0.83</v>
      </c>
      <c r="P105" s="63">
        <v>0.44</v>
      </c>
      <c r="Q105" s="83">
        <v>1</v>
      </c>
      <c r="R105" s="271">
        <v>184</v>
      </c>
      <c r="S105" s="140">
        <v>9.6527777777777768E-2</v>
      </c>
      <c r="T105" s="106">
        <v>3</v>
      </c>
      <c r="U105" s="63" t="str">
        <f t="shared" si="46"/>
        <v>Normal</v>
      </c>
      <c r="V105" s="63" t="str">
        <f t="shared" si="47"/>
        <v>Normal</v>
      </c>
      <c r="W105" s="18">
        <f t="shared" si="48"/>
        <v>0.17948717948717949</v>
      </c>
      <c r="X105" s="18">
        <f t="shared" si="49"/>
        <v>3.2608695652173912E-2</v>
      </c>
    </row>
    <row r="106" spans="1:24">
      <c r="A106" s="24">
        <v>45487</v>
      </c>
      <c r="B106" s="392">
        <f>IF(YEAR(Table6[[#This Row],[Date]]) = 2024, WEEKNUM(Table6[[#This Row],[Date]])-13, WEEKNUM(Table6[[#This Row],[Date]])+40)</f>
        <v>16</v>
      </c>
      <c r="C106" s="30" t="s">
        <v>54</v>
      </c>
      <c r="D106" s="59" t="s">
        <v>48</v>
      </c>
      <c r="E106" s="28">
        <v>0</v>
      </c>
      <c r="F106" s="28">
        <v>0</v>
      </c>
      <c r="G106" s="60">
        <v>0</v>
      </c>
      <c r="H106" s="60">
        <v>0</v>
      </c>
      <c r="I106" s="28">
        <v>0</v>
      </c>
      <c r="J106" s="28">
        <v>0</v>
      </c>
      <c r="K106" s="28">
        <v>0</v>
      </c>
      <c r="L106" s="28">
        <v>0</v>
      </c>
      <c r="M106" s="64">
        <v>0</v>
      </c>
      <c r="N106" s="64">
        <v>0</v>
      </c>
      <c r="O106" s="64">
        <v>0</v>
      </c>
      <c r="P106" s="64">
        <v>0</v>
      </c>
      <c r="Q106" s="82">
        <v>0</v>
      </c>
      <c r="R106" s="272">
        <v>0</v>
      </c>
      <c r="S106" s="157">
        <v>0</v>
      </c>
      <c r="T106" s="106">
        <v>0</v>
      </c>
      <c r="U106" s="63" t="str">
        <f t="shared" si="46"/>
        <v>Normal</v>
      </c>
      <c r="V106" s="63" t="str">
        <f t="shared" si="47"/>
        <v>Normal</v>
      </c>
      <c r="W106" s="18">
        <f t="shared" si="48"/>
        <v>0</v>
      </c>
      <c r="X106" s="18">
        <f t="shared" si="49"/>
        <v>0</v>
      </c>
    </row>
    <row r="107" spans="1:24">
      <c r="A107" s="24">
        <v>45488</v>
      </c>
      <c r="B107" s="392">
        <f>IF(YEAR(Table6[[#This Row],[Date]]) = 2024, WEEKNUM(Table6[[#This Row],[Date]])-13, WEEKNUM(Table6[[#This Row],[Date]])+40)</f>
        <v>16</v>
      </c>
      <c r="C107" s="31" t="s">
        <v>55</v>
      </c>
      <c r="D107" s="59" t="s">
        <v>48</v>
      </c>
      <c r="E107" s="1">
        <v>509</v>
      </c>
      <c r="F107" s="1">
        <v>432</v>
      </c>
      <c r="G107" s="61">
        <v>0</v>
      </c>
      <c r="H107" s="61">
        <v>0</v>
      </c>
      <c r="I107" s="1">
        <f>I105+E107</f>
        <v>4111</v>
      </c>
      <c r="J107" s="1">
        <f>J105+F107</f>
        <v>3341</v>
      </c>
      <c r="K107" s="1">
        <f>Table3[[#This Row],[Calls Off]]+K105</f>
        <v>30904</v>
      </c>
      <c r="L107" s="1">
        <f>Table3[[#This Row],[Calls Ans]]+L105</f>
        <v>26009</v>
      </c>
      <c r="M107" s="63">
        <v>0.65</v>
      </c>
      <c r="N107" s="63">
        <v>0.15</v>
      </c>
      <c r="O107" s="63">
        <v>0.85</v>
      </c>
      <c r="P107" s="63">
        <v>0.74</v>
      </c>
      <c r="Q107" s="83">
        <v>1</v>
      </c>
      <c r="R107" s="271">
        <v>216</v>
      </c>
      <c r="S107" s="140">
        <v>8.1250000000000003E-2</v>
      </c>
      <c r="T107" s="106">
        <v>4</v>
      </c>
      <c r="U107" s="63" t="str">
        <f t="shared" si="46"/>
        <v>Normal</v>
      </c>
      <c r="V107" s="63" t="str">
        <f t="shared" si="47"/>
        <v>Normal</v>
      </c>
      <c r="W107" s="18">
        <f t="shared" si="48"/>
        <v>0</v>
      </c>
      <c r="X107" s="18">
        <f t="shared" si="49"/>
        <v>0</v>
      </c>
    </row>
    <row r="108" spans="1:24">
      <c r="A108" s="24">
        <v>45489</v>
      </c>
      <c r="B108" s="392">
        <f>IF(YEAR(Table6[[#This Row],[Date]]) = 2024, WEEKNUM(Table6[[#This Row],[Date]])-13, WEEKNUM(Table6[[#This Row],[Date]])+40)</f>
        <v>16</v>
      </c>
      <c r="C108" s="30" t="s">
        <v>49</v>
      </c>
      <c r="D108" s="59" t="s">
        <v>48</v>
      </c>
      <c r="E108" s="28">
        <v>315</v>
      </c>
      <c r="F108" s="28">
        <v>177</v>
      </c>
      <c r="G108" s="60">
        <f t="shared" ref="G108:G112" si="70">(E108-E101)/E101</f>
        <v>-0.24641148325358853</v>
      </c>
      <c r="H108" s="60">
        <f t="shared" ref="H108:H112" si="71">(F108-F101)/F101</f>
        <v>-0.43450479233226835</v>
      </c>
      <c r="I108" s="28">
        <f>I107+E108</f>
        <v>4426</v>
      </c>
      <c r="J108" s="28">
        <f>J107+F108</f>
        <v>3518</v>
      </c>
      <c r="K108" s="28">
        <f>Table3[[#This Row],[Calls Off]]+K107</f>
        <v>31219</v>
      </c>
      <c r="L108" s="28">
        <f>Table3[[#This Row],[Calls Ans]]+L107</f>
        <v>26186</v>
      </c>
      <c r="M108" s="64">
        <v>0.3</v>
      </c>
      <c r="N108" s="64">
        <v>0.42</v>
      </c>
      <c r="O108" s="64">
        <v>0.57999999999999996</v>
      </c>
      <c r="P108" s="64">
        <v>0.41</v>
      </c>
      <c r="Q108" s="82">
        <v>1</v>
      </c>
      <c r="R108" s="272">
        <v>469</v>
      </c>
      <c r="S108" s="157">
        <v>0.14930555555555555</v>
      </c>
      <c r="T108" s="106">
        <v>3</v>
      </c>
      <c r="U108" s="63" t="str">
        <f t="shared" si="46"/>
        <v>Normal</v>
      </c>
      <c r="V108" s="63" t="str">
        <f t="shared" si="47"/>
        <v>Outlier</v>
      </c>
      <c r="W108" s="18">
        <f t="shared" si="48"/>
        <v>-0.24641148325358853</v>
      </c>
      <c r="X108" s="18">
        <f t="shared" si="49"/>
        <v>-0.43450479233226835</v>
      </c>
    </row>
    <row r="109" spans="1:24">
      <c r="A109" s="24">
        <v>45490</v>
      </c>
      <c r="B109" s="393">
        <f>IF(YEAR(Table6[[#This Row],[Date]]) = 2024, WEEKNUM(Table6[[#This Row],[Date]])-13, WEEKNUM(Table6[[#This Row],[Date]])+40)</f>
        <v>16</v>
      </c>
      <c r="C109" s="85" t="s">
        <v>50</v>
      </c>
      <c r="D109" s="59" t="s">
        <v>48</v>
      </c>
      <c r="E109" s="34">
        <v>366</v>
      </c>
      <c r="F109" s="34">
        <v>332</v>
      </c>
      <c r="G109" s="76">
        <f t="shared" si="70"/>
        <v>3.6827195467422094E-2</v>
      </c>
      <c r="H109" s="76">
        <f t="shared" si="71"/>
        <v>0.27692307692307694</v>
      </c>
      <c r="I109" s="34">
        <f t="shared" ref="I109:I112" si="72">I108+E109</f>
        <v>4792</v>
      </c>
      <c r="J109" s="34">
        <f t="shared" ref="J109:J112" si="73">J108+F109</f>
        <v>3850</v>
      </c>
      <c r="K109" s="34">
        <f>Table3[[#This Row],[Calls Off]]+K108</f>
        <v>31585</v>
      </c>
      <c r="L109" s="34">
        <f>Table3[[#This Row],[Calls Ans]]+L108</f>
        <v>26518</v>
      </c>
      <c r="M109" s="86">
        <v>0.75</v>
      </c>
      <c r="N109" s="86">
        <v>0.09</v>
      </c>
      <c r="O109" s="86">
        <v>0.91</v>
      </c>
      <c r="P109" s="86">
        <v>0.56999999999999995</v>
      </c>
      <c r="Q109" s="87">
        <v>1</v>
      </c>
      <c r="R109" s="274">
        <v>176</v>
      </c>
      <c r="S109" s="158">
        <v>4.4444444444444446E-2</v>
      </c>
      <c r="T109" s="106">
        <v>4</v>
      </c>
      <c r="U109" s="63" t="str">
        <f t="shared" si="46"/>
        <v>Normal</v>
      </c>
      <c r="V109" s="63" t="str">
        <f t="shared" si="47"/>
        <v>Outlier</v>
      </c>
      <c r="W109" s="18">
        <f t="shared" si="48"/>
        <v>3.6827195467422094E-2</v>
      </c>
      <c r="X109" s="18">
        <f t="shared" si="49"/>
        <v>0.27692307692307694</v>
      </c>
    </row>
    <row r="110" spans="1:24">
      <c r="A110" s="24">
        <v>45491</v>
      </c>
      <c r="B110" s="392">
        <f>IF(YEAR(Table6[[#This Row],[Date]]) = 2024, WEEKNUM(Table6[[#This Row],[Date]])-13, WEEKNUM(Table6[[#This Row],[Date]])+40)</f>
        <v>16</v>
      </c>
      <c r="C110" s="31" t="s">
        <v>51</v>
      </c>
      <c r="D110" s="59" t="s">
        <v>48</v>
      </c>
      <c r="E110" s="1">
        <v>376</v>
      </c>
      <c r="F110" s="1">
        <v>281</v>
      </c>
      <c r="G110" s="60">
        <f t="shared" si="70"/>
        <v>0.13253012048192772</v>
      </c>
      <c r="H110" s="60">
        <f t="shared" si="71"/>
        <v>8.0769230769230774E-2</v>
      </c>
      <c r="I110" s="28">
        <f t="shared" si="72"/>
        <v>5168</v>
      </c>
      <c r="J110" s="28">
        <f t="shared" si="73"/>
        <v>4131</v>
      </c>
      <c r="K110" s="28">
        <f>Table3[[#This Row],[Calls Off]]+K109</f>
        <v>31961</v>
      </c>
      <c r="L110" s="28">
        <f>Table3[[#This Row],[Calls Ans]]+L109</f>
        <v>26799</v>
      </c>
      <c r="M110" s="63">
        <v>0.51</v>
      </c>
      <c r="N110" s="63">
        <v>0.26</v>
      </c>
      <c r="O110" s="63">
        <v>0.74</v>
      </c>
      <c r="P110" s="63">
        <v>0.65</v>
      </c>
      <c r="Q110" s="87">
        <v>1</v>
      </c>
      <c r="R110" s="274">
        <v>200</v>
      </c>
      <c r="S110" s="158">
        <v>0.13194444444444445</v>
      </c>
      <c r="T110" s="106">
        <v>3</v>
      </c>
      <c r="U110" s="63" t="str">
        <f t="shared" si="46"/>
        <v>Normal</v>
      </c>
      <c r="V110" s="63" t="str">
        <f t="shared" si="47"/>
        <v>Normal</v>
      </c>
      <c r="W110" s="18">
        <f t="shared" si="48"/>
        <v>0.13253012048192772</v>
      </c>
      <c r="X110" s="18">
        <f t="shared" si="49"/>
        <v>8.0769230769230774E-2</v>
      </c>
    </row>
    <row r="111" spans="1:24" s="45" customFormat="1">
      <c r="A111" s="24">
        <v>45492</v>
      </c>
      <c r="B111" s="392">
        <f>IF(YEAR(Table6[[#This Row],[Date]]) = 2024, WEEKNUM(Table6[[#This Row],[Date]])-13, WEEKNUM(Table6[[#This Row],[Date]])+40)</f>
        <v>16</v>
      </c>
      <c r="C111" s="31" t="s">
        <v>52</v>
      </c>
      <c r="D111" s="59" t="s">
        <v>48</v>
      </c>
      <c r="E111" s="1">
        <v>329</v>
      </c>
      <c r="F111" s="1">
        <v>295</v>
      </c>
      <c r="G111" s="61">
        <f t="shared" si="70"/>
        <v>-0.23665893271461716</v>
      </c>
      <c r="H111" s="61">
        <f t="shared" si="71"/>
        <v>-0.12462908011869436</v>
      </c>
      <c r="I111" s="1">
        <f t="shared" si="72"/>
        <v>5497</v>
      </c>
      <c r="J111" s="1">
        <f t="shared" si="73"/>
        <v>4426</v>
      </c>
      <c r="K111" s="1">
        <f>Table3[[#This Row],[Calls Off]]+K110</f>
        <v>32290</v>
      </c>
      <c r="L111" s="1">
        <f>Table3[[#This Row],[Calls Ans]]+L110</f>
        <v>27094</v>
      </c>
      <c r="M111" s="63">
        <v>0.78</v>
      </c>
      <c r="N111" s="63">
        <v>0.1</v>
      </c>
      <c r="O111" s="63">
        <v>0.9</v>
      </c>
      <c r="P111" s="63">
        <v>0.51</v>
      </c>
      <c r="Q111" s="87">
        <v>1</v>
      </c>
      <c r="R111" s="274">
        <v>190</v>
      </c>
      <c r="S111" s="158">
        <v>4.7916666666666663E-2</v>
      </c>
      <c r="T111" s="143">
        <v>4</v>
      </c>
      <c r="U111" s="63" t="str">
        <f t="shared" si="46"/>
        <v>Normal</v>
      </c>
      <c r="V111" s="63" t="str">
        <f t="shared" si="47"/>
        <v>Normal</v>
      </c>
      <c r="W111" s="18">
        <f t="shared" si="48"/>
        <v>-0.23665893271461716</v>
      </c>
      <c r="X111" s="18">
        <f t="shared" si="49"/>
        <v>-0.12462908011869436</v>
      </c>
    </row>
    <row r="112" spans="1:24">
      <c r="A112" s="24">
        <v>45493</v>
      </c>
      <c r="B112" s="392">
        <f>IF(YEAR(Table6[[#This Row],[Date]]) = 2024, WEEKNUM(Table6[[#This Row],[Date]])-13, WEEKNUM(Table6[[#This Row],[Date]])+40)</f>
        <v>16</v>
      </c>
      <c r="C112" s="31" t="s">
        <v>53</v>
      </c>
      <c r="D112" s="59" t="s">
        <v>48</v>
      </c>
      <c r="E112" s="1">
        <v>196</v>
      </c>
      <c r="F112" s="1">
        <v>182</v>
      </c>
      <c r="G112" s="61">
        <f t="shared" si="70"/>
        <v>-0.14782608695652175</v>
      </c>
      <c r="H112" s="61">
        <f t="shared" si="71"/>
        <v>-4.2105263157894736E-2</v>
      </c>
      <c r="I112" s="1">
        <f t="shared" si="72"/>
        <v>5693</v>
      </c>
      <c r="J112" s="1">
        <f t="shared" si="73"/>
        <v>4608</v>
      </c>
      <c r="K112" s="1">
        <f>Table3[[#This Row],[Calls Off]]+K111</f>
        <v>32486</v>
      </c>
      <c r="L112" s="1">
        <f>Table3[[#This Row],[Calls Ans]]+L111</f>
        <v>27276</v>
      </c>
      <c r="M112" s="63">
        <v>0.83</v>
      </c>
      <c r="N112" s="63">
        <v>7.0000000000000007E-2</v>
      </c>
      <c r="O112" s="63">
        <v>0.93</v>
      </c>
      <c r="P112" s="63">
        <v>0.42</v>
      </c>
      <c r="Q112" s="87">
        <v>1</v>
      </c>
      <c r="R112" s="274">
        <v>172</v>
      </c>
      <c r="S112" s="158">
        <v>4.027777777777778E-2</v>
      </c>
      <c r="T112" s="106">
        <v>3</v>
      </c>
      <c r="U112" s="63" t="str">
        <f t="shared" si="46"/>
        <v>Normal</v>
      </c>
      <c r="V112" s="63" t="str">
        <f t="shared" si="47"/>
        <v>Normal</v>
      </c>
      <c r="W112" s="18">
        <f t="shared" si="48"/>
        <v>-0.14782608695652175</v>
      </c>
      <c r="X112" s="18">
        <f t="shared" si="49"/>
        <v>-4.2105263157894736E-2</v>
      </c>
    </row>
    <row r="113" spans="1:24">
      <c r="A113" s="24">
        <v>45494</v>
      </c>
      <c r="B113" s="392">
        <f>IF(YEAR(Table6[[#This Row],[Date]]) = 2024, WEEKNUM(Table6[[#This Row],[Date]])-13, WEEKNUM(Table6[[#This Row],[Date]])+40)</f>
        <v>17</v>
      </c>
      <c r="C113" s="31" t="s">
        <v>54</v>
      </c>
      <c r="D113" s="59" t="s">
        <v>48</v>
      </c>
      <c r="E113" s="1">
        <v>0</v>
      </c>
      <c r="F113" s="1">
        <v>0</v>
      </c>
      <c r="G113" s="61">
        <v>0</v>
      </c>
      <c r="H113" s="61">
        <v>0</v>
      </c>
      <c r="I113" s="1">
        <v>0</v>
      </c>
      <c r="J113" s="1">
        <v>0</v>
      </c>
      <c r="K113" s="1">
        <v>0</v>
      </c>
      <c r="L113" s="1">
        <v>0</v>
      </c>
      <c r="M113" s="63">
        <v>0</v>
      </c>
      <c r="N113" s="63">
        <v>0</v>
      </c>
      <c r="O113" s="63">
        <v>0</v>
      </c>
      <c r="P113" s="63">
        <v>0</v>
      </c>
      <c r="Q113" s="87">
        <v>0</v>
      </c>
      <c r="R113" s="274">
        <v>0</v>
      </c>
      <c r="S113" s="158">
        <v>0</v>
      </c>
      <c r="T113" s="106">
        <v>0</v>
      </c>
      <c r="U113" s="63" t="str">
        <f t="shared" si="46"/>
        <v>Normal</v>
      </c>
      <c r="V113" s="63" t="str">
        <f t="shared" si="47"/>
        <v>Normal</v>
      </c>
      <c r="W113" s="18">
        <f t="shared" si="48"/>
        <v>0</v>
      </c>
      <c r="X113" s="18">
        <f t="shared" si="49"/>
        <v>0</v>
      </c>
    </row>
    <row r="114" spans="1:24">
      <c r="A114" s="24">
        <v>45495</v>
      </c>
      <c r="B114" s="392">
        <f>IF(YEAR(Table6[[#This Row],[Date]]) = 2024, WEEKNUM(Table6[[#This Row],[Date]])-13, WEEKNUM(Table6[[#This Row],[Date]])+40)</f>
        <v>17</v>
      </c>
      <c r="C114" s="31" t="s">
        <v>55</v>
      </c>
      <c r="D114" s="59" t="s">
        <v>48</v>
      </c>
      <c r="E114" s="1">
        <v>434</v>
      </c>
      <c r="F114" s="1">
        <v>352</v>
      </c>
      <c r="G114" s="61">
        <f>(E114-E107)/E107</f>
        <v>-0.14734774066797643</v>
      </c>
      <c r="H114" s="61">
        <f>(F114-F107)/F107</f>
        <v>-0.18518518518518517</v>
      </c>
      <c r="I114" s="1">
        <f>I112+E114</f>
        <v>6127</v>
      </c>
      <c r="J114" s="1">
        <f>J112+F114</f>
        <v>4960</v>
      </c>
      <c r="K114" s="1">
        <f>Table3[[#This Row],[Calls Off]]+K112</f>
        <v>32920</v>
      </c>
      <c r="L114" s="1">
        <f>Table3[[#This Row],[Calls Ans]]+L112</f>
        <v>27628</v>
      </c>
      <c r="M114" s="63">
        <v>0.48</v>
      </c>
      <c r="N114" s="63">
        <v>0.19</v>
      </c>
      <c r="O114" s="63">
        <v>0.81</v>
      </c>
      <c r="P114" s="63">
        <v>0.61</v>
      </c>
      <c r="Q114" s="87">
        <v>1</v>
      </c>
      <c r="R114" s="274">
        <v>198</v>
      </c>
      <c r="S114" s="158">
        <v>0.14444444444444446</v>
      </c>
      <c r="T114" s="106">
        <v>4</v>
      </c>
      <c r="U114" s="63" t="str">
        <f t="shared" si="46"/>
        <v>Normal</v>
      </c>
      <c r="V114" s="63" t="str">
        <f t="shared" si="47"/>
        <v>Normal</v>
      </c>
      <c r="W114" s="18">
        <f t="shared" si="48"/>
        <v>-0.14734774066797643</v>
      </c>
      <c r="X114" s="18">
        <f t="shared" si="49"/>
        <v>-0.18518518518518517</v>
      </c>
    </row>
    <row r="115" spans="1:24">
      <c r="A115" s="24">
        <v>45496</v>
      </c>
      <c r="B115" s="392">
        <f>IF(YEAR(Table6[[#This Row],[Date]]) = 2024, WEEKNUM(Table6[[#This Row],[Date]])-13, WEEKNUM(Table6[[#This Row],[Date]])+40)</f>
        <v>17</v>
      </c>
      <c r="C115" s="31" t="s">
        <v>49</v>
      </c>
      <c r="D115" s="59" t="s">
        <v>48</v>
      </c>
      <c r="E115" s="1">
        <v>352</v>
      </c>
      <c r="F115" s="1">
        <v>315</v>
      </c>
      <c r="G115" s="61">
        <f t="shared" ref="G115:G119" si="74">(E115-E108)/E108</f>
        <v>0.11746031746031746</v>
      </c>
      <c r="H115" s="61">
        <f t="shared" ref="H115:H119" si="75">(F115-F108)/F108</f>
        <v>0.77966101694915257</v>
      </c>
      <c r="I115" s="1">
        <f>I114+E115</f>
        <v>6479</v>
      </c>
      <c r="J115" s="1">
        <f>J114+F115</f>
        <v>5275</v>
      </c>
      <c r="K115" s="1">
        <f>Table3[[#This Row],[Calls Off]]+K114</f>
        <v>33272</v>
      </c>
      <c r="L115" s="1">
        <f>Table3[[#This Row],[Calls Ans]]+L114</f>
        <v>27943</v>
      </c>
      <c r="M115" s="63">
        <v>0.65</v>
      </c>
      <c r="N115" s="63">
        <v>0.11</v>
      </c>
      <c r="O115" s="63">
        <v>0.89</v>
      </c>
      <c r="P115" s="63">
        <v>0.54</v>
      </c>
      <c r="Q115" s="87">
        <v>1</v>
      </c>
      <c r="R115" s="274">
        <v>209</v>
      </c>
      <c r="S115" s="158">
        <v>5.5555555555555552E-2</v>
      </c>
      <c r="T115" s="106">
        <v>4</v>
      </c>
      <c r="U115" s="63" t="str">
        <f t="shared" si="46"/>
        <v>Normal</v>
      </c>
      <c r="V115" s="63" t="str">
        <f t="shared" si="47"/>
        <v>Outlier</v>
      </c>
      <c r="W115" s="18">
        <f t="shared" si="48"/>
        <v>0.11746031746031746</v>
      </c>
      <c r="X115" s="18">
        <f t="shared" si="49"/>
        <v>0.77966101694915257</v>
      </c>
    </row>
    <row r="116" spans="1:24">
      <c r="A116" s="24">
        <v>45497</v>
      </c>
      <c r="B116" s="392">
        <f>IF(YEAR(Table6[[#This Row],[Date]]) = 2024, WEEKNUM(Table6[[#This Row],[Date]])-13, WEEKNUM(Table6[[#This Row],[Date]])+40)</f>
        <v>17</v>
      </c>
      <c r="C116" s="31" t="s">
        <v>50</v>
      </c>
      <c r="D116" s="59" t="s">
        <v>48</v>
      </c>
      <c r="E116" s="1">
        <v>395</v>
      </c>
      <c r="F116" s="1">
        <v>334</v>
      </c>
      <c r="G116" s="61">
        <f t="shared" si="74"/>
        <v>7.9234972677595633E-2</v>
      </c>
      <c r="H116" s="61">
        <f t="shared" si="75"/>
        <v>6.024096385542169E-3</v>
      </c>
      <c r="I116" s="1">
        <f t="shared" ref="I116:I119" si="76">I115+E116</f>
        <v>6874</v>
      </c>
      <c r="J116" s="1">
        <f t="shared" ref="J116:J119" si="77">J115+F116</f>
        <v>5609</v>
      </c>
      <c r="K116" s="1">
        <f>Table3[[#This Row],[Calls Off]]+K115</f>
        <v>33667</v>
      </c>
      <c r="L116" s="1">
        <f>Table3[[#This Row],[Calls Ans]]+L115</f>
        <v>28277</v>
      </c>
      <c r="M116" s="63">
        <v>0.61</v>
      </c>
      <c r="N116" s="63">
        <v>0.15</v>
      </c>
      <c r="O116" s="63">
        <v>0.85</v>
      </c>
      <c r="P116" s="63">
        <v>0.57999999999999996</v>
      </c>
      <c r="Q116" s="87">
        <v>1</v>
      </c>
      <c r="R116" s="274">
        <v>212</v>
      </c>
      <c r="S116" s="158">
        <v>8.6805555555555566E-2</v>
      </c>
      <c r="T116" s="106">
        <v>4</v>
      </c>
      <c r="U116" s="63" t="str">
        <f t="shared" si="46"/>
        <v>Normal</v>
      </c>
      <c r="V116" s="63" t="str">
        <f t="shared" si="47"/>
        <v>Normal</v>
      </c>
      <c r="W116" s="18">
        <f t="shared" si="48"/>
        <v>7.9234972677595633E-2</v>
      </c>
      <c r="X116" s="18">
        <f t="shared" si="49"/>
        <v>6.024096385542169E-3</v>
      </c>
    </row>
    <row r="117" spans="1:24">
      <c r="A117" s="24">
        <v>45498</v>
      </c>
      <c r="B117" s="392">
        <f>IF(YEAR(Table6[[#This Row],[Date]]) = 2024, WEEKNUM(Table6[[#This Row],[Date]])-13, WEEKNUM(Table6[[#This Row],[Date]])+40)</f>
        <v>17</v>
      </c>
      <c r="C117" s="31" t="s">
        <v>51</v>
      </c>
      <c r="D117" s="59" t="s">
        <v>48</v>
      </c>
      <c r="E117" s="1">
        <v>394</v>
      </c>
      <c r="F117" s="1">
        <v>334</v>
      </c>
      <c r="G117" s="61">
        <f t="shared" si="74"/>
        <v>4.7872340425531915E-2</v>
      </c>
      <c r="H117" s="61">
        <f t="shared" si="75"/>
        <v>0.18861209964412812</v>
      </c>
      <c r="I117" s="1">
        <f t="shared" si="76"/>
        <v>7268</v>
      </c>
      <c r="J117" s="1">
        <f t="shared" si="77"/>
        <v>5943</v>
      </c>
      <c r="K117" s="1">
        <f>Table3[[#This Row],[Calls Off]]+K116</f>
        <v>34061</v>
      </c>
      <c r="L117" s="1">
        <f>Table3[[#This Row],[Calls Ans]]+L116</f>
        <v>28611</v>
      </c>
      <c r="M117" s="63">
        <v>0.64</v>
      </c>
      <c r="N117" s="63">
        <v>0.15</v>
      </c>
      <c r="O117" s="63">
        <v>0.85</v>
      </c>
      <c r="P117" s="63">
        <v>0.57999999999999996</v>
      </c>
      <c r="Q117" s="87">
        <v>1</v>
      </c>
      <c r="R117" s="274">
        <v>212</v>
      </c>
      <c r="S117" s="158">
        <v>0.10833333333333334</v>
      </c>
      <c r="T117" s="106">
        <v>4</v>
      </c>
      <c r="U117" s="63" t="str">
        <f t="shared" si="46"/>
        <v>Normal</v>
      </c>
      <c r="V117" s="63" t="str">
        <f t="shared" si="47"/>
        <v>Normal</v>
      </c>
      <c r="W117" s="18">
        <f t="shared" si="48"/>
        <v>4.7872340425531915E-2</v>
      </c>
      <c r="X117" s="18">
        <f t="shared" si="49"/>
        <v>0.18861209964412812</v>
      </c>
    </row>
    <row r="118" spans="1:24">
      <c r="A118" s="24">
        <v>45499</v>
      </c>
      <c r="B118" s="392">
        <f>IF(YEAR(Table6[[#This Row],[Date]]) = 2024, WEEKNUM(Table6[[#This Row],[Date]])-13, WEEKNUM(Table6[[#This Row],[Date]])+40)</f>
        <v>17</v>
      </c>
      <c r="C118" s="31" t="s">
        <v>52</v>
      </c>
      <c r="D118" s="59" t="s">
        <v>48</v>
      </c>
      <c r="E118" s="1">
        <v>359</v>
      </c>
      <c r="F118" s="1">
        <v>279</v>
      </c>
      <c r="G118" s="61">
        <f t="shared" si="74"/>
        <v>9.1185410334346503E-2</v>
      </c>
      <c r="H118" s="61">
        <f t="shared" si="75"/>
        <v>-5.4237288135593219E-2</v>
      </c>
      <c r="I118" s="1">
        <f t="shared" si="76"/>
        <v>7627</v>
      </c>
      <c r="J118" s="1">
        <f t="shared" si="77"/>
        <v>6222</v>
      </c>
      <c r="K118" s="1">
        <f>Table3[[#This Row],[Calls Off]]+K117</f>
        <v>34420</v>
      </c>
      <c r="L118" s="1">
        <f>Table3[[#This Row],[Calls Ans]]+L117</f>
        <v>28890</v>
      </c>
      <c r="M118" s="63">
        <v>0.45</v>
      </c>
      <c r="N118" s="63">
        <v>0.22</v>
      </c>
      <c r="O118" s="63">
        <v>0.78</v>
      </c>
      <c r="P118" s="63">
        <v>0.64</v>
      </c>
      <c r="Q118" s="87">
        <v>1</v>
      </c>
      <c r="R118" s="274">
        <v>194</v>
      </c>
      <c r="S118" s="158">
        <v>0.11805555555555557</v>
      </c>
      <c r="T118" s="106">
        <v>3</v>
      </c>
      <c r="U118" s="63" t="str">
        <f t="shared" si="46"/>
        <v>Normal</v>
      </c>
      <c r="V118" s="63" t="str">
        <f t="shared" si="47"/>
        <v>Normal</v>
      </c>
      <c r="W118" s="18">
        <f t="shared" si="48"/>
        <v>9.1185410334346503E-2</v>
      </c>
      <c r="X118" s="18">
        <f t="shared" si="49"/>
        <v>-5.4237288135593219E-2</v>
      </c>
    </row>
    <row r="119" spans="1:24">
      <c r="A119" s="24">
        <v>45500</v>
      </c>
      <c r="B119" s="392">
        <f>IF(YEAR(Table6[[#This Row],[Date]]) = 2024, WEEKNUM(Table6[[#This Row],[Date]])-13, WEEKNUM(Table6[[#This Row],[Date]])+40)</f>
        <v>17</v>
      </c>
      <c r="C119" s="31" t="s">
        <v>53</v>
      </c>
      <c r="D119" s="59" t="s">
        <v>48</v>
      </c>
      <c r="E119" s="1">
        <v>283</v>
      </c>
      <c r="F119" s="1">
        <v>191</v>
      </c>
      <c r="G119" s="61">
        <f t="shared" si="74"/>
        <v>0.44387755102040816</v>
      </c>
      <c r="H119" s="61">
        <f t="shared" si="75"/>
        <v>4.9450549450549448E-2</v>
      </c>
      <c r="I119" s="1">
        <f t="shared" si="76"/>
        <v>7910</v>
      </c>
      <c r="J119" s="1">
        <f t="shared" si="77"/>
        <v>6413</v>
      </c>
      <c r="K119" s="1">
        <f>Table3[[#This Row],[Calls Off]]+K118</f>
        <v>34703</v>
      </c>
      <c r="L119" s="1">
        <f>Table3[[#This Row],[Calls Ans]]+L118</f>
        <v>29081</v>
      </c>
      <c r="M119" s="63">
        <v>0.33</v>
      </c>
      <c r="N119" s="63">
        <v>0.33</v>
      </c>
      <c r="O119" s="63">
        <v>0.67</v>
      </c>
      <c r="P119" s="63">
        <v>0.66</v>
      </c>
      <c r="Q119" s="87">
        <v>1</v>
      </c>
      <c r="R119" s="274">
        <v>163</v>
      </c>
      <c r="S119" s="158">
        <v>0.25069444444444444</v>
      </c>
      <c r="T119" s="106">
        <v>2</v>
      </c>
      <c r="U119" s="63" t="str">
        <f t="shared" si="46"/>
        <v>Outlier</v>
      </c>
      <c r="V119" s="63" t="str">
        <f t="shared" si="47"/>
        <v>Normal</v>
      </c>
      <c r="W119" s="18">
        <f t="shared" si="48"/>
        <v>0.44387755102040816</v>
      </c>
      <c r="X119" s="18">
        <f t="shared" si="49"/>
        <v>4.9450549450549448E-2</v>
      </c>
    </row>
    <row r="120" spans="1:24">
      <c r="A120" s="24">
        <v>45501</v>
      </c>
      <c r="B120" s="392">
        <f>IF(YEAR(Table6[[#This Row],[Date]]) = 2024, WEEKNUM(Table6[[#This Row],[Date]])-13, WEEKNUM(Table6[[#This Row],[Date]])+40)</f>
        <v>18</v>
      </c>
      <c r="C120" s="31" t="s">
        <v>54</v>
      </c>
      <c r="D120" s="59" t="s">
        <v>48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63" t="str">
        <f t="shared" si="46"/>
        <v>Normal</v>
      </c>
      <c r="V120" s="63" t="str">
        <f t="shared" si="47"/>
        <v>Normal</v>
      </c>
      <c r="W120" s="18">
        <f t="shared" si="48"/>
        <v>0</v>
      </c>
      <c r="X120" s="18">
        <f t="shared" si="49"/>
        <v>0</v>
      </c>
    </row>
    <row r="121" spans="1:24">
      <c r="A121" s="24">
        <v>45502</v>
      </c>
      <c r="B121" s="392">
        <f>IF(YEAR(Table6[[#This Row],[Date]]) = 2024, WEEKNUM(Table6[[#This Row],[Date]])-13, WEEKNUM(Table6[[#This Row],[Date]])+40)</f>
        <v>18</v>
      </c>
      <c r="C121" s="31" t="s">
        <v>55</v>
      </c>
      <c r="D121" s="59" t="s">
        <v>48</v>
      </c>
      <c r="E121" s="1">
        <v>503</v>
      </c>
      <c r="F121" s="1">
        <v>373</v>
      </c>
      <c r="G121" s="61">
        <f>(E121-E114)/E114</f>
        <v>0.15898617511520738</v>
      </c>
      <c r="H121" s="61">
        <f>(F121-F114)/F114</f>
        <v>5.9659090909090912E-2</v>
      </c>
      <c r="I121" s="1">
        <f>I119+E121</f>
        <v>8413</v>
      </c>
      <c r="J121" s="1">
        <f>J119+F121</f>
        <v>6786</v>
      </c>
      <c r="K121" s="1">
        <f>Table3[[#This Row],[Calls Off]]+K119</f>
        <v>35206</v>
      </c>
      <c r="L121" s="1">
        <f>Table3[[#This Row],[Calls Ans]]+L119</f>
        <v>29454</v>
      </c>
      <c r="M121" s="63">
        <v>0.46</v>
      </c>
      <c r="N121" s="63">
        <v>0.26</v>
      </c>
      <c r="O121" s="63">
        <v>0.74</v>
      </c>
      <c r="P121" s="63">
        <v>0.64</v>
      </c>
      <c r="Q121" s="83">
        <v>1</v>
      </c>
      <c r="R121" s="271">
        <v>202</v>
      </c>
      <c r="S121" s="140">
        <v>0.15277777777777776</v>
      </c>
      <c r="T121" s="106">
        <v>4</v>
      </c>
      <c r="U121" s="63" t="str">
        <f t="shared" si="46"/>
        <v>Normal</v>
      </c>
      <c r="V121" s="63" t="str">
        <f t="shared" si="47"/>
        <v>Normal</v>
      </c>
      <c r="W121" s="18">
        <f t="shared" si="48"/>
        <v>0.15898617511520738</v>
      </c>
      <c r="X121" s="18">
        <f t="shared" si="49"/>
        <v>5.9659090909090912E-2</v>
      </c>
    </row>
    <row r="122" spans="1:24">
      <c r="A122" s="24">
        <v>45503</v>
      </c>
      <c r="B122" s="392">
        <f>IF(YEAR(Table6[[#This Row],[Date]]) = 2024, WEEKNUM(Table6[[#This Row],[Date]])-13, WEEKNUM(Table6[[#This Row],[Date]])+40)</f>
        <v>18</v>
      </c>
      <c r="C122" s="31" t="s">
        <v>49</v>
      </c>
      <c r="D122" s="59" t="s">
        <v>48</v>
      </c>
      <c r="E122" s="1">
        <v>452</v>
      </c>
      <c r="F122" s="1">
        <v>370</v>
      </c>
      <c r="G122" s="61">
        <f t="shared" ref="G122:G123" si="78">(E122-E115)/E115</f>
        <v>0.28409090909090912</v>
      </c>
      <c r="H122" s="61">
        <f t="shared" ref="H122:H123" si="79">(F122-F115)/F115</f>
        <v>0.17460317460317459</v>
      </c>
      <c r="I122" s="1">
        <f>I121+E122</f>
        <v>8865</v>
      </c>
      <c r="J122" s="1">
        <f>J121+F122</f>
        <v>7156</v>
      </c>
      <c r="K122" s="1">
        <f>Table3[[#This Row],[Calls Off]]+K121</f>
        <v>35658</v>
      </c>
      <c r="L122" s="1">
        <f>Table3[[#This Row],[Calls Ans]]+L121</f>
        <v>29824</v>
      </c>
      <c r="M122" s="63">
        <v>0.57999999999999996</v>
      </c>
      <c r="N122" s="63">
        <v>0.18</v>
      </c>
      <c r="O122" s="63">
        <v>0.82</v>
      </c>
      <c r="P122" s="63">
        <v>0.51</v>
      </c>
      <c r="Q122" s="83">
        <v>1</v>
      </c>
      <c r="R122" s="271">
        <v>208</v>
      </c>
      <c r="S122" s="140">
        <v>0.11875000000000001</v>
      </c>
      <c r="T122" s="106">
        <v>5</v>
      </c>
      <c r="U122" s="63" t="str">
        <f t="shared" si="46"/>
        <v>Normal</v>
      </c>
      <c r="V122" s="63" t="str">
        <f t="shared" si="47"/>
        <v>Normal</v>
      </c>
      <c r="W122" s="18">
        <f t="shared" si="48"/>
        <v>0.28409090909090912</v>
      </c>
      <c r="X122" s="18">
        <f t="shared" si="49"/>
        <v>0.17460317460317459</v>
      </c>
    </row>
    <row r="123" spans="1:24">
      <c r="A123" s="24">
        <v>45504</v>
      </c>
      <c r="B123" s="392">
        <f>IF(YEAR(Table6[[#This Row],[Date]]) = 2024, WEEKNUM(Table6[[#This Row],[Date]])-13, WEEKNUM(Table6[[#This Row],[Date]])+40)</f>
        <v>18</v>
      </c>
      <c r="C123" s="31" t="s">
        <v>50</v>
      </c>
      <c r="D123" s="59" t="s">
        <v>48</v>
      </c>
      <c r="E123" s="1">
        <v>400</v>
      </c>
      <c r="F123" s="1">
        <v>348</v>
      </c>
      <c r="G123" s="61">
        <f t="shared" si="78"/>
        <v>1.2658227848101266E-2</v>
      </c>
      <c r="H123" s="61">
        <f t="shared" si="79"/>
        <v>4.1916167664670656E-2</v>
      </c>
      <c r="I123" s="1">
        <f t="shared" ref="I123" si="80">I122+E123</f>
        <v>9265</v>
      </c>
      <c r="J123" s="1">
        <f t="shared" ref="J123" si="81">J122+F123</f>
        <v>7504</v>
      </c>
      <c r="K123" s="1">
        <f>Table3[[#This Row],[Calls Off]]+K122</f>
        <v>36058</v>
      </c>
      <c r="L123" s="1">
        <f>Table3[[#This Row],[Calls Ans]]+L122</f>
        <v>30172</v>
      </c>
      <c r="M123" s="63">
        <v>0.62</v>
      </c>
      <c r="N123" s="63">
        <v>0.13</v>
      </c>
      <c r="O123" s="63">
        <v>0.87</v>
      </c>
      <c r="P123" s="63">
        <v>0.48</v>
      </c>
      <c r="Q123" s="83">
        <v>1</v>
      </c>
      <c r="R123" s="271">
        <v>208</v>
      </c>
      <c r="S123" s="140">
        <v>7.8472222222222221E-2</v>
      </c>
      <c r="T123" s="106">
        <v>5</v>
      </c>
      <c r="U123" s="63" t="str">
        <f t="shared" si="46"/>
        <v>Normal</v>
      </c>
      <c r="V123" s="63" t="str">
        <f t="shared" si="47"/>
        <v>Normal</v>
      </c>
      <c r="W123" s="18">
        <f t="shared" si="48"/>
        <v>1.2658227848101266E-2</v>
      </c>
      <c r="X123" s="18">
        <f t="shared" si="49"/>
        <v>4.1916167664670656E-2</v>
      </c>
    </row>
    <row r="124" spans="1:24">
      <c r="A124" s="24">
        <v>45505</v>
      </c>
      <c r="B124" s="392">
        <f>IF(YEAR(Table6[[#This Row],[Date]]) = 2024, WEEKNUM(Table6[[#This Row],[Date]])-13, WEEKNUM(Table6[[#This Row],[Date]])+40)</f>
        <v>18</v>
      </c>
      <c r="C124" s="46" t="s">
        <v>47</v>
      </c>
      <c r="D124" s="59" t="s">
        <v>48</v>
      </c>
      <c r="E124" s="47">
        <v>0</v>
      </c>
      <c r="F124" s="47">
        <v>0</v>
      </c>
      <c r="G124" s="74">
        <v>0</v>
      </c>
      <c r="H124" s="74">
        <v>0</v>
      </c>
      <c r="I124" s="47">
        <v>0</v>
      </c>
      <c r="J124" s="47">
        <v>0</v>
      </c>
      <c r="K124" s="47">
        <v>0</v>
      </c>
      <c r="L124" s="47">
        <v>0</v>
      </c>
      <c r="M124" s="92">
        <v>0</v>
      </c>
      <c r="N124" s="92">
        <v>0</v>
      </c>
      <c r="O124" s="92">
        <v>0</v>
      </c>
      <c r="P124" s="92">
        <v>0</v>
      </c>
      <c r="Q124" s="93">
        <v>0</v>
      </c>
      <c r="R124" s="275">
        <v>0</v>
      </c>
      <c r="S124" s="142">
        <v>0</v>
      </c>
      <c r="T124" s="106">
        <v>0</v>
      </c>
      <c r="U124" s="63" t="str">
        <f t="shared" ref="U124:U131" si="82">IF(OR(G124&lt;$AB$5,G124&gt;$AC$5), "Outlier", "Normal")</f>
        <v>Normal</v>
      </c>
      <c r="V124" s="63" t="str">
        <f t="shared" ref="V124:V131" si="83">IF(OR(H124&lt;$AB$6,H124&gt;$AC$6), "Outlier", "Normal")</f>
        <v>Normal</v>
      </c>
      <c r="W124" s="63">
        <f t="shared" ref="W124:W131" si="84">IF(U124="Normal",$G124,IF($G124&lt;150%, $G124, $AB$9))</f>
        <v>0</v>
      </c>
      <c r="X124" s="63">
        <f t="shared" ref="X124:X131" si="85">IF(V124="Normal",$H124,IF($H124&lt;150%, $H124, $AF$9))</f>
        <v>0</v>
      </c>
    </row>
    <row r="125" spans="1:24">
      <c r="A125" s="24">
        <v>45506</v>
      </c>
      <c r="B125" s="393">
        <f>IF(YEAR(Table6[[#This Row],[Date]]) = 2024, WEEKNUM(Table6[[#This Row],[Date]])-13, WEEKNUM(Table6[[#This Row],[Date]])+40)</f>
        <v>18</v>
      </c>
      <c r="C125" s="91" t="s">
        <v>52</v>
      </c>
      <c r="D125" s="59" t="s">
        <v>48</v>
      </c>
      <c r="E125" s="1">
        <v>509</v>
      </c>
      <c r="F125" s="1">
        <v>323</v>
      </c>
      <c r="G125" s="61">
        <v>-0.3723797780517879</v>
      </c>
      <c r="H125" s="61">
        <v>-0.44596912521440824</v>
      </c>
      <c r="I125" s="1">
        <v>509</v>
      </c>
      <c r="J125" s="1">
        <v>323</v>
      </c>
      <c r="K125" s="1">
        <f>Table3[[#This Row],[Calls Off]]+K123</f>
        <v>36567</v>
      </c>
      <c r="L125" s="1">
        <f>Table3[[#This Row],[Calls Ans]]+L123</f>
        <v>30495</v>
      </c>
      <c r="M125" s="63">
        <v>0.35</v>
      </c>
      <c r="N125" s="63">
        <v>0.26</v>
      </c>
      <c r="O125" s="63">
        <v>0.74</v>
      </c>
      <c r="P125" s="63">
        <v>0.56000000000000005</v>
      </c>
      <c r="Q125" s="83">
        <v>1</v>
      </c>
      <c r="R125" s="271">
        <v>261</v>
      </c>
      <c r="S125" s="140">
        <v>0.20416666666666669</v>
      </c>
      <c r="T125" s="106">
        <v>4</v>
      </c>
      <c r="U125" s="63" t="str">
        <f t="shared" si="82"/>
        <v>Normal</v>
      </c>
      <c r="V125" s="63" t="str">
        <f t="shared" si="83"/>
        <v>Outlier</v>
      </c>
      <c r="W125" s="63">
        <f t="shared" si="84"/>
        <v>-0.3723797780517879</v>
      </c>
      <c r="X125" s="63">
        <f t="shared" si="85"/>
        <v>-0.44596912521440824</v>
      </c>
    </row>
    <row r="126" spans="1:24">
      <c r="A126" s="24">
        <v>45507</v>
      </c>
      <c r="B126" s="392">
        <f>IF(YEAR(Table6[[#This Row],[Date]]) = 2024, WEEKNUM(Table6[[#This Row],[Date]])-13, WEEKNUM(Table6[[#This Row],[Date]])+40)</f>
        <v>18</v>
      </c>
      <c r="C126" s="94" t="s">
        <v>53</v>
      </c>
      <c r="D126" s="59" t="s">
        <v>48</v>
      </c>
      <c r="E126" s="95">
        <v>212</v>
      </c>
      <c r="F126" s="95">
        <v>134</v>
      </c>
      <c r="G126" s="96">
        <v>-0.57258064516129037</v>
      </c>
      <c r="H126" s="96">
        <v>-0.64456233421750664</v>
      </c>
      <c r="I126" s="95">
        <v>721</v>
      </c>
      <c r="J126" s="95">
        <v>457</v>
      </c>
      <c r="K126" s="95">
        <f>Table3[[#This Row],[Calls Off]]+K125</f>
        <v>36779</v>
      </c>
      <c r="L126" s="95">
        <f>Table3[[#This Row],[Calls Ans]]+L125</f>
        <v>30629</v>
      </c>
      <c r="M126" s="97">
        <v>0.4</v>
      </c>
      <c r="N126" s="97">
        <v>0.37</v>
      </c>
      <c r="O126" s="97">
        <v>0.73</v>
      </c>
      <c r="P126" s="97">
        <v>0.61</v>
      </c>
      <c r="Q126" s="98">
        <v>1</v>
      </c>
      <c r="R126" s="276">
        <v>273</v>
      </c>
      <c r="S126" s="159">
        <v>0.25763888888888892</v>
      </c>
      <c r="T126" s="106">
        <v>2</v>
      </c>
      <c r="U126" s="63" t="str">
        <f t="shared" si="82"/>
        <v>Outlier</v>
      </c>
      <c r="V126" s="63" t="str">
        <f t="shared" si="83"/>
        <v>Outlier</v>
      </c>
      <c r="W126" s="63">
        <f t="shared" si="84"/>
        <v>-0.57258064516129037</v>
      </c>
      <c r="X126" s="63">
        <f t="shared" si="85"/>
        <v>-0.64456233421750664</v>
      </c>
    </row>
    <row r="127" spans="1:24">
      <c r="A127" s="24">
        <v>45508</v>
      </c>
      <c r="B127" s="392">
        <f>IF(YEAR(Table6[[#This Row],[Date]]) = 2024, WEEKNUM(Table6[[#This Row],[Date]])-13, WEEKNUM(Table6[[#This Row],[Date]])+40)</f>
        <v>19</v>
      </c>
      <c r="C127" s="31" t="s">
        <v>54</v>
      </c>
      <c r="D127" s="59" t="s">
        <v>48</v>
      </c>
      <c r="E127" s="1">
        <v>0</v>
      </c>
      <c r="F127" s="1">
        <v>0</v>
      </c>
      <c r="G127" s="61">
        <v>0</v>
      </c>
      <c r="H127" s="61">
        <v>0</v>
      </c>
      <c r="I127" s="1">
        <v>0</v>
      </c>
      <c r="J127" s="1">
        <v>0</v>
      </c>
      <c r="K127" s="1">
        <v>0</v>
      </c>
      <c r="L127" s="1">
        <v>0</v>
      </c>
      <c r="M127" s="63">
        <v>0</v>
      </c>
      <c r="N127" s="63">
        <v>0</v>
      </c>
      <c r="O127" s="63">
        <v>0</v>
      </c>
      <c r="P127" s="63">
        <v>0</v>
      </c>
      <c r="Q127" s="83">
        <v>0</v>
      </c>
      <c r="R127" s="271">
        <v>0</v>
      </c>
      <c r="S127" s="140">
        <v>0</v>
      </c>
      <c r="T127" s="106">
        <v>0</v>
      </c>
      <c r="U127" s="63" t="str">
        <f t="shared" si="82"/>
        <v>Normal</v>
      </c>
      <c r="V127" s="63" t="str">
        <f t="shared" si="83"/>
        <v>Normal</v>
      </c>
      <c r="W127" s="63">
        <f t="shared" si="84"/>
        <v>0</v>
      </c>
      <c r="X127" s="63">
        <f t="shared" si="85"/>
        <v>0</v>
      </c>
    </row>
    <row r="128" spans="1:24">
      <c r="A128" s="24">
        <v>45509</v>
      </c>
      <c r="B128" s="392">
        <f>IF(YEAR(Table6[[#This Row],[Date]]) = 2024, WEEKNUM(Table6[[#This Row],[Date]])-13, WEEKNUM(Table6[[#This Row],[Date]])+40)</f>
        <v>19</v>
      </c>
      <c r="C128" s="31" t="s">
        <v>47</v>
      </c>
      <c r="D128" s="59" t="s">
        <v>48</v>
      </c>
      <c r="E128" s="1">
        <v>0</v>
      </c>
      <c r="F128" s="1">
        <v>0</v>
      </c>
      <c r="G128" s="61">
        <v>0</v>
      </c>
      <c r="H128" s="61">
        <v>0</v>
      </c>
      <c r="I128" s="1">
        <v>0</v>
      </c>
      <c r="J128" s="1">
        <v>0</v>
      </c>
      <c r="K128" s="1">
        <v>0</v>
      </c>
      <c r="L128" s="1">
        <v>0</v>
      </c>
      <c r="M128" s="63">
        <v>0</v>
      </c>
      <c r="N128" s="63">
        <v>0</v>
      </c>
      <c r="O128" s="63">
        <v>0</v>
      </c>
      <c r="P128" s="63">
        <v>0</v>
      </c>
      <c r="Q128" s="83">
        <v>0</v>
      </c>
      <c r="R128" s="271">
        <v>0</v>
      </c>
      <c r="S128" s="140">
        <v>0</v>
      </c>
      <c r="T128" s="106">
        <v>0</v>
      </c>
      <c r="U128" s="63" t="str">
        <f t="shared" si="82"/>
        <v>Normal</v>
      </c>
      <c r="V128" s="63" t="str">
        <f t="shared" si="83"/>
        <v>Normal</v>
      </c>
      <c r="W128" s="63">
        <f t="shared" si="84"/>
        <v>0</v>
      </c>
      <c r="X128" s="63">
        <f t="shared" si="85"/>
        <v>0</v>
      </c>
    </row>
    <row r="129" spans="1:24">
      <c r="A129" s="24">
        <v>45510</v>
      </c>
      <c r="B129" s="392">
        <f>IF(YEAR(Table6[[#This Row],[Date]]) = 2024, WEEKNUM(Table6[[#This Row],[Date]])-13, WEEKNUM(Table6[[#This Row],[Date]])+40)</f>
        <v>19</v>
      </c>
      <c r="C129" s="31" t="s">
        <v>49</v>
      </c>
      <c r="D129" s="59" t="s">
        <v>48</v>
      </c>
      <c r="E129" s="1">
        <v>564</v>
      </c>
      <c r="F129" s="1">
        <v>441</v>
      </c>
      <c r="G129" s="61">
        <v>7.020872865275142E-2</v>
      </c>
      <c r="H129" s="61">
        <v>-3.2894736842105261E-2</v>
      </c>
      <c r="I129" s="1">
        <v>1285</v>
      </c>
      <c r="J129" s="1">
        <v>898</v>
      </c>
      <c r="K129" s="1">
        <f>Table3[[#This Row],[Calls Off]]+K126</f>
        <v>37343</v>
      </c>
      <c r="L129" s="1">
        <f>Table3[[#This Row],[Calls Ans]]+L126</f>
        <v>31070</v>
      </c>
      <c r="M129" s="63">
        <v>0.47</v>
      </c>
      <c r="N129" s="63">
        <v>0.22</v>
      </c>
      <c r="O129" s="63">
        <v>0.78</v>
      </c>
      <c r="P129" s="63">
        <v>0.61</v>
      </c>
      <c r="Q129" s="83">
        <v>1</v>
      </c>
      <c r="R129" s="271">
        <v>267</v>
      </c>
      <c r="S129" s="140">
        <v>0.24374999999999999</v>
      </c>
      <c r="T129" s="106">
        <v>5</v>
      </c>
      <c r="U129" s="63" t="str">
        <f t="shared" si="82"/>
        <v>Normal</v>
      </c>
      <c r="V129" s="63" t="str">
        <f t="shared" si="83"/>
        <v>Normal</v>
      </c>
      <c r="W129" s="63">
        <f t="shared" si="84"/>
        <v>7.020872865275142E-2</v>
      </c>
      <c r="X129" s="63">
        <f t="shared" si="85"/>
        <v>-3.2894736842105261E-2</v>
      </c>
    </row>
    <row r="130" spans="1:24">
      <c r="A130" s="24">
        <v>45511</v>
      </c>
      <c r="B130" s="392">
        <f>IF(YEAR(Table6[[#This Row],[Date]]) = 2024, WEEKNUM(Table6[[#This Row],[Date]])-13, WEEKNUM(Table6[[#This Row],[Date]])+40)</f>
        <v>19</v>
      </c>
      <c r="C130" s="31" t="s">
        <v>50</v>
      </c>
      <c r="D130" s="59" t="s">
        <v>48</v>
      </c>
      <c r="E130" s="1">
        <v>424</v>
      </c>
      <c r="F130" s="1">
        <v>362</v>
      </c>
      <c r="G130" s="61">
        <v>-0.28378378378378377</v>
      </c>
      <c r="H130" s="61">
        <v>-0.25971370143149286</v>
      </c>
      <c r="I130" s="1">
        <v>1709</v>
      </c>
      <c r="J130" s="1">
        <v>1260</v>
      </c>
      <c r="K130" s="1">
        <f>Table3[[#This Row],[Calls Off]]+K129</f>
        <v>37767</v>
      </c>
      <c r="L130" s="1">
        <f>Table3[[#This Row],[Calls Ans]]+L129</f>
        <v>31432</v>
      </c>
      <c r="M130" s="63">
        <v>0.61</v>
      </c>
      <c r="N130" s="63">
        <v>0.15</v>
      </c>
      <c r="O130" s="63">
        <v>0.85</v>
      </c>
      <c r="P130" s="63">
        <v>0.62</v>
      </c>
      <c r="Q130" s="83">
        <v>1</v>
      </c>
      <c r="R130" s="271">
        <v>263</v>
      </c>
      <c r="S130" s="140">
        <v>0.11805555555555557</v>
      </c>
      <c r="T130" s="106">
        <v>4</v>
      </c>
      <c r="U130" s="63" t="str">
        <f t="shared" si="82"/>
        <v>Normal</v>
      </c>
      <c r="V130" s="63" t="str">
        <f t="shared" si="83"/>
        <v>Outlier</v>
      </c>
      <c r="W130" s="63">
        <f t="shared" si="84"/>
        <v>-0.28378378378378377</v>
      </c>
      <c r="X130" s="63">
        <f t="shared" si="85"/>
        <v>-0.25971370143149286</v>
      </c>
    </row>
    <row r="131" spans="1:24">
      <c r="A131" s="24">
        <v>45512</v>
      </c>
      <c r="B131" s="392">
        <f>IF(YEAR(Table6[[#This Row],[Date]]) = 2024, WEEKNUM(Table6[[#This Row],[Date]])-13, WEEKNUM(Table6[[#This Row],[Date]])+40)</f>
        <v>19</v>
      </c>
      <c r="C131" s="31" t="s">
        <v>51</v>
      </c>
      <c r="D131" s="59" t="s">
        <v>48</v>
      </c>
      <c r="E131" s="1">
        <v>395</v>
      </c>
      <c r="F131" s="1">
        <v>350</v>
      </c>
      <c r="G131" s="61">
        <v>0</v>
      </c>
      <c r="H131" s="61">
        <v>0</v>
      </c>
      <c r="I131" s="1">
        <v>2104</v>
      </c>
      <c r="J131" s="1">
        <v>1610</v>
      </c>
      <c r="K131" s="1">
        <f>Table3[[#This Row],[Calls Off]]+K130</f>
        <v>38162</v>
      </c>
      <c r="L131" s="1">
        <f>Table3[[#This Row],[Calls Ans]]+L130</f>
        <v>31782</v>
      </c>
      <c r="M131" s="63">
        <v>0.7</v>
      </c>
      <c r="N131" s="63">
        <v>0.11</v>
      </c>
      <c r="O131" s="63">
        <v>0.89</v>
      </c>
      <c r="P131" s="63">
        <v>0.6</v>
      </c>
      <c r="Q131" s="83">
        <v>1</v>
      </c>
      <c r="R131" s="271">
        <v>164</v>
      </c>
      <c r="S131" s="140">
        <v>0.11388888888888889</v>
      </c>
      <c r="T131" s="106">
        <v>4</v>
      </c>
      <c r="U131" s="63" t="str">
        <f t="shared" si="82"/>
        <v>Normal</v>
      </c>
      <c r="V131" s="63" t="str">
        <f t="shared" si="83"/>
        <v>Normal</v>
      </c>
      <c r="W131" s="63">
        <f t="shared" si="84"/>
        <v>0</v>
      </c>
      <c r="X131" s="63">
        <f t="shared" si="85"/>
        <v>0</v>
      </c>
    </row>
    <row r="132" spans="1:24">
      <c r="A132" s="24">
        <v>45513</v>
      </c>
      <c r="B132" s="392">
        <f>IF(YEAR(Table6[[#This Row],[Date]]) = 2024, WEEKNUM(Table6[[#This Row],[Date]])-13, WEEKNUM(Table6[[#This Row],[Date]])+40)</f>
        <v>19</v>
      </c>
      <c r="C132" s="31" t="s">
        <v>52</v>
      </c>
      <c r="D132" s="59" t="s">
        <v>48</v>
      </c>
      <c r="E132" s="1">
        <v>404</v>
      </c>
      <c r="F132" s="1">
        <v>342</v>
      </c>
      <c r="G132" s="61">
        <v>-0.206286836935167</v>
      </c>
      <c r="H132" s="61">
        <v>5.8823529411764705E-2</v>
      </c>
      <c r="I132" s="1">
        <v>2508</v>
      </c>
      <c r="J132" s="1">
        <v>1952</v>
      </c>
      <c r="K132" s="1">
        <f>Table3[[#This Row],[Calls Off]]+K131</f>
        <v>38566</v>
      </c>
      <c r="L132" s="1">
        <f>Table3[[#This Row],[Calls Ans]]+L131</f>
        <v>32124</v>
      </c>
      <c r="M132" s="63">
        <v>0.56999999999999995</v>
      </c>
      <c r="N132" s="63">
        <v>0.15</v>
      </c>
      <c r="O132" s="63">
        <v>0.85</v>
      </c>
      <c r="P132" s="63">
        <v>0.59</v>
      </c>
      <c r="Q132" s="83">
        <v>1</v>
      </c>
      <c r="R132" s="271">
        <v>362</v>
      </c>
      <c r="S132" s="140">
        <v>0.25138888888888888</v>
      </c>
      <c r="T132" s="106">
        <v>4</v>
      </c>
      <c r="U132" s="63" t="str">
        <f t="shared" ref="U132:U133" si="86">IF(OR(G132&lt;$AB$5,G132&gt;$AC$5), "Outlier", "Normal")</f>
        <v>Normal</v>
      </c>
      <c r="V132" s="63" t="str">
        <f t="shared" ref="V132:V133" si="87">IF(OR(H132&lt;$AB$6,H132&gt;$AC$6), "Outlier", "Normal")</f>
        <v>Normal</v>
      </c>
      <c r="W132" s="63">
        <f t="shared" ref="W132:W133" si="88">IF(U132="Normal",$G132,IF($G132&lt;150%, $G132, $AB$9))</f>
        <v>-0.206286836935167</v>
      </c>
      <c r="X132" s="63">
        <f t="shared" ref="X132:X133" si="89">IF(V132="Normal",$H132,IF($H132&lt;150%, $H132, $AF$9))</f>
        <v>5.8823529411764705E-2</v>
      </c>
    </row>
    <row r="133" spans="1:24">
      <c r="A133" s="24">
        <v>45514</v>
      </c>
      <c r="B133" s="392">
        <f>IF(YEAR(Table6[[#This Row],[Date]]) = 2024, WEEKNUM(Table6[[#This Row],[Date]])-13, WEEKNUM(Table6[[#This Row],[Date]])+40)</f>
        <v>19</v>
      </c>
      <c r="C133" s="31" t="s">
        <v>53</v>
      </c>
      <c r="D133" s="59" t="s">
        <v>48</v>
      </c>
      <c r="E133" s="1">
        <v>241</v>
      </c>
      <c r="F133" s="1">
        <v>206</v>
      </c>
      <c r="G133" s="61">
        <v>0.13679245283018868</v>
      </c>
      <c r="H133" s="61">
        <v>0.53731343283582089</v>
      </c>
      <c r="I133" s="1">
        <v>2749</v>
      </c>
      <c r="J133" s="1">
        <v>2158</v>
      </c>
      <c r="K133" s="1">
        <f>Table3[[#This Row],[Calls Off]]+K132</f>
        <v>38807</v>
      </c>
      <c r="L133" s="1">
        <f>Table3[[#This Row],[Calls Ans]]+L132</f>
        <v>32330</v>
      </c>
      <c r="M133" s="63">
        <v>0.72</v>
      </c>
      <c r="N133" s="63">
        <v>0.15</v>
      </c>
      <c r="O133" s="63">
        <v>0.85</v>
      </c>
      <c r="P133" s="63">
        <v>0.47</v>
      </c>
      <c r="Q133" s="83">
        <v>1</v>
      </c>
      <c r="R133" s="271">
        <v>162</v>
      </c>
      <c r="S133" s="140">
        <v>8.6805555555555566E-2</v>
      </c>
      <c r="T133" s="106">
        <v>3</v>
      </c>
      <c r="U133" s="63" t="str">
        <f t="shared" si="86"/>
        <v>Normal</v>
      </c>
      <c r="V133" s="63" t="str">
        <f t="shared" si="87"/>
        <v>Outlier</v>
      </c>
      <c r="W133" s="63">
        <f t="shared" si="88"/>
        <v>0.13679245283018868</v>
      </c>
      <c r="X133" s="63">
        <f t="shared" si="89"/>
        <v>0.53731343283582089</v>
      </c>
    </row>
    <row r="134" spans="1:24">
      <c r="A134" s="24">
        <v>45515</v>
      </c>
      <c r="B134" s="392">
        <f>IF(YEAR(Table6[[#This Row],[Date]]) = 2024, WEEKNUM(Table6[[#This Row],[Date]])-13, WEEKNUM(Table6[[#This Row],[Date]])+40)</f>
        <v>20</v>
      </c>
      <c r="C134" s="31" t="s">
        <v>54</v>
      </c>
      <c r="D134" s="59" t="s">
        <v>48</v>
      </c>
      <c r="E134" s="1">
        <v>0</v>
      </c>
      <c r="F134" s="1">
        <v>0</v>
      </c>
      <c r="G134" s="61">
        <v>0</v>
      </c>
      <c r="H134" s="61">
        <v>0</v>
      </c>
      <c r="I134" s="1">
        <v>0</v>
      </c>
      <c r="J134" s="1">
        <v>0</v>
      </c>
      <c r="K134" s="1">
        <v>0</v>
      </c>
      <c r="L134" s="1">
        <v>0</v>
      </c>
      <c r="M134" s="63">
        <v>0</v>
      </c>
      <c r="N134" s="63">
        <v>0</v>
      </c>
      <c r="O134" s="63">
        <v>0</v>
      </c>
      <c r="P134" s="63">
        <v>0</v>
      </c>
      <c r="Q134" s="83">
        <v>0</v>
      </c>
      <c r="R134" s="271">
        <v>0</v>
      </c>
      <c r="S134" s="140">
        <v>0</v>
      </c>
      <c r="T134" s="106">
        <v>0</v>
      </c>
      <c r="U134" s="63" t="str">
        <f t="shared" ref="U134" si="90">IF(OR(G134&lt;$AB$5,G134&gt;$AC$5), "Outlier", "Normal")</f>
        <v>Normal</v>
      </c>
      <c r="V134" s="63" t="str">
        <f t="shared" ref="V134" si="91">IF(OR(H134&lt;$AB$6,H134&gt;$AC$6), "Outlier", "Normal")</f>
        <v>Normal</v>
      </c>
      <c r="W134" s="63">
        <f t="shared" ref="W134" si="92">IF(U134="Normal",$G134,IF($G134&lt;150%, $G134, $AB$9))</f>
        <v>0</v>
      </c>
      <c r="X134" s="63">
        <f t="shared" ref="X134" si="93">IF(V134="Normal",$H134,IF($H134&lt;150%, $H134, $AF$9))</f>
        <v>0</v>
      </c>
    </row>
    <row r="135" spans="1:24">
      <c r="A135" s="24">
        <v>45516</v>
      </c>
      <c r="B135" s="24"/>
      <c r="C135" s="31"/>
      <c r="D135" s="59"/>
      <c r="E135" s="1"/>
      <c r="F135" s="1"/>
      <c r="G135" s="61"/>
      <c r="H135" s="61"/>
      <c r="I135" s="1"/>
      <c r="J135" s="1"/>
      <c r="K135" s="1"/>
      <c r="L135" s="1"/>
      <c r="M135" s="63"/>
      <c r="N135" s="63"/>
      <c r="O135" s="63"/>
      <c r="P135" s="63"/>
      <c r="Q135" s="83"/>
      <c r="R135" s="271"/>
      <c r="S135" s="140"/>
      <c r="T135" s="106"/>
      <c r="U135" s="63"/>
      <c r="V135" s="63"/>
      <c r="W135" s="63"/>
      <c r="X135" s="63"/>
    </row>
    <row r="136" spans="1:24">
      <c r="A136" s="24">
        <v>45517</v>
      </c>
      <c r="B136" s="24"/>
      <c r="C136" s="31"/>
      <c r="D136" s="59"/>
      <c r="E136" s="1"/>
      <c r="F136" s="1"/>
      <c r="G136" s="61"/>
      <c r="H136" s="61"/>
      <c r="I136" s="1"/>
      <c r="J136" s="1"/>
      <c r="K136" s="1"/>
      <c r="L136" s="1"/>
      <c r="M136" s="63"/>
      <c r="N136" s="63"/>
      <c r="O136" s="63"/>
      <c r="P136" s="63"/>
      <c r="Q136" s="83"/>
      <c r="R136" s="271"/>
      <c r="S136" s="140"/>
      <c r="T136" s="106"/>
      <c r="U136" s="63"/>
      <c r="V136" s="63"/>
      <c r="W136" s="63"/>
      <c r="X136" s="63"/>
    </row>
    <row r="137" spans="1:24">
      <c r="A137" s="24">
        <v>45518</v>
      </c>
      <c r="B137" s="24"/>
      <c r="C137" s="31"/>
      <c r="D137" s="59"/>
      <c r="E137" s="1"/>
      <c r="F137" s="1"/>
      <c r="G137" s="61"/>
      <c r="H137" s="61"/>
      <c r="I137" s="1"/>
      <c r="J137" s="1"/>
      <c r="K137" s="1"/>
      <c r="L137" s="1"/>
      <c r="M137" s="63"/>
      <c r="N137" s="63"/>
      <c r="O137" s="63"/>
      <c r="P137" s="63"/>
      <c r="Q137" s="83"/>
      <c r="R137" s="271"/>
      <c r="S137" s="140"/>
      <c r="T137" s="106"/>
      <c r="U137" s="63"/>
      <c r="V137" s="63"/>
      <c r="W137" s="63"/>
      <c r="X137" s="63"/>
    </row>
    <row r="138" spans="1:24">
      <c r="A138" s="24">
        <v>45519</v>
      </c>
      <c r="B138" s="24"/>
      <c r="C138" s="31"/>
      <c r="D138" s="59"/>
      <c r="E138" s="1"/>
      <c r="F138" s="1"/>
      <c r="G138" s="61"/>
      <c r="H138" s="61"/>
      <c r="I138" s="1"/>
      <c r="J138" s="1"/>
      <c r="K138" s="1"/>
      <c r="L138" s="1"/>
      <c r="M138" s="63"/>
      <c r="N138" s="63"/>
      <c r="O138" s="63"/>
      <c r="P138" s="63"/>
      <c r="Q138" s="83"/>
      <c r="R138" s="271"/>
      <c r="S138" s="140"/>
      <c r="T138" s="106"/>
      <c r="U138" s="63"/>
      <c r="V138" s="63"/>
      <c r="W138" s="63"/>
      <c r="X138" s="63"/>
    </row>
    <row r="139" spans="1:24">
      <c r="A139" s="24">
        <v>45520</v>
      </c>
      <c r="B139" s="24"/>
      <c r="C139" s="31"/>
      <c r="D139" s="59"/>
      <c r="E139" s="1"/>
      <c r="F139" s="1"/>
      <c r="G139" s="61"/>
      <c r="H139" s="61"/>
      <c r="I139" s="1"/>
      <c r="J139" s="1"/>
      <c r="K139" s="1"/>
      <c r="L139" s="1"/>
      <c r="M139" s="63"/>
      <c r="N139" s="63"/>
      <c r="O139" s="63"/>
      <c r="P139" s="63"/>
      <c r="Q139" s="83"/>
      <c r="R139" s="271"/>
      <c r="S139" s="140"/>
      <c r="T139" s="106"/>
      <c r="U139" s="63"/>
      <c r="V139" s="63"/>
      <c r="W139" s="63"/>
      <c r="X139" s="63"/>
    </row>
    <row r="140" spans="1:24">
      <c r="A140" s="24">
        <v>45521</v>
      </c>
      <c r="B140" s="24"/>
      <c r="C140" s="31"/>
      <c r="D140" s="59"/>
      <c r="E140" s="1"/>
      <c r="F140" s="1"/>
      <c r="G140" s="61"/>
      <c r="H140" s="61"/>
      <c r="I140" s="1"/>
      <c r="J140" s="1"/>
      <c r="K140" s="1"/>
      <c r="L140" s="1"/>
      <c r="M140" s="63"/>
      <c r="N140" s="63"/>
      <c r="O140" s="63"/>
      <c r="P140" s="63"/>
      <c r="Q140" s="83"/>
      <c r="R140" s="271"/>
      <c r="S140" s="140"/>
      <c r="T140" s="106"/>
      <c r="U140" s="63"/>
      <c r="V140" s="63"/>
      <c r="W140" s="63"/>
      <c r="X140" s="63"/>
    </row>
    <row r="141" spans="1:24">
      <c r="A141" s="24">
        <v>45522</v>
      </c>
      <c r="B141" s="24"/>
      <c r="C141" s="31"/>
      <c r="D141" s="59"/>
      <c r="E141" s="1"/>
      <c r="F141" s="1"/>
      <c r="G141" s="61"/>
      <c r="H141" s="61"/>
      <c r="I141" s="1"/>
      <c r="J141" s="1"/>
      <c r="K141" s="1"/>
      <c r="L141" s="1"/>
      <c r="M141" s="63"/>
      <c r="N141" s="63"/>
      <c r="O141" s="63"/>
      <c r="P141" s="63"/>
      <c r="Q141" s="83"/>
      <c r="R141" s="271"/>
      <c r="S141" s="140"/>
      <c r="T141" s="106"/>
      <c r="U141" s="63"/>
      <c r="V141" s="63"/>
      <c r="W141" s="63"/>
      <c r="X141" s="63"/>
    </row>
    <row r="142" spans="1:24">
      <c r="A142" s="24">
        <v>45523</v>
      </c>
      <c r="B142" s="24"/>
      <c r="C142" s="31"/>
      <c r="D142" s="59"/>
      <c r="E142" s="1"/>
      <c r="F142" s="1"/>
      <c r="G142" s="61"/>
      <c r="H142" s="61"/>
      <c r="I142" s="1"/>
      <c r="J142" s="1"/>
      <c r="K142" s="1"/>
      <c r="L142" s="1"/>
      <c r="M142" s="63"/>
      <c r="N142" s="63"/>
      <c r="O142" s="63"/>
      <c r="P142" s="63"/>
      <c r="Q142" s="83"/>
      <c r="R142" s="271"/>
      <c r="S142" s="140"/>
      <c r="T142" s="106"/>
      <c r="U142" s="63"/>
      <c r="V142" s="63"/>
      <c r="W142" s="63"/>
      <c r="X142" s="63"/>
    </row>
    <row r="143" spans="1:24">
      <c r="A143" s="24">
        <v>45524</v>
      </c>
      <c r="B143" s="24"/>
      <c r="C143" s="31"/>
      <c r="D143" s="59"/>
      <c r="E143" s="1"/>
      <c r="F143" s="1"/>
      <c r="G143" s="61"/>
      <c r="H143" s="61"/>
      <c r="I143" s="1"/>
      <c r="J143" s="1"/>
      <c r="K143" s="1"/>
      <c r="L143" s="1"/>
      <c r="M143" s="63"/>
      <c r="N143" s="63"/>
      <c r="O143" s="63"/>
      <c r="P143" s="63"/>
      <c r="Q143" s="83"/>
      <c r="R143" s="271"/>
      <c r="S143" s="140"/>
      <c r="T143" s="106"/>
      <c r="U143" s="63"/>
      <c r="V143" s="63"/>
      <c r="W143" s="63"/>
      <c r="X143" s="63"/>
    </row>
    <row r="144" spans="1:24">
      <c r="A144" s="24">
        <v>45525</v>
      </c>
      <c r="B144" s="24"/>
      <c r="C144" s="31"/>
      <c r="D144" s="59"/>
      <c r="E144" s="1"/>
      <c r="F144" s="1"/>
      <c r="G144" s="61"/>
      <c r="H144" s="61"/>
      <c r="I144" s="1"/>
      <c r="J144" s="1"/>
      <c r="K144" s="1"/>
      <c r="L144" s="1"/>
      <c r="M144" s="63"/>
      <c r="N144" s="63"/>
      <c r="O144" s="63"/>
      <c r="P144" s="63"/>
      <c r="Q144" s="83"/>
      <c r="R144" s="271"/>
      <c r="S144" s="140"/>
      <c r="T144" s="106"/>
      <c r="U144" s="63"/>
      <c r="V144" s="63"/>
      <c r="W144" s="63"/>
      <c r="X144" s="63"/>
    </row>
    <row r="145" spans="1:24">
      <c r="A145" s="24">
        <v>45526</v>
      </c>
      <c r="B145" s="24"/>
      <c r="C145" s="31"/>
      <c r="D145" s="59"/>
      <c r="E145" s="1"/>
      <c r="F145" s="1"/>
      <c r="G145" s="61"/>
      <c r="H145" s="61"/>
      <c r="I145" s="1"/>
      <c r="J145" s="1"/>
      <c r="K145" s="1"/>
      <c r="L145" s="1"/>
      <c r="M145" s="63"/>
      <c r="N145" s="63"/>
      <c r="O145" s="63"/>
      <c r="P145" s="63"/>
      <c r="Q145" s="83"/>
      <c r="R145" s="274"/>
      <c r="S145" s="158"/>
      <c r="T145" s="162"/>
      <c r="U145" s="63"/>
      <c r="V145" s="63"/>
      <c r="W145" s="63"/>
      <c r="X145" s="63"/>
    </row>
    <row r="146" spans="1:24">
      <c r="A146" s="24">
        <v>45527</v>
      </c>
      <c r="B146" s="24"/>
      <c r="C146" s="31"/>
      <c r="D146" s="59"/>
      <c r="E146" s="1"/>
      <c r="F146" s="1"/>
      <c r="G146" s="61"/>
      <c r="H146" s="61"/>
      <c r="I146" s="1"/>
      <c r="J146" s="1"/>
      <c r="K146" s="1"/>
      <c r="L146" s="1"/>
      <c r="M146" s="63"/>
      <c r="N146" s="63"/>
      <c r="O146" s="63"/>
      <c r="P146" s="63"/>
      <c r="Q146" s="83"/>
      <c r="R146" s="271"/>
      <c r="S146" s="140"/>
      <c r="T146" s="106"/>
      <c r="U146" s="63"/>
      <c r="V146" s="63"/>
      <c r="W146" s="63"/>
      <c r="X146" s="63"/>
    </row>
    <row r="147" spans="1:24">
      <c r="A147" s="24">
        <v>45528</v>
      </c>
      <c r="B147" s="24"/>
      <c r="C147" s="31"/>
      <c r="D147" s="59"/>
      <c r="E147" s="1"/>
      <c r="F147" s="1"/>
      <c r="G147" s="61"/>
      <c r="H147" s="61"/>
      <c r="I147" s="1"/>
      <c r="J147" s="1"/>
      <c r="K147" s="1"/>
      <c r="L147" s="1"/>
      <c r="M147" s="63"/>
      <c r="N147" s="63"/>
      <c r="O147" s="63"/>
      <c r="P147" s="63"/>
      <c r="Q147" s="83"/>
      <c r="R147" s="271"/>
      <c r="S147" s="140"/>
      <c r="T147" s="106"/>
      <c r="U147" s="63"/>
      <c r="V147" s="63"/>
      <c r="W147" s="63"/>
      <c r="X147" s="63"/>
    </row>
    <row r="148" spans="1:24">
      <c r="A148" s="24">
        <v>45529</v>
      </c>
      <c r="B148" s="24"/>
      <c r="C148" s="31"/>
      <c r="D148" s="59"/>
      <c r="E148" s="1"/>
      <c r="F148" s="1"/>
      <c r="G148" s="61"/>
      <c r="H148" s="61"/>
      <c r="I148" s="1"/>
      <c r="J148" s="1"/>
      <c r="K148" s="1"/>
      <c r="L148" s="1"/>
      <c r="M148" s="63"/>
      <c r="N148" s="63"/>
      <c r="O148" s="63"/>
      <c r="P148" s="63"/>
      <c r="Q148" s="83"/>
      <c r="R148" s="271"/>
      <c r="S148" s="140"/>
      <c r="T148" s="106"/>
      <c r="U148" s="63"/>
      <c r="V148" s="63"/>
      <c r="W148" s="63"/>
      <c r="X148" s="63"/>
    </row>
    <row r="149" spans="1:24">
      <c r="A149" s="24">
        <v>45530</v>
      </c>
      <c r="B149" s="24"/>
      <c r="C149" s="31"/>
      <c r="D149" s="59"/>
      <c r="E149" s="1"/>
      <c r="F149" s="1"/>
      <c r="G149" s="61"/>
      <c r="H149" s="61"/>
      <c r="I149" s="1"/>
      <c r="J149" s="1"/>
      <c r="K149" s="1"/>
      <c r="L149" s="1"/>
      <c r="M149" s="63"/>
      <c r="N149" s="63"/>
      <c r="O149" s="63"/>
      <c r="P149" s="63"/>
      <c r="Q149" s="83"/>
      <c r="R149" s="271"/>
      <c r="S149" s="140"/>
      <c r="T149" s="106"/>
      <c r="U149" s="63"/>
      <c r="V149" s="63"/>
      <c r="W149" s="63"/>
      <c r="X149" s="63"/>
    </row>
    <row r="150" spans="1:24">
      <c r="A150" s="24">
        <v>45531</v>
      </c>
      <c r="B150" s="24"/>
      <c r="C150" s="31"/>
      <c r="D150" s="59"/>
      <c r="E150" s="1"/>
      <c r="F150" s="1"/>
      <c r="G150" s="61"/>
      <c r="H150" s="61"/>
      <c r="I150" s="1"/>
      <c r="J150" s="1"/>
      <c r="K150" s="1"/>
      <c r="L150" s="1"/>
      <c r="M150" s="63"/>
      <c r="N150" s="63"/>
      <c r="O150" s="63"/>
      <c r="P150" s="63"/>
      <c r="Q150" s="83"/>
      <c r="R150" s="271"/>
      <c r="S150" s="140"/>
      <c r="T150" s="106"/>
      <c r="U150" s="63"/>
      <c r="V150" s="63"/>
      <c r="W150" s="63"/>
      <c r="X150" s="63"/>
    </row>
    <row r="151" spans="1:24">
      <c r="A151" s="24">
        <v>45532</v>
      </c>
      <c r="B151" s="24"/>
      <c r="C151" s="31"/>
      <c r="D151" s="59"/>
      <c r="E151" s="1"/>
      <c r="F151" s="1"/>
      <c r="G151" s="61"/>
      <c r="H151" s="61"/>
      <c r="I151" s="1"/>
      <c r="J151" s="1"/>
      <c r="K151" s="1"/>
      <c r="L151" s="1"/>
      <c r="M151" s="63"/>
      <c r="N151" s="63"/>
      <c r="O151" s="63"/>
      <c r="P151" s="63"/>
      <c r="Q151" s="83"/>
      <c r="R151" s="271"/>
      <c r="S151" s="140"/>
      <c r="T151" s="106"/>
      <c r="U151" s="63"/>
      <c r="V151" s="63"/>
      <c r="W151" s="63"/>
      <c r="X151" s="63"/>
    </row>
    <row r="152" spans="1:24">
      <c r="A152" s="24">
        <v>45533</v>
      </c>
      <c r="B152" s="24"/>
      <c r="C152" s="31"/>
      <c r="D152" s="59"/>
      <c r="E152" s="1"/>
      <c r="F152" s="1"/>
      <c r="G152" s="61"/>
      <c r="H152" s="61"/>
      <c r="I152" s="1"/>
      <c r="J152" s="1"/>
      <c r="K152" s="1"/>
      <c r="L152" s="1"/>
      <c r="M152" s="63"/>
      <c r="N152" s="63"/>
      <c r="O152" s="63"/>
      <c r="P152" s="63"/>
      <c r="Q152" s="83"/>
      <c r="R152" s="271"/>
      <c r="S152" s="140"/>
      <c r="T152" s="106"/>
      <c r="U152" s="63"/>
      <c r="V152" s="63"/>
      <c r="W152" s="63"/>
      <c r="X152" s="63"/>
    </row>
    <row r="153" spans="1:24">
      <c r="A153" s="24">
        <v>45534</v>
      </c>
      <c r="B153" s="24"/>
      <c r="C153" s="31"/>
      <c r="D153" s="59"/>
      <c r="E153" s="1"/>
      <c r="F153" s="1"/>
      <c r="G153" s="61"/>
      <c r="H153" s="61"/>
      <c r="I153" s="1"/>
      <c r="J153" s="1"/>
      <c r="K153" s="1"/>
      <c r="L153" s="1"/>
      <c r="M153" s="63"/>
      <c r="N153" s="63"/>
      <c r="O153" s="63"/>
      <c r="P153" s="63"/>
      <c r="Q153" s="83"/>
      <c r="R153" s="271"/>
      <c r="S153" s="140"/>
      <c r="T153" s="106"/>
      <c r="U153" s="63"/>
      <c r="V153" s="63"/>
      <c r="W153" s="63"/>
      <c r="X153" s="63"/>
    </row>
    <row r="154" spans="1:24">
      <c r="A154" s="24">
        <v>45535</v>
      </c>
      <c r="B154" s="24"/>
      <c r="C154" s="31"/>
      <c r="D154" s="59"/>
      <c r="E154" s="1"/>
      <c r="F154" s="1"/>
      <c r="G154" s="61"/>
      <c r="H154" s="61"/>
      <c r="I154" s="1"/>
      <c r="J154" s="1"/>
      <c r="K154" s="1"/>
      <c r="L154" s="1"/>
      <c r="M154" s="63"/>
      <c r="N154" s="63"/>
      <c r="O154" s="63"/>
      <c r="P154" s="63"/>
      <c r="Q154" s="83"/>
      <c r="R154" s="271"/>
      <c r="S154" s="140"/>
      <c r="T154" s="106"/>
      <c r="U154" s="63"/>
      <c r="V154" s="63"/>
      <c r="W154" s="63"/>
      <c r="X154" s="63"/>
    </row>
    <row r="155" spans="1:24" s="44" customFormat="1">
      <c r="A155" s="24">
        <v>45536</v>
      </c>
      <c r="B155" s="24"/>
      <c r="C155" s="72"/>
      <c r="D155" s="72"/>
      <c r="E155" s="62"/>
      <c r="F155" s="62"/>
      <c r="G155" s="75"/>
      <c r="H155" s="75"/>
      <c r="I155" s="62"/>
      <c r="J155" s="62"/>
      <c r="K155" s="62"/>
      <c r="L155" s="62"/>
      <c r="M155" s="134"/>
      <c r="N155" s="134"/>
      <c r="O155" s="134"/>
      <c r="P155" s="134"/>
      <c r="Q155" s="135"/>
      <c r="R155" s="277"/>
      <c r="S155" s="160"/>
      <c r="T155" s="269"/>
      <c r="U155" s="134"/>
      <c r="V155" s="134"/>
      <c r="W155" s="134"/>
      <c r="X155" s="134"/>
    </row>
    <row r="156" spans="1:24">
      <c r="A156" s="24">
        <v>45537</v>
      </c>
      <c r="B156" s="24"/>
      <c r="C156" s="31"/>
      <c r="D156" s="59"/>
      <c r="E156" s="1"/>
      <c r="F156" s="1"/>
      <c r="G156" s="61"/>
      <c r="H156" s="61"/>
      <c r="I156" s="1"/>
      <c r="J156" s="1"/>
      <c r="K156" s="1"/>
      <c r="L156" s="1"/>
      <c r="M156" s="63"/>
      <c r="N156" s="63"/>
      <c r="O156" s="63"/>
      <c r="P156" s="63"/>
      <c r="Q156" s="83"/>
      <c r="R156" s="271"/>
      <c r="S156" s="140"/>
      <c r="T156" s="163"/>
      <c r="U156" s="63"/>
      <c r="V156" s="63"/>
      <c r="W156" s="63"/>
      <c r="X156" s="63"/>
    </row>
    <row r="157" spans="1:24">
      <c r="A157" s="24">
        <v>45538</v>
      </c>
      <c r="B157" s="24"/>
      <c r="C157" s="31"/>
      <c r="D157" s="59"/>
      <c r="E157" s="1"/>
      <c r="F157" s="1"/>
      <c r="G157" s="61"/>
      <c r="H157" s="61"/>
      <c r="I157" s="1"/>
      <c r="J157" s="1"/>
      <c r="K157" s="1"/>
      <c r="L157" s="1"/>
      <c r="M157" s="63"/>
      <c r="N157" s="63"/>
      <c r="O157" s="63"/>
      <c r="P157" s="63"/>
      <c r="Q157" s="83"/>
      <c r="R157" s="271"/>
      <c r="S157" s="140"/>
      <c r="T157" s="163"/>
      <c r="U157" s="63"/>
      <c r="V157" s="63"/>
      <c r="W157" s="63"/>
      <c r="X157" s="63"/>
    </row>
    <row r="158" spans="1:24">
      <c r="A158" s="24">
        <v>45539</v>
      </c>
      <c r="B158" s="24"/>
      <c r="C158" s="31"/>
      <c r="D158" s="59"/>
      <c r="E158" s="1"/>
      <c r="F158" s="1"/>
      <c r="G158" s="61"/>
      <c r="H158" s="61"/>
      <c r="I158" s="1"/>
      <c r="J158" s="1"/>
      <c r="K158" s="1"/>
      <c r="L158" s="1"/>
      <c r="M158" s="63"/>
      <c r="N158" s="63"/>
      <c r="O158" s="63"/>
      <c r="P158" s="63"/>
      <c r="Q158" s="83"/>
      <c r="R158" s="271"/>
      <c r="S158" s="140"/>
      <c r="T158" s="163"/>
      <c r="U158" s="63"/>
      <c r="V158" s="63"/>
      <c r="W158" s="63"/>
      <c r="X158" s="63"/>
    </row>
    <row r="159" spans="1:24">
      <c r="A159" s="24">
        <v>45540</v>
      </c>
      <c r="B159" s="24"/>
      <c r="C159" s="31"/>
      <c r="D159" s="59"/>
      <c r="E159" s="1"/>
      <c r="F159" s="1"/>
      <c r="G159" s="61"/>
      <c r="H159" s="61"/>
      <c r="I159" s="1"/>
      <c r="J159" s="1"/>
      <c r="K159" s="1"/>
      <c r="L159" s="1"/>
      <c r="M159" s="63"/>
      <c r="N159" s="63"/>
      <c r="O159" s="63"/>
      <c r="P159" s="63"/>
      <c r="Q159" s="83"/>
      <c r="R159" s="271"/>
      <c r="S159" s="140"/>
      <c r="T159" s="163"/>
      <c r="U159" s="63"/>
      <c r="V159" s="63"/>
      <c r="W159" s="63"/>
      <c r="X159" s="63"/>
    </row>
    <row r="160" spans="1:24">
      <c r="A160" s="24">
        <v>45541</v>
      </c>
      <c r="B160" s="24"/>
      <c r="C160" s="31"/>
      <c r="D160" s="59"/>
      <c r="E160" s="1"/>
      <c r="F160" s="1"/>
      <c r="G160" s="61"/>
      <c r="H160" s="61"/>
      <c r="I160" s="1"/>
      <c r="J160" s="1"/>
      <c r="K160" s="1"/>
      <c r="L160" s="1"/>
      <c r="M160" s="63"/>
      <c r="N160" s="63"/>
      <c r="O160" s="63"/>
      <c r="P160" s="63"/>
      <c r="Q160" s="83"/>
      <c r="R160" s="271"/>
      <c r="S160" s="140"/>
      <c r="T160" s="163"/>
      <c r="U160" s="63"/>
      <c r="V160" s="63"/>
      <c r="W160" s="63"/>
      <c r="X160" s="63"/>
    </row>
    <row r="161" spans="1:24">
      <c r="A161" s="24">
        <v>45542</v>
      </c>
      <c r="B161" s="24"/>
      <c r="C161" s="31"/>
      <c r="D161" s="59"/>
      <c r="E161" s="1"/>
      <c r="F161" s="1"/>
      <c r="G161" s="61"/>
      <c r="H161" s="61"/>
      <c r="I161" s="1"/>
      <c r="J161" s="1"/>
      <c r="K161" s="1"/>
      <c r="L161" s="1"/>
      <c r="M161" s="63"/>
      <c r="N161" s="63"/>
      <c r="O161" s="63"/>
      <c r="P161" s="63"/>
      <c r="Q161" s="83"/>
      <c r="R161" s="271"/>
      <c r="S161" s="140"/>
      <c r="T161" s="163"/>
      <c r="U161" s="63"/>
      <c r="V161" s="63"/>
      <c r="W161" s="63"/>
      <c r="X161" s="63"/>
    </row>
    <row r="162" spans="1:24">
      <c r="A162" s="24">
        <v>45543</v>
      </c>
      <c r="B162" s="24"/>
      <c r="C162" s="31"/>
      <c r="D162" s="59"/>
      <c r="E162" s="1"/>
      <c r="F162" s="1"/>
      <c r="G162" s="61"/>
      <c r="H162" s="61"/>
      <c r="I162" s="1"/>
      <c r="J162" s="1"/>
      <c r="K162" s="1"/>
      <c r="L162" s="1"/>
      <c r="M162" s="63"/>
      <c r="N162" s="63"/>
      <c r="O162" s="63"/>
      <c r="P162" s="63"/>
      <c r="Q162" s="83"/>
      <c r="R162" s="271"/>
      <c r="S162" s="140"/>
      <c r="T162" s="163"/>
      <c r="U162" s="63"/>
      <c r="V162" s="63"/>
      <c r="W162" s="63"/>
      <c r="X162" s="63"/>
    </row>
    <row r="163" spans="1:24">
      <c r="A163" s="24">
        <v>45544</v>
      </c>
      <c r="B163" s="24"/>
      <c r="C163" s="31"/>
      <c r="D163" s="59"/>
      <c r="E163" s="1"/>
      <c r="F163" s="1"/>
      <c r="G163" s="61"/>
      <c r="H163" s="61"/>
      <c r="I163" s="1"/>
      <c r="J163" s="1"/>
      <c r="K163" s="1"/>
      <c r="L163" s="1"/>
      <c r="M163" s="63"/>
      <c r="N163" s="63"/>
      <c r="O163" s="63"/>
      <c r="P163" s="63"/>
      <c r="Q163" s="83"/>
      <c r="R163" s="271"/>
      <c r="S163" s="140"/>
      <c r="T163" s="163"/>
      <c r="U163" s="63"/>
      <c r="V163" s="63"/>
      <c r="W163" s="63"/>
      <c r="X163" s="63"/>
    </row>
    <row r="164" spans="1:24">
      <c r="A164" s="24">
        <v>45545</v>
      </c>
      <c r="B164" s="24"/>
      <c r="C164" s="31"/>
      <c r="D164" s="59"/>
      <c r="E164" s="1"/>
      <c r="F164" s="1"/>
      <c r="G164" s="61"/>
      <c r="H164" s="61"/>
      <c r="I164" s="1"/>
      <c r="J164" s="1"/>
      <c r="K164" s="1"/>
      <c r="L164" s="1"/>
      <c r="M164" s="63"/>
      <c r="N164" s="63"/>
      <c r="O164" s="63"/>
      <c r="P164" s="63"/>
      <c r="Q164" s="83"/>
      <c r="R164" s="271"/>
      <c r="S164" s="140"/>
      <c r="T164" s="163"/>
      <c r="U164" s="63"/>
      <c r="V164" s="63"/>
      <c r="W164" s="63"/>
      <c r="X164" s="63"/>
    </row>
    <row r="165" spans="1:24">
      <c r="A165" s="24">
        <v>45546</v>
      </c>
      <c r="B165" s="24"/>
      <c r="C165" s="31"/>
      <c r="D165" s="59"/>
      <c r="E165" s="1"/>
      <c r="F165" s="1"/>
      <c r="G165" s="61"/>
      <c r="H165" s="61"/>
      <c r="I165" s="1"/>
      <c r="J165" s="1"/>
      <c r="K165" s="1"/>
      <c r="L165" s="1"/>
      <c r="M165" s="63"/>
      <c r="N165" s="63"/>
      <c r="O165" s="63"/>
      <c r="P165" s="63"/>
      <c r="Q165" s="83"/>
      <c r="R165" s="271"/>
      <c r="S165" s="140"/>
      <c r="T165" s="163"/>
      <c r="U165" s="63"/>
      <c r="V165" s="63"/>
      <c r="W165" s="63"/>
      <c r="X165" s="63"/>
    </row>
    <row r="166" spans="1:24">
      <c r="A166" s="24">
        <v>45547</v>
      </c>
      <c r="B166" s="24"/>
      <c r="C166" s="31"/>
      <c r="D166" s="59"/>
      <c r="E166" s="1"/>
      <c r="F166" s="1"/>
      <c r="G166" s="61"/>
      <c r="H166" s="61"/>
      <c r="I166" s="1"/>
      <c r="J166" s="1"/>
      <c r="K166" s="1"/>
      <c r="L166" s="1"/>
      <c r="M166" s="63"/>
      <c r="N166" s="63"/>
      <c r="O166" s="63"/>
      <c r="P166" s="63"/>
      <c r="Q166" s="83"/>
      <c r="R166" s="271"/>
      <c r="S166" s="140"/>
      <c r="T166" s="106"/>
      <c r="U166" s="63"/>
      <c r="V166" s="63"/>
      <c r="W166" s="63"/>
      <c r="X166" s="63"/>
    </row>
    <row r="167" spans="1:24">
      <c r="A167" s="24">
        <v>45548</v>
      </c>
      <c r="B167" s="24"/>
      <c r="C167" s="31"/>
      <c r="D167" s="59"/>
      <c r="E167" s="1"/>
      <c r="F167" s="1"/>
      <c r="G167" s="61"/>
      <c r="H167" s="61"/>
      <c r="I167" s="1"/>
      <c r="J167" s="1"/>
      <c r="K167" s="1"/>
      <c r="L167" s="1"/>
      <c r="M167" s="63"/>
      <c r="N167" s="63"/>
      <c r="O167" s="63"/>
      <c r="P167" s="63"/>
      <c r="Q167" s="83"/>
      <c r="R167" s="271"/>
      <c r="S167" s="140"/>
      <c r="T167" s="106"/>
      <c r="U167" s="63"/>
      <c r="V167" s="63"/>
      <c r="W167" s="63"/>
      <c r="X167" s="63"/>
    </row>
    <row r="168" spans="1:24">
      <c r="A168" s="24">
        <v>45549</v>
      </c>
      <c r="B168" s="24"/>
      <c r="C168" s="31"/>
      <c r="D168" s="59"/>
      <c r="E168" s="1"/>
      <c r="F168" s="1"/>
      <c r="G168" s="61"/>
      <c r="H168" s="61"/>
      <c r="I168" s="1"/>
      <c r="J168" s="1"/>
      <c r="K168" s="1"/>
      <c r="L168" s="1"/>
      <c r="M168" s="63"/>
      <c r="N168" s="63"/>
      <c r="O168" s="63"/>
      <c r="P168" s="63"/>
      <c r="Q168" s="83"/>
      <c r="R168" s="271"/>
      <c r="S168" s="140"/>
      <c r="T168" s="106"/>
      <c r="U168" s="63"/>
      <c r="V168" s="63"/>
      <c r="W168" s="63"/>
      <c r="X168" s="63"/>
    </row>
    <row r="169" spans="1:24">
      <c r="A169" s="24">
        <v>45550</v>
      </c>
      <c r="B169" s="24"/>
      <c r="C169" s="31"/>
      <c r="D169" s="59"/>
      <c r="E169" s="1"/>
      <c r="F169" s="1"/>
      <c r="G169" s="61"/>
      <c r="H169" s="61"/>
      <c r="I169" s="1"/>
      <c r="J169" s="1"/>
      <c r="K169" s="1"/>
      <c r="L169" s="1"/>
      <c r="M169" s="63"/>
      <c r="N169" s="63"/>
      <c r="O169" s="63"/>
      <c r="P169" s="63"/>
      <c r="Q169" s="83"/>
      <c r="R169" s="271"/>
      <c r="S169" s="140"/>
      <c r="T169" s="106"/>
      <c r="U169" s="63"/>
      <c r="V169" s="63"/>
      <c r="W169" s="63"/>
      <c r="X169" s="63"/>
    </row>
    <row r="170" spans="1:24">
      <c r="A170" s="24">
        <v>45551</v>
      </c>
      <c r="B170" s="24"/>
      <c r="C170" s="31"/>
      <c r="D170" s="59"/>
      <c r="E170" s="1"/>
      <c r="F170" s="1"/>
      <c r="G170" s="61"/>
      <c r="H170" s="61"/>
      <c r="I170" s="1"/>
      <c r="J170" s="1"/>
      <c r="K170" s="1"/>
      <c r="L170" s="1"/>
      <c r="M170" s="63"/>
      <c r="N170" s="63"/>
      <c r="O170" s="63"/>
      <c r="P170" s="63"/>
      <c r="Q170" s="83"/>
      <c r="R170" s="271"/>
      <c r="S170" s="140"/>
      <c r="T170" s="106"/>
      <c r="U170" s="63"/>
      <c r="V170" s="63"/>
      <c r="W170" s="63"/>
      <c r="X170" s="63"/>
    </row>
    <row r="171" spans="1:24">
      <c r="A171" s="24">
        <v>45552</v>
      </c>
      <c r="B171" s="24"/>
      <c r="C171" s="31"/>
      <c r="D171" s="59"/>
      <c r="E171" s="1"/>
      <c r="F171" s="1"/>
      <c r="G171" s="61"/>
      <c r="H171" s="61"/>
      <c r="I171" s="1"/>
      <c r="J171" s="1"/>
      <c r="K171" s="1"/>
      <c r="L171" s="1"/>
      <c r="M171" s="63"/>
      <c r="N171" s="63"/>
      <c r="O171" s="63"/>
      <c r="P171" s="63"/>
      <c r="Q171" s="83"/>
      <c r="R171" s="271"/>
      <c r="S171" s="140"/>
      <c r="T171" s="106"/>
      <c r="U171" s="63"/>
      <c r="V171" s="63"/>
      <c r="W171" s="63"/>
      <c r="X171" s="63"/>
    </row>
    <row r="172" spans="1:24">
      <c r="A172" s="24">
        <v>45553</v>
      </c>
      <c r="B172" s="24"/>
      <c r="C172" s="31"/>
      <c r="D172" s="59"/>
      <c r="E172" s="1"/>
      <c r="F172" s="1"/>
      <c r="G172" s="61"/>
      <c r="H172" s="61"/>
      <c r="I172" s="1"/>
      <c r="J172" s="1"/>
      <c r="K172" s="1"/>
      <c r="L172" s="1"/>
      <c r="M172" s="63"/>
      <c r="N172" s="63"/>
      <c r="O172" s="63"/>
      <c r="P172" s="63"/>
      <c r="Q172" s="83"/>
      <c r="R172" s="274"/>
      <c r="S172" s="158"/>
      <c r="T172" s="162"/>
      <c r="U172" s="63"/>
      <c r="V172" s="63"/>
      <c r="W172" s="63"/>
      <c r="X172" s="63"/>
    </row>
    <row r="173" spans="1:24">
      <c r="A173" s="24">
        <v>45554</v>
      </c>
      <c r="B173" s="24"/>
      <c r="C173" s="31"/>
      <c r="D173" s="59"/>
      <c r="E173" s="1"/>
      <c r="F173" s="1"/>
      <c r="G173" s="61"/>
      <c r="H173" s="61"/>
      <c r="I173" s="1"/>
      <c r="J173" s="1"/>
      <c r="K173" s="1"/>
      <c r="L173" s="1"/>
      <c r="M173" s="63"/>
      <c r="N173" s="63"/>
      <c r="O173" s="63"/>
      <c r="P173" s="63"/>
      <c r="Q173" s="83"/>
      <c r="R173" s="271"/>
      <c r="S173" s="140"/>
      <c r="T173" s="106"/>
      <c r="U173" s="63"/>
      <c r="V173" s="63"/>
      <c r="W173" s="63"/>
      <c r="X173" s="63"/>
    </row>
    <row r="174" spans="1:24">
      <c r="A174" s="24">
        <v>45555</v>
      </c>
      <c r="B174" s="24"/>
      <c r="C174" s="31"/>
      <c r="D174" s="59"/>
      <c r="E174" s="1"/>
      <c r="F174" s="1"/>
      <c r="G174" s="61"/>
      <c r="H174" s="61"/>
      <c r="I174" s="1"/>
      <c r="J174" s="1"/>
      <c r="K174" s="1"/>
      <c r="L174" s="1"/>
      <c r="M174" s="63"/>
      <c r="N174" s="63"/>
      <c r="O174" s="63"/>
      <c r="P174" s="63"/>
      <c r="Q174" s="83"/>
      <c r="R174" s="271"/>
      <c r="S174" s="140"/>
      <c r="T174" s="106"/>
      <c r="U174" s="63"/>
      <c r="V174" s="63"/>
      <c r="W174" s="63"/>
      <c r="X174" s="63"/>
    </row>
    <row r="175" spans="1:24">
      <c r="A175" s="24">
        <v>45556</v>
      </c>
      <c r="B175" s="24"/>
      <c r="C175" s="31"/>
      <c r="D175" s="59"/>
      <c r="E175" s="1"/>
      <c r="F175" s="1"/>
      <c r="G175" s="61"/>
      <c r="H175" s="61"/>
      <c r="I175" s="1"/>
      <c r="J175" s="1"/>
      <c r="K175" s="1"/>
      <c r="L175" s="1"/>
      <c r="M175" s="63"/>
      <c r="N175" s="63"/>
      <c r="O175" s="63"/>
      <c r="P175" s="63"/>
      <c r="Q175" s="83"/>
      <c r="R175" s="271"/>
      <c r="S175" s="140"/>
      <c r="T175" s="106"/>
      <c r="U175" s="63"/>
      <c r="V175" s="63"/>
      <c r="W175" s="63"/>
      <c r="X175" s="63"/>
    </row>
    <row r="176" spans="1:24">
      <c r="A176" s="24">
        <v>45557</v>
      </c>
      <c r="B176" s="24"/>
      <c r="C176" s="31"/>
      <c r="D176" s="59"/>
      <c r="E176" s="1"/>
      <c r="F176" s="1"/>
      <c r="G176" s="61"/>
      <c r="H176" s="61"/>
      <c r="I176" s="1"/>
      <c r="J176" s="1"/>
      <c r="K176" s="1"/>
      <c r="L176" s="1"/>
      <c r="M176" s="63"/>
      <c r="N176" s="63"/>
      <c r="O176" s="63"/>
      <c r="P176" s="63"/>
      <c r="Q176" s="83"/>
      <c r="R176" s="271"/>
      <c r="S176" s="140"/>
      <c r="T176" s="106"/>
      <c r="U176" s="63"/>
      <c r="V176" s="63"/>
      <c r="W176" s="63"/>
      <c r="X176" s="63"/>
    </row>
    <row r="177" spans="1:30">
      <c r="A177" s="24">
        <v>45558</v>
      </c>
      <c r="B177" s="24"/>
      <c r="C177" s="31"/>
      <c r="D177" s="59"/>
      <c r="E177" s="1"/>
      <c r="F177" s="1"/>
      <c r="G177" s="61"/>
      <c r="H177" s="61"/>
      <c r="I177" s="1"/>
      <c r="J177" s="1"/>
      <c r="K177" s="1"/>
      <c r="L177" s="1"/>
      <c r="M177" s="63"/>
      <c r="N177" s="63"/>
      <c r="O177" s="63"/>
      <c r="P177" s="63"/>
      <c r="Q177" s="83"/>
      <c r="R177" s="271"/>
      <c r="S177" s="140"/>
      <c r="T177" s="106"/>
      <c r="U177" s="63"/>
      <c r="V177" s="63"/>
      <c r="W177" s="63"/>
      <c r="X177" s="63"/>
    </row>
    <row r="178" spans="1:30">
      <c r="A178" s="24">
        <v>45559</v>
      </c>
      <c r="B178" s="24"/>
      <c r="C178" s="31"/>
      <c r="D178" s="59"/>
      <c r="E178" s="1"/>
      <c r="F178" s="1"/>
      <c r="G178" s="61"/>
      <c r="H178" s="61"/>
      <c r="I178" s="1"/>
      <c r="J178" s="1"/>
      <c r="K178" s="1"/>
      <c r="L178" s="1"/>
      <c r="M178" s="63"/>
      <c r="N178" s="63"/>
      <c r="O178" s="63"/>
      <c r="P178" s="63"/>
      <c r="Q178" s="83"/>
      <c r="R178" s="271"/>
      <c r="S178" s="140"/>
      <c r="T178" s="106"/>
      <c r="U178" s="63"/>
      <c r="V178" s="63"/>
      <c r="W178" s="63"/>
      <c r="X178" s="63"/>
    </row>
    <row r="179" spans="1:30">
      <c r="A179" s="24">
        <v>45560</v>
      </c>
      <c r="B179" s="24"/>
      <c r="C179" s="31"/>
      <c r="D179" s="59"/>
      <c r="E179" s="1"/>
      <c r="F179" s="1"/>
      <c r="G179" s="61"/>
      <c r="H179" s="61"/>
      <c r="I179" s="1"/>
      <c r="J179" s="1"/>
      <c r="K179" s="1"/>
      <c r="L179" s="1"/>
      <c r="M179" s="63"/>
      <c r="N179" s="63"/>
      <c r="O179" s="63"/>
      <c r="P179" s="63"/>
      <c r="Q179" s="83"/>
      <c r="R179" s="274"/>
      <c r="S179" s="158"/>
      <c r="T179" s="162"/>
      <c r="U179" s="63"/>
      <c r="V179" s="63"/>
      <c r="W179" s="63"/>
      <c r="X179" s="63"/>
    </row>
    <row r="180" spans="1:30">
      <c r="A180" s="24">
        <v>45561</v>
      </c>
      <c r="B180" s="24"/>
      <c r="C180" s="31"/>
      <c r="D180" s="59"/>
      <c r="E180" s="1"/>
      <c r="F180" s="1"/>
      <c r="G180" s="61"/>
      <c r="H180" s="61"/>
      <c r="I180" s="1"/>
      <c r="J180" s="1"/>
      <c r="K180" s="1"/>
      <c r="L180" s="1"/>
      <c r="M180" s="63"/>
      <c r="N180" s="63"/>
      <c r="O180" s="63"/>
      <c r="P180" s="63"/>
      <c r="Q180" s="83"/>
      <c r="R180" s="271"/>
      <c r="S180" s="140"/>
      <c r="T180" s="106"/>
      <c r="U180" s="63"/>
      <c r="V180" s="63"/>
      <c r="W180" s="63"/>
      <c r="X180" s="63"/>
    </row>
    <row r="181" spans="1:30">
      <c r="A181" s="24">
        <v>45562</v>
      </c>
      <c r="B181" s="24"/>
      <c r="C181" s="31"/>
      <c r="D181" s="59"/>
      <c r="E181" s="1"/>
      <c r="F181" s="1"/>
      <c r="G181" s="61"/>
      <c r="H181" s="61"/>
      <c r="I181" s="1"/>
      <c r="J181" s="1"/>
      <c r="K181" s="1"/>
      <c r="L181" s="1"/>
      <c r="M181" s="63"/>
      <c r="N181" s="63"/>
      <c r="O181" s="63"/>
      <c r="P181" s="63"/>
      <c r="Q181" s="83"/>
      <c r="R181" s="271"/>
      <c r="S181" s="140"/>
      <c r="T181" s="106"/>
      <c r="U181" s="63"/>
      <c r="V181" s="63"/>
      <c r="W181" s="63"/>
      <c r="X181" s="63"/>
    </row>
    <row r="182" spans="1:30">
      <c r="A182" s="24">
        <v>45563</v>
      </c>
      <c r="B182" s="24"/>
      <c r="C182" s="31"/>
      <c r="D182" s="59"/>
      <c r="E182" s="1"/>
      <c r="F182" s="1"/>
      <c r="G182" s="61"/>
      <c r="H182" s="61"/>
      <c r="I182" s="1"/>
      <c r="J182" s="1"/>
      <c r="K182" s="1"/>
      <c r="L182" s="1"/>
      <c r="M182" s="63"/>
      <c r="N182" s="63"/>
      <c r="O182" s="63"/>
      <c r="P182" s="63"/>
      <c r="Q182" s="83"/>
      <c r="R182" s="271"/>
      <c r="S182" s="140"/>
      <c r="T182" s="106"/>
      <c r="U182" s="63"/>
      <c r="V182" s="63"/>
      <c r="W182" s="63"/>
      <c r="X182" s="63"/>
    </row>
    <row r="183" spans="1:30">
      <c r="A183" s="24">
        <v>45564</v>
      </c>
      <c r="B183" s="24"/>
      <c r="C183" s="31"/>
      <c r="D183" s="59"/>
      <c r="E183" s="1"/>
      <c r="F183" s="1"/>
      <c r="G183" s="61"/>
      <c r="H183" s="61"/>
      <c r="I183" s="1"/>
      <c r="J183" s="1"/>
      <c r="K183" s="1"/>
      <c r="L183" s="1"/>
      <c r="M183" s="63"/>
      <c r="N183" s="63"/>
      <c r="O183" s="63"/>
      <c r="P183" s="63"/>
      <c r="Q183" s="83"/>
      <c r="R183" s="271"/>
      <c r="S183" s="140"/>
      <c r="T183" s="106"/>
      <c r="U183" s="63"/>
      <c r="V183" s="63"/>
      <c r="W183" s="63"/>
      <c r="X183" s="63"/>
    </row>
    <row r="184" spans="1:30">
      <c r="A184" s="24">
        <v>45565</v>
      </c>
      <c r="B184" s="24"/>
      <c r="C184" s="31"/>
      <c r="D184" s="59"/>
      <c r="E184" s="1"/>
      <c r="F184" s="1"/>
      <c r="G184" s="61"/>
      <c r="H184" s="61"/>
      <c r="I184" s="1"/>
      <c r="J184" s="1"/>
      <c r="K184" s="1"/>
      <c r="L184" s="1"/>
      <c r="M184" s="63"/>
      <c r="N184" s="63"/>
      <c r="O184" s="63"/>
      <c r="P184" s="63"/>
      <c r="Q184" s="83"/>
      <c r="R184" s="271"/>
      <c r="S184" s="140"/>
      <c r="T184" s="106"/>
      <c r="U184" s="63"/>
      <c r="V184" s="63"/>
      <c r="W184" s="63"/>
      <c r="X184" s="63"/>
    </row>
    <row r="185" spans="1:30" s="44" customFormat="1">
      <c r="A185" s="24">
        <v>45566</v>
      </c>
      <c r="B185" s="24"/>
      <c r="C185" s="72"/>
      <c r="D185" s="72"/>
      <c r="E185" s="62"/>
      <c r="F185" s="62"/>
      <c r="G185" s="75"/>
      <c r="H185" s="75"/>
      <c r="I185" s="62"/>
      <c r="J185" s="62"/>
      <c r="K185" s="62"/>
      <c r="L185" s="62"/>
      <c r="M185" s="134"/>
      <c r="N185" s="134"/>
      <c r="O185" s="134"/>
      <c r="P185" s="134"/>
      <c r="Q185" s="135"/>
      <c r="R185" s="277"/>
      <c r="S185" s="160"/>
      <c r="T185" s="136"/>
      <c r="U185" s="134"/>
      <c r="V185" s="134"/>
      <c r="W185" s="134"/>
      <c r="X185" s="134"/>
    </row>
    <row r="186" spans="1:30">
      <c r="A186" s="24">
        <v>45567</v>
      </c>
      <c r="B186" s="24"/>
      <c r="C186" s="31"/>
      <c r="D186" s="59"/>
      <c r="E186" s="1"/>
      <c r="F186" s="1"/>
      <c r="G186" s="61"/>
      <c r="H186" s="61"/>
      <c r="I186" s="1"/>
      <c r="J186" s="1"/>
      <c r="K186" s="1"/>
      <c r="L186" s="1"/>
      <c r="M186" s="63"/>
      <c r="N186" s="63"/>
      <c r="O186" s="63"/>
      <c r="P186" s="63"/>
      <c r="Q186" s="83"/>
      <c r="R186" s="274"/>
      <c r="S186" s="158"/>
      <c r="T186" s="162"/>
      <c r="U186" s="63"/>
      <c r="V186" s="63"/>
      <c r="W186" s="63"/>
      <c r="X186" s="63"/>
      <c r="AC186" t="s">
        <v>56</v>
      </c>
      <c r="AD186">
        <f>SUM($E$93:$E$123)</f>
        <v>9265</v>
      </c>
    </row>
    <row r="187" spans="1:30">
      <c r="A187" s="24">
        <v>45568</v>
      </c>
      <c r="B187" s="24"/>
      <c r="C187" s="31"/>
      <c r="D187" s="59"/>
      <c r="E187" s="1"/>
      <c r="F187" s="1"/>
      <c r="G187" s="61"/>
      <c r="H187" s="61"/>
      <c r="I187" s="1"/>
      <c r="J187" s="1"/>
      <c r="K187" s="1"/>
      <c r="L187" s="1"/>
      <c r="M187" s="63"/>
      <c r="N187" s="63"/>
      <c r="O187" s="63"/>
      <c r="P187" s="63"/>
      <c r="Q187" s="83"/>
      <c r="R187" s="271"/>
      <c r="S187" s="140"/>
      <c r="T187" s="106"/>
      <c r="U187" s="63"/>
      <c r="V187" s="63"/>
      <c r="W187" s="63"/>
      <c r="X187" s="63"/>
      <c r="AC187" t="s">
        <v>57</v>
      </c>
      <c r="AD187">
        <f>SUM($F$93:$F$123)</f>
        <v>7504</v>
      </c>
    </row>
    <row r="188" spans="1:30">
      <c r="A188" s="24">
        <v>45569</v>
      </c>
      <c r="B188" s="24"/>
      <c r="C188" s="31"/>
      <c r="D188" s="59"/>
      <c r="E188" s="1"/>
      <c r="F188" s="1"/>
      <c r="G188" s="61"/>
      <c r="H188" s="61"/>
      <c r="I188" s="1"/>
      <c r="J188" s="1"/>
      <c r="K188" s="1"/>
      <c r="L188" s="1"/>
      <c r="M188" s="63"/>
      <c r="N188" s="63"/>
      <c r="O188" s="63"/>
      <c r="P188" s="63"/>
      <c r="Q188" s="83"/>
      <c r="R188" s="271"/>
      <c r="S188" s="140"/>
      <c r="T188" s="106"/>
      <c r="U188" s="63"/>
      <c r="V188" s="63"/>
      <c r="W188" s="63"/>
      <c r="X188" s="63"/>
      <c r="AC188" t="s">
        <v>71</v>
      </c>
      <c r="AD188" s="146">
        <f>AVERAGEIF($M$93:$M$123,"&lt;&gt;0")</f>
        <v>0.58769230769230763</v>
      </c>
    </row>
    <row r="189" spans="1:30">
      <c r="A189" s="24">
        <v>45570</v>
      </c>
      <c r="B189" s="24"/>
      <c r="C189" s="31"/>
      <c r="D189" s="59"/>
      <c r="E189" s="1"/>
      <c r="F189" s="1"/>
      <c r="G189" s="61"/>
      <c r="H189" s="61"/>
      <c r="I189" s="1"/>
      <c r="J189" s="1"/>
      <c r="K189" s="1"/>
      <c r="L189" s="1"/>
      <c r="M189" s="63"/>
      <c r="N189" s="63"/>
      <c r="O189" s="63"/>
      <c r="P189" s="63"/>
      <c r="Q189" s="83"/>
      <c r="R189" s="271"/>
      <c r="S189" s="140"/>
      <c r="T189" s="106"/>
      <c r="U189" s="63"/>
      <c r="V189" s="63"/>
      <c r="W189" s="63"/>
      <c r="X189" s="63"/>
      <c r="AC189" t="s">
        <v>72</v>
      </c>
      <c r="AD189" s="146">
        <f>AVERAGEIF($P$93:$P$123,"&lt;&gt;0")</f>
        <v>0.57692307692307698</v>
      </c>
    </row>
    <row r="190" spans="1:30">
      <c r="A190" s="24">
        <v>45571</v>
      </c>
      <c r="B190" s="24"/>
      <c r="C190" s="31"/>
      <c r="D190" s="59"/>
      <c r="E190" s="1"/>
      <c r="F190" s="1"/>
      <c r="G190" s="61"/>
      <c r="H190" s="61"/>
      <c r="I190" s="1"/>
      <c r="J190" s="1"/>
      <c r="K190" s="1"/>
      <c r="L190" s="1"/>
      <c r="M190" s="63"/>
      <c r="N190" s="63"/>
      <c r="O190" s="63"/>
      <c r="P190" s="63"/>
      <c r="Q190" s="83"/>
      <c r="R190" s="271"/>
      <c r="S190" s="140"/>
      <c r="T190" s="106"/>
      <c r="U190" s="63"/>
      <c r="V190" s="63"/>
      <c r="W190" s="63"/>
      <c r="X190" s="63"/>
      <c r="AC190" t="s">
        <v>43</v>
      </c>
      <c r="AD190" s="146">
        <f>AVERAGEIF($Q$93:$Q123,"&lt;&gt;0")</f>
        <v>1</v>
      </c>
    </row>
    <row r="191" spans="1:30">
      <c r="A191" s="24">
        <v>45572</v>
      </c>
      <c r="B191" s="24"/>
      <c r="C191" s="31"/>
      <c r="D191" s="59"/>
      <c r="E191" s="1"/>
      <c r="F191" s="1"/>
      <c r="G191" s="61"/>
      <c r="H191" s="61"/>
      <c r="I191" s="1"/>
      <c r="J191" s="1"/>
      <c r="K191" s="1"/>
      <c r="L191" s="1"/>
      <c r="M191" s="63"/>
      <c r="N191" s="63"/>
      <c r="O191" s="63"/>
      <c r="P191" s="63"/>
      <c r="Q191" s="83"/>
      <c r="R191" s="271"/>
      <c r="S191" s="140"/>
      <c r="T191" s="106"/>
      <c r="U191" s="63"/>
      <c r="V191" s="63"/>
      <c r="W191" s="63"/>
      <c r="X191" s="63"/>
    </row>
    <row r="192" spans="1:30">
      <c r="A192" s="24">
        <v>45573</v>
      </c>
      <c r="B192" s="24"/>
      <c r="C192" s="31"/>
      <c r="D192" s="59"/>
      <c r="E192" s="1"/>
      <c r="F192" s="1"/>
      <c r="G192" s="61"/>
      <c r="H192" s="61"/>
      <c r="I192" s="1"/>
      <c r="J192" s="1"/>
      <c r="K192" s="1"/>
      <c r="L192" s="1"/>
      <c r="M192" s="63"/>
      <c r="N192" s="63"/>
      <c r="O192" s="63"/>
      <c r="P192" s="63"/>
      <c r="Q192" s="83"/>
      <c r="R192" s="271"/>
      <c r="S192" s="140"/>
      <c r="T192" s="106"/>
      <c r="U192" s="63"/>
      <c r="V192" s="63"/>
      <c r="W192" s="63"/>
      <c r="X192" s="63"/>
    </row>
    <row r="193" spans="1:24">
      <c r="A193" s="24">
        <v>45574</v>
      </c>
      <c r="B193" s="24"/>
      <c r="C193" s="31"/>
      <c r="D193" s="59"/>
      <c r="E193" s="1"/>
      <c r="F193" s="1"/>
      <c r="G193" s="61"/>
      <c r="H193" s="61"/>
      <c r="I193" s="1"/>
      <c r="J193" s="1"/>
      <c r="K193" s="1"/>
      <c r="L193" s="1"/>
      <c r="M193" s="63"/>
      <c r="N193" s="63"/>
      <c r="O193" s="63"/>
      <c r="P193" s="63"/>
      <c r="Q193" s="83"/>
      <c r="R193" s="274"/>
      <c r="S193" s="158"/>
      <c r="T193" s="162"/>
      <c r="U193" s="63"/>
      <c r="V193" s="63"/>
      <c r="W193" s="63"/>
      <c r="X193" s="63"/>
    </row>
    <row r="194" spans="1:24">
      <c r="A194" s="24">
        <v>45575</v>
      </c>
      <c r="B194" s="24"/>
      <c r="C194" s="31"/>
      <c r="D194" s="59"/>
      <c r="E194" s="1"/>
      <c r="F194" s="1"/>
      <c r="G194" s="61"/>
      <c r="H194" s="61"/>
      <c r="I194" s="1"/>
      <c r="J194" s="1"/>
      <c r="K194" s="1"/>
      <c r="L194" s="1"/>
      <c r="M194" s="63"/>
      <c r="N194" s="63"/>
      <c r="O194" s="63"/>
      <c r="P194" s="63"/>
      <c r="Q194" s="83"/>
      <c r="R194" s="271"/>
      <c r="S194" s="140"/>
      <c r="T194" s="106"/>
      <c r="U194" s="63"/>
      <c r="V194" s="63"/>
      <c r="W194" s="63"/>
      <c r="X194" s="63"/>
    </row>
    <row r="195" spans="1:24">
      <c r="A195" s="24">
        <v>45576</v>
      </c>
      <c r="B195" s="24"/>
      <c r="C195" s="31"/>
      <c r="D195" s="59"/>
      <c r="E195" s="1"/>
      <c r="F195" s="1"/>
      <c r="G195" s="61"/>
      <c r="H195" s="61"/>
      <c r="I195" s="1"/>
      <c r="J195" s="1"/>
      <c r="K195" s="1"/>
      <c r="L195" s="1"/>
      <c r="M195" s="63"/>
      <c r="N195" s="63"/>
      <c r="O195" s="63"/>
      <c r="P195" s="63"/>
      <c r="Q195" s="83"/>
      <c r="R195" s="271"/>
      <c r="S195" s="140"/>
      <c r="T195" s="106"/>
      <c r="U195" s="63"/>
      <c r="V195" s="63"/>
      <c r="W195" s="63"/>
      <c r="X195" s="63"/>
    </row>
    <row r="196" spans="1:24">
      <c r="A196" s="24">
        <v>45577</v>
      </c>
      <c r="B196" s="24"/>
      <c r="C196" s="31"/>
      <c r="D196" s="59"/>
      <c r="E196" s="1"/>
      <c r="F196" s="1"/>
      <c r="G196" s="61"/>
      <c r="H196" s="61"/>
      <c r="I196" s="1"/>
      <c r="J196" s="1"/>
      <c r="K196" s="1"/>
      <c r="L196" s="1"/>
      <c r="M196" s="63"/>
      <c r="N196" s="63"/>
      <c r="O196" s="63"/>
      <c r="P196" s="63"/>
      <c r="Q196" s="83"/>
      <c r="R196" s="271"/>
      <c r="S196" s="140"/>
      <c r="T196" s="106"/>
      <c r="U196" s="63"/>
      <c r="V196" s="63"/>
      <c r="W196" s="63"/>
      <c r="X196" s="63"/>
    </row>
    <row r="197" spans="1:24">
      <c r="A197" s="24">
        <v>45578</v>
      </c>
      <c r="B197" s="24"/>
      <c r="C197" s="31"/>
      <c r="D197" s="59"/>
      <c r="E197" s="1"/>
      <c r="F197" s="1"/>
      <c r="G197" s="61"/>
      <c r="H197" s="61"/>
      <c r="I197" s="1"/>
      <c r="J197" s="1"/>
      <c r="K197" s="1"/>
      <c r="L197" s="1"/>
      <c r="M197" s="63"/>
      <c r="N197" s="63"/>
      <c r="O197" s="63"/>
      <c r="P197" s="63"/>
      <c r="Q197" s="83"/>
      <c r="R197" s="271"/>
      <c r="S197" s="140"/>
      <c r="T197" s="106"/>
      <c r="U197" s="63"/>
      <c r="V197" s="63"/>
      <c r="W197" s="63"/>
      <c r="X197" s="63"/>
    </row>
    <row r="198" spans="1:24">
      <c r="A198" s="24">
        <v>45579</v>
      </c>
      <c r="B198" s="24"/>
      <c r="C198" s="31"/>
      <c r="D198" s="59"/>
      <c r="E198" s="1"/>
      <c r="F198" s="1"/>
      <c r="G198" s="61"/>
      <c r="H198" s="61"/>
      <c r="I198" s="1"/>
      <c r="J198" s="1"/>
      <c r="K198" s="1"/>
      <c r="L198" s="1"/>
      <c r="M198" s="63"/>
      <c r="N198" s="63"/>
      <c r="O198" s="63"/>
      <c r="P198" s="63"/>
      <c r="Q198" s="83"/>
      <c r="R198" s="271"/>
      <c r="S198" s="140"/>
      <c r="T198" s="106"/>
      <c r="U198" s="63"/>
      <c r="V198" s="63"/>
      <c r="W198" s="63"/>
      <c r="X198" s="63"/>
    </row>
    <row r="199" spans="1:24">
      <c r="A199" s="24">
        <v>45580</v>
      </c>
      <c r="B199" s="24"/>
      <c r="C199" s="31"/>
      <c r="D199" s="59"/>
      <c r="E199" s="1"/>
      <c r="F199" s="1"/>
      <c r="G199" s="61"/>
      <c r="H199" s="61"/>
      <c r="I199" s="1"/>
      <c r="J199" s="1"/>
      <c r="K199" s="1"/>
      <c r="L199" s="1"/>
      <c r="M199" s="63"/>
      <c r="N199" s="63"/>
      <c r="O199" s="63"/>
      <c r="P199" s="63"/>
      <c r="Q199" s="83"/>
      <c r="R199" s="271"/>
      <c r="S199" s="140"/>
      <c r="T199" s="106"/>
      <c r="U199" s="63"/>
      <c r="V199" s="63"/>
      <c r="W199" s="63"/>
      <c r="X199" s="63"/>
    </row>
    <row r="200" spans="1:24">
      <c r="A200" s="24">
        <v>45581</v>
      </c>
      <c r="B200" s="24"/>
      <c r="C200" s="31"/>
      <c r="D200" s="59"/>
      <c r="E200" s="1"/>
      <c r="F200" s="1"/>
      <c r="G200" s="61"/>
      <c r="H200" s="61"/>
      <c r="I200" s="1"/>
      <c r="J200" s="1"/>
      <c r="K200" s="1"/>
      <c r="L200" s="1"/>
      <c r="M200" s="63"/>
      <c r="N200" s="63"/>
      <c r="O200" s="63"/>
      <c r="P200" s="63"/>
      <c r="Q200" s="83"/>
      <c r="R200" s="274"/>
      <c r="S200" s="158"/>
      <c r="T200" s="162"/>
      <c r="U200" s="63"/>
      <c r="V200" s="63"/>
      <c r="W200" s="63"/>
      <c r="X200" s="63"/>
    </row>
    <row r="201" spans="1:24">
      <c r="A201" s="24">
        <v>45582</v>
      </c>
      <c r="B201" s="24"/>
      <c r="C201" s="31"/>
      <c r="D201" s="59"/>
      <c r="E201" s="1"/>
      <c r="F201" s="1"/>
      <c r="G201" s="61"/>
      <c r="H201" s="61"/>
      <c r="I201" s="1"/>
      <c r="J201" s="1"/>
      <c r="K201" s="1"/>
      <c r="L201" s="1"/>
      <c r="M201" s="63"/>
      <c r="N201" s="63"/>
      <c r="O201" s="63"/>
      <c r="P201" s="63"/>
      <c r="Q201" s="83"/>
      <c r="R201" s="271"/>
      <c r="S201" s="140"/>
      <c r="T201" s="106"/>
      <c r="U201" s="63"/>
      <c r="V201" s="63"/>
      <c r="W201" s="63"/>
      <c r="X201" s="63"/>
    </row>
    <row r="202" spans="1:24">
      <c r="A202" s="24">
        <v>45583</v>
      </c>
      <c r="B202" s="24"/>
      <c r="C202" s="31"/>
      <c r="D202" s="59"/>
      <c r="E202" s="1"/>
      <c r="F202" s="1"/>
      <c r="G202" s="61"/>
      <c r="H202" s="61"/>
      <c r="I202" s="1"/>
      <c r="J202" s="1"/>
      <c r="K202" s="1"/>
      <c r="L202" s="1"/>
      <c r="M202" s="63"/>
      <c r="N202" s="63"/>
      <c r="O202" s="63"/>
      <c r="P202" s="63"/>
      <c r="Q202" s="83"/>
      <c r="R202" s="271"/>
      <c r="S202" s="140"/>
      <c r="T202" s="106"/>
      <c r="U202" s="63"/>
      <c r="V202" s="63"/>
      <c r="W202" s="63"/>
      <c r="X202" s="63"/>
    </row>
    <row r="203" spans="1:24">
      <c r="A203" s="24">
        <v>45584</v>
      </c>
      <c r="B203" s="24"/>
      <c r="C203" s="31"/>
      <c r="D203" s="59"/>
      <c r="E203" s="1"/>
      <c r="F203" s="1"/>
      <c r="G203" s="61"/>
      <c r="H203" s="61"/>
      <c r="I203" s="1"/>
      <c r="J203" s="1"/>
      <c r="K203" s="1"/>
      <c r="L203" s="1"/>
      <c r="M203" s="63"/>
      <c r="N203" s="63"/>
      <c r="O203" s="63"/>
      <c r="P203" s="63"/>
      <c r="Q203" s="83"/>
      <c r="R203" s="271"/>
      <c r="S203" s="140"/>
      <c r="T203" s="106"/>
      <c r="U203" s="63"/>
      <c r="V203" s="63"/>
      <c r="W203" s="63"/>
      <c r="X203" s="63"/>
    </row>
    <row r="204" spans="1:24">
      <c r="A204" s="24">
        <v>45585</v>
      </c>
      <c r="B204" s="24"/>
      <c r="C204" s="31"/>
      <c r="D204" s="59"/>
      <c r="E204" s="1"/>
      <c r="F204" s="1"/>
      <c r="G204" s="61"/>
      <c r="H204" s="61"/>
      <c r="I204" s="1"/>
      <c r="J204" s="1"/>
      <c r="K204" s="1"/>
      <c r="L204" s="1"/>
      <c r="M204" s="63"/>
      <c r="N204" s="63"/>
      <c r="O204" s="63"/>
      <c r="P204" s="63"/>
      <c r="Q204" s="83"/>
      <c r="R204" s="271"/>
      <c r="S204" s="140"/>
      <c r="T204" s="106"/>
      <c r="U204" s="63"/>
      <c r="V204" s="63"/>
      <c r="W204" s="63"/>
      <c r="X204" s="63"/>
    </row>
    <row r="205" spans="1:24">
      <c r="A205" s="24">
        <v>45586</v>
      </c>
      <c r="B205" s="24"/>
      <c r="C205" s="31"/>
      <c r="D205" s="59"/>
      <c r="E205" s="1"/>
      <c r="F205" s="1"/>
      <c r="G205" s="61"/>
      <c r="H205" s="61"/>
      <c r="I205" s="1"/>
      <c r="J205" s="1"/>
      <c r="K205" s="1"/>
      <c r="L205" s="1"/>
      <c r="M205" s="63"/>
      <c r="N205" s="63"/>
      <c r="O205" s="63"/>
      <c r="P205" s="63"/>
      <c r="Q205" s="83"/>
      <c r="R205" s="271"/>
      <c r="S205" s="140"/>
      <c r="T205" s="106"/>
      <c r="U205" s="63"/>
      <c r="V205" s="63"/>
      <c r="W205" s="63"/>
      <c r="X205" s="63"/>
    </row>
    <row r="206" spans="1:24">
      <c r="A206" s="24">
        <v>45587</v>
      </c>
      <c r="B206" s="24"/>
      <c r="C206" s="31"/>
      <c r="D206" s="59"/>
      <c r="E206" s="1"/>
      <c r="F206" s="1"/>
      <c r="G206" s="61"/>
      <c r="H206" s="61"/>
      <c r="I206" s="1"/>
      <c r="J206" s="1"/>
      <c r="K206" s="1"/>
      <c r="L206" s="1"/>
      <c r="M206" s="63"/>
      <c r="N206" s="63"/>
      <c r="O206" s="63"/>
      <c r="P206" s="63"/>
      <c r="Q206" s="83"/>
      <c r="R206" s="271"/>
      <c r="S206" s="140"/>
      <c r="T206" s="106"/>
      <c r="U206" s="63"/>
      <c r="V206" s="63"/>
      <c r="W206" s="63"/>
      <c r="X206" s="63"/>
    </row>
    <row r="207" spans="1:24">
      <c r="A207" s="24">
        <v>45588</v>
      </c>
      <c r="B207" s="24"/>
      <c r="C207" s="31"/>
      <c r="D207" s="59"/>
      <c r="E207" s="1"/>
      <c r="F207" s="1"/>
      <c r="G207" s="61"/>
      <c r="H207" s="61"/>
      <c r="I207" s="1"/>
      <c r="J207" s="1"/>
      <c r="K207" s="1"/>
      <c r="L207" s="1"/>
      <c r="M207" s="63"/>
      <c r="N207" s="63"/>
      <c r="O207" s="63"/>
      <c r="P207" s="63"/>
      <c r="Q207" s="83"/>
      <c r="R207" s="271"/>
      <c r="S207" s="140"/>
      <c r="T207" s="106"/>
      <c r="U207" s="63"/>
      <c r="V207" s="63"/>
      <c r="W207" s="63"/>
      <c r="X207" s="63"/>
    </row>
    <row r="208" spans="1:24">
      <c r="A208" s="24">
        <v>45589</v>
      </c>
      <c r="B208" s="24"/>
      <c r="C208" s="31"/>
      <c r="D208" s="59"/>
      <c r="E208" s="1"/>
      <c r="F208" s="1"/>
      <c r="G208" s="61"/>
      <c r="H208" s="61"/>
      <c r="I208" s="1"/>
      <c r="J208" s="1"/>
      <c r="K208" s="1"/>
      <c r="L208" s="1"/>
      <c r="M208" s="63"/>
      <c r="N208" s="63"/>
      <c r="O208" s="63"/>
      <c r="P208" s="63"/>
      <c r="Q208" s="83"/>
      <c r="R208" s="271"/>
      <c r="S208" s="140"/>
      <c r="T208" s="106"/>
      <c r="U208" s="63"/>
      <c r="V208" s="63"/>
      <c r="W208" s="63"/>
      <c r="X208" s="63"/>
    </row>
    <row r="209" spans="1:24">
      <c r="A209" s="24">
        <v>45590</v>
      </c>
      <c r="B209" s="24"/>
      <c r="C209" s="31"/>
      <c r="D209" s="59"/>
      <c r="E209" s="1"/>
      <c r="F209" s="1"/>
      <c r="G209" s="61"/>
      <c r="H209" s="61"/>
      <c r="I209" s="1"/>
      <c r="J209" s="1"/>
      <c r="K209" s="1"/>
      <c r="L209" s="1"/>
      <c r="M209" s="63"/>
      <c r="N209" s="63"/>
      <c r="O209" s="63"/>
      <c r="P209" s="63"/>
      <c r="Q209" s="83"/>
      <c r="R209" s="271"/>
      <c r="S209" s="140"/>
      <c r="T209" s="106"/>
      <c r="U209" s="63"/>
      <c r="V209" s="63"/>
      <c r="W209" s="63"/>
      <c r="X209" s="63"/>
    </row>
    <row r="210" spans="1:24">
      <c r="A210" s="24">
        <v>45591</v>
      </c>
      <c r="B210" s="24"/>
      <c r="C210" s="31"/>
      <c r="D210" s="59"/>
      <c r="E210" s="1"/>
      <c r="F210" s="1"/>
      <c r="G210" s="61"/>
      <c r="H210" s="61"/>
      <c r="I210" s="1"/>
      <c r="J210" s="1"/>
      <c r="K210" s="1"/>
      <c r="L210" s="1"/>
      <c r="M210" s="63"/>
      <c r="N210" s="63"/>
      <c r="O210" s="63"/>
      <c r="P210" s="63"/>
      <c r="Q210" s="83"/>
      <c r="R210" s="271"/>
      <c r="S210" s="140"/>
      <c r="T210" s="106"/>
      <c r="U210" s="63"/>
      <c r="V210" s="63"/>
      <c r="W210" s="63"/>
      <c r="X210" s="63"/>
    </row>
    <row r="211" spans="1:24">
      <c r="A211" s="24">
        <v>45592</v>
      </c>
      <c r="B211" s="24"/>
      <c r="C211" s="31"/>
      <c r="D211" s="59"/>
      <c r="E211" s="1"/>
      <c r="F211" s="1"/>
      <c r="G211" s="61"/>
      <c r="H211" s="61"/>
      <c r="I211" s="1"/>
      <c r="J211" s="1"/>
      <c r="K211" s="1"/>
      <c r="L211" s="1"/>
      <c r="M211" s="63"/>
      <c r="N211" s="63"/>
      <c r="O211" s="63"/>
      <c r="P211" s="63"/>
      <c r="Q211" s="83"/>
      <c r="R211" s="271"/>
      <c r="S211" s="140"/>
      <c r="T211" s="106"/>
      <c r="U211" s="63"/>
      <c r="V211" s="63"/>
      <c r="W211" s="63"/>
      <c r="X211" s="63"/>
    </row>
    <row r="212" spans="1:24">
      <c r="A212" s="24">
        <v>45593</v>
      </c>
      <c r="B212" s="24"/>
      <c r="C212" s="31"/>
      <c r="D212" s="59"/>
      <c r="E212" s="1"/>
      <c r="F212" s="1"/>
      <c r="G212" s="61"/>
      <c r="H212" s="61"/>
      <c r="I212" s="1"/>
      <c r="J212" s="1"/>
      <c r="K212" s="1"/>
      <c r="L212" s="1"/>
      <c r="M212" s="63"/>
      <c r="N212" s="63"/>
      <c r="O212" s="63"/>
      <c r="P212" s="63"/>
      <c r="Q212" s="83"/>
      <c r="R212" s="271"/>
      <c r="S212" s="140"/>
      <c r="T212" s="106"/>
      <c r="U212" s="63"/>
      <c r="V212" s="63"/>
      <c r="W212" s="63"/>
      <c r="X212" s="63"/>
    </row>
    <row r="213" spans="1:24">
      <c r="A213" s="24">
        <v>45594</v>
      </c>
      <c r="B213" s="24"/>
      <c r="C213" s="31"/>
      <c r="D213" s="59"/>
      <c r="E213" s="1"/>
      <c r="F213" s="1"/>
      <c r="G213" s="61"/>
      <c r="H213" s="61"/>
      <c r="I213" s="1"/>
      <c r="J213" s="1"/>
      <c r="K213" s="1"/>
      <c r="L213" s="1"/>
      <c r="M213" s="63"/>
      <c r="N213" s="63"/>
      <c r="O213" s="63"/>
      <c r="P213" s="63"/>
      <c r="Q213" s="83"/>
      <c r="R213" s="271"/>
      <c r="S213" s="140"/>
      <c r="T213" s="106"/>
      <c r="U213" s="63"/>
      <c r="V213" s="63"/>
      <c r="W213" s="63"/>
      <c r="X213" s="63"/>
    </row>
    <row r="214" spans="1:24">
      <c r="A214" s="24">
        <v>45595</v>
      </c>
      <c r="B214" s="24"/>
      <c r="C214" s="31"/>
      <c r="D214" s="59"/>
      <c r="E214" s="1"/>
      <c r="F214" s="1"/>
      <c r="G214" s="61"/>
      <c r="H214" s="61"/>
      <c r="I214" s="1"/>
      <c r="J214" s="1"/>
      <c r="K214" s="1"/>
      <c r="L214" s="1"/>
      <c r="M214" s="63"/>
      <c r="N214" s="63"/>
      <c r="O214" s="63"/>
      <c r="P214" s="63"/>
      <c r="Q214" s="83"/>
      <c r="R214" s="271"/>
      <c r="S214" s="140"/>
      <c r="T214" s="106"/>
      <c r="U214" s="63"/>
      <c r="V214" s="63"/>
      <c r="W214" s="63"/>
      <c r="X214" s="63"/>
    </row>
    <row r="215" spans="1:24" s="45" customFormat="1">
      <c r="A215" s="24">
        <v>45596</v>
      </c>
      <c r="B215" s="24"/>
      <c r="C215" s="46"/>
      <c r="D215" s="59"/>
      <c r="E215" s="47"/>
      <c r="F215" s="47"/>
      <c r="G215" s="74"/>
      <c r="H215" s="74"/>
      <c r="I215" s="47"/>
      <c r="J215" s="47"/>
      <c r="K215" s="47"/>
      <c r="L215" s="47"/>
      <c r="M215" s="92"/>
      <c r="N215" s="92"/>
      <c r="O215" s="92"/>
      <c r="P215" s="92"/>
      <c r="Q215" s="93"/>
      <c r="R215" s="275"/>
      <c r="S215" s="142"/>
      <c r="T215" s="143"/>
      <c r="U215" s="92"/>
      <c r="V215" s="92"/>
      <c r="W215" s="92"/>
      <c r="X215" s="92"/>
    </row>
    <row r="216" spans="1:24">
      <c r="A216" s="24">
        <v>45597</v>
      </c>
      <c r="B216" s="29"/>
      <c r="C216" s="85"/>
      <c r="D216" s="59"/>
      <c r="E216" s="34"/>
      <c r="F216" s="34"/>
      <c r="G216" s="61"/>
      <c r="H216" s="61"/>
      <c r="I216" s="1"/>
      <c r="J216" s="1"/>
      <c r="K216" s="34"/>
      <c r="L216" s="34"/>
      <c r="M216" s="86"/>
      <c r="N216" s="86"/>
      <c r="O216" s="86"/>
      <c r="P216" s="86"/>
      <c r="Q216" s="87"/>
      <c r="R216" s="274"/>
      <c r="S216" s="158"/>
      <c r="T216" s="106"/>
      <c r="U216" s="63"/>
      <c r="V216" s="63"/>
      <c r="W216" s="63"/>
      <c r="X216" s="63"/>
    </row>
    <row r="217" spans="1:24">
      <c r="A217" s="24">
        <v>45598</v>
      </c>
      <c r="B217" s="24"/>
      <c r="C217" s="31"/>
      <c r="D217" s="59"/>
      <c r="E217" s="1"/>
      <c r="F217" s="1"/>
      <c r="G217" s="61"/>
      <c r="H217" s="61"/>
      <c r="I217" s="1"/>
      <c r="J217" s="1"/>
      <c r="K217" s="1"/>
      <c r="L217" s="1"/>
      <c r="M217" s="63"/>
      <c r="N217" s="63"/>
      <c r="O217" s="63"/>
      <c r="P217" s="63"/>
      <c r="Q217" s="83"/>
      <c r="R217" s="271"/>
      <c r="S217" s="140"/>
      <c r="T217" s="106"/>
      <c r="U217" s="63"/>
      <c r="V217" s="63"/>
      <c r="W217" s="63"/>
      <c r="X217" s="63"/>
    </row>
    <row r="218" spans="1:24">
      <c r="A218" s="24">
        <v>45599</v>
      </c>
      <c r="B218" s="24"/>
      <c r="C218" s="31"/>
      <c r="D218" s="59"/>
      <c r="E218" s="1"/>
      <c r="F218" s="1"/>
      <c r="G218" s="61"/>
      <c r="H218" s="61"/>
      <c r="I218" s="1"/>
      <c r="J218" s="1"/>
      <c r="K218" s="1"/>
      <c r="L218" s="1"/>
      <c r="M218" s="63"/>
      <c r="N218" s="63"/>
      <c r="O218" s="63"/>
      <c r="P218" s="63"/>
      <c r="Q218" s="83"/>
      <c r="R218" s="271"/>
      <c r="S218" s="140"/>
      <c r="T218" s="106"/>
      <c r="U218" s="63"/>
      <c r="V218" s="63"/>
      <c r="W218" s="63"/>
      <c r="X218" s="63"/>
    </row>
    <row r="219" spans="1:24">
      <c r="A219" s="24">
        <v>45600</v>
      </c>
      <c r="B219" s="24"/>
      <c r="C219" s="31"/>
      <c r="D219" s="59"/>
      <c r="E219" s="1"/>
      <c r="F219" s="1"/>
      <c r="G219" s="61"/>
      <c r="H219" s="61"/>
      <c r="I219" s="1"/>
      <c r="J219" s="1"/>
      <c r="K219" s="1"/>
      <c r="L219" s="1"/>
      <c r="M219" s="63"/>
      <c r="N219" s="63"/>
      <c r="O219" s="63"/>
      <c r="P219" s="63"/>
      <c r="Q219" s="83"/>
      <c r="R219" s="271"/>
      <c r="S219" s="140"/>
      <c r="T219" s="106"/>
      <c r="U219" s="63"/>
      <c r="V219" s="63"/>
      <c r="W219" s="63"/>
      <c r="X219" s="63"/>
    </row>
    <row r="220" spans="1:24">
      <c r="A220" s="24">
        <v>45601</v>
      </c>
      <c r="B220" s="24"/>
      <c r="C220" s="31"/>
      <c r="D220" s="59"/>
      <c r="E220" s="1"/>
      <c r="F220" s="1"/>
      <c r="G220" s="61"/>
      <c r="H220" s="61"/>
      <c r="I220" s="1"/>
      <c r="J220" s="1"/>
      <c r="K220" s="1"/>
      <c r="L220" s="1"/>
      <c r="M220" s="63"/>
      <c r="N220" s="83"/>
      <c r="O220" s="63"/>
      <c r="P220" s="63"/>
      <c r="Q220" s="83"/>
      <c r="R220" s="271"/>
      <c r="S220" s="140"/>
      <c r="T220" s="106"/>
      <c r="U220" s="63"/>
      <c r="V220" s="63"/>
      <c r="W220" s="63"/>
      <c r="X220" s="63"/>
    </row>
    <row r="221" spans="1:24">
      <c r="A221" s="24">
        <v>45602</v>
      </c>
      <c r="B221" s="24"/>
      <c r="C221" s="31"/>
      <c r="D221" s="59"/>
      <c r="E221" s="1"/>
      <c r="F221" s="1"/>
      <c r="G221" s="61"/>
      <c r="H221" s="61"/>
      <c r="I221" s="1"/>
      <c r="J221" s="1"/>
      <c r="K221" s="1"/>
      <c r="L221" s="1"/>
      <c r="M221" s="63"/>
      <c r="N221" s="63"/>
      <c r="O221" s="63"/>
      <c r="P221" s="63"/>
      <c r="Q221" s="83"/>
      <c r="R221" s="271"/>
      <c r="S221" s="140"/>
      <c r="T221" s="106"/>
      <c r="U221" s="63"/>
      <c r="V221" s="63"/>
      <c r="W221" s="63"/>
      <c r="X221" s="63"/>
    </row>
    <row r="222" spans="1:24">
      <c r="A222" s="24">
        <v>45603</v>
      </c>
      <c r="B222" s="24"/>
      <c r="C222" s="31"/>
      <c r="D222" s="59"/>
      <c r="E222" s="1"/>
      <c r="F222" s="1"/>
      <c r="G222" s="61"/>
      <c r="H222" s="61"/>
      <c r="I222" s="1"/>
      <c r="J222" s="1"/>
      <c r="K222" s="1"/>
      <c r="L222" s="1"/>
      <c r="M222" s="63"/>
      <c r="N222" s="63"/>
      <c r="O222" s="63"/>
      <c r="P222" s="63"/>
      <c r="Q222" s="83"/>
      <c r="R222" s="271"/>
      <c r="S222" s="140"/>
      <c r="T222" s="106"/>
      <c r="U222" s="63"/>
      <c r="V222" s="63"/>
      <c r="W222" s="63"/>
      <c r="X222" s="63"/>
    </row>
    <row r="223" spans="1:24">
      <c r="A223" s="24">
        <v>45604</v>
      </c>
      <c r="B223" s="24"/>
      <c r="C223" s="31"/>
      <c r="D223" s="59"/>
      <c r="E223" s="1"/>
      <c r="F223" s="1"/>
      <c r="G223" s="61"/>
      <c r="H223" s="61"/>
      <c r="I223" s="1"/>
      <c r="J223" s="1"/>
      <c r="K223" s="1"/>
      <c r="L223" s="1"/>
      <c r="M223" s="63"/>
      <c r="N223" s="63"/>
      <c r="O223" s="63"/>
      <c r="P223" s="63"/>
      <c r="Q223" s="83"/>
      <c r="R223" s="271"/>
      <c r="S223" s="140"/>
      <c r="T223" s="106"/>
      <c r="U223" s="63"/>
      <c r="V223" s="63"/>
      <c r="W223" s="63"/>
      <c r="X223" s="63"/>
    </row>
    <row r="224" spans="1:24">
      <c r="A224" s="24">
        <v>45605</v>
      </c>
      <c r="B224" s="24"/>
      <c r="C224" s="31"/>
      <c r="D224" s="59"/>
      <c r="E224" s="1"/>
      <c r="F224" s="1"/>
      <c r="G224" s="61"/>
      <c r="H224" s="61"/>
      <c r="I224" s="1"/>
      <c r="J224" s="1"/>
      <c r="K224" s="1"/>
      <c r="L224" s="1"/>
      <c r="M224" s="63"/>
      <c r="N224" s="63"/>
      <c r="O224" s="63"/>
      <c r="P224" s="63"/>
      <c r="Q224" s="83"/>
      <c r="R224" s="271"/>
      <c r="S224" s="140"/>
      <c r="T224" s="106"/>
      <c r="U224" s="63"/>
      <c r="V224" s="63"/>
      <c r="W224" s="63"/>
      <c r="X224" s="63"/>
    </row>
    <row r="225" spans="1:24">
      <c r="A225" s="24">
        <v>45606</v>
      </c>
      <c r="B225" s="24"/>
      <c r="C225" s="31"/>
      <c r="D225" s="59"/>
      <c r="E225" s="1"/>
      <c r="F225" s="1"/>
      <c r="G225" s="61"/>
      <c r="H225" s="61"/>
      <c r="I225" s="1"/>
      <c r="J225" s="1"/>
      <c r="K225" s="1"/>
      <c r="L225" s="1"/>
      <c r="M225" s="63"/>
      <c r="N225" s="63"/>
      <c r="O225" s="63"/>
      <c r="P225" s="63"/>
      <c r="Q225" s="83"/>
      <c r="R225" s="271"/>
      <c r="S225" s="140"/>
      <c r="T225" s="106"/>
      <c r="U225" s="63"/>
      <c r="V225" s="63"/>
      <c r="W225" s="63"/>
      <c r="X225" s="63"/>
    </row>
    <row r="226" spans="1:24">
      <c r="A226" s="24">
        <v>45607</v>
      </c>
      <c r="B226" s="24"/>
      <c r="C226" s="31"/>
      <c r="D226" s="59"/>
      <c r="E226" s="1"/>
      <c r="F226" s="1"/>
      <c r="G226" s="61"/>
      <c r="H226" s="61"/>
      <c r="I226" s="1"/>
      <c r="J226" s="1"/>
      <c r="K226" s="1"/>
      <c r="L226" s="1"/>
      <c r="M226" s="63"/>
      <c r="N226" s="63"/>
      <c r="O226" s="63"/>
      <c r="P226" s="63"/>
      <c r="Q226" s="83"/>
      <c r="R226" s="271"/>
      <c r="S226" s="140"/>
      <c r="T226" s="106"/>
      <c r="U226" s="63"/>
      <c r="V226" s="63"/>
      <c r="W226" s="63"/>
      <c r="X226" s="63"/>
    </row>
    <row r="227" spans="1:24">
      <c r="A227" s="24">
        <v>45608</v>
      </c>
      <c r="B227" s="24"/>
      <c r="C227" s="31"/>
      <c r="D227" s="59"/>
      <c r="E227" s="1"/>
      <c r="F227" s="1"/>
      <c r="G227" s="61"/>
      <c r="H227" s="61"/>
      <c r="I227" s="1"/>
      <c r="J227" s="1"/>
      <c r="K227" s="1"/>
      <c r="L227" s="1"/>
      <c r="M227" s="63"/>
      <c r="N227" s="63"/>
      <c r="O227" s="63"/>
      <c r="P227" s="63"/>
      <c r="Q227" s="83"/>
      <c r="R227" s="271"/>
      <c r="S227" s="140"/>
      <c r="T227" s="106"/>
      <c r="U227" s="63"/>
      <c r="V227" s="63"/>
      <c r="W227" s="63"/>
      <c r="X227" s="63"/>
    </row>
    <row r="228" spans="1:24">
      <c r="A228" s="24">
        <v>45609</v>
      </c>
      <c r="B228" s="24"/>
      <c r="C228" s="31"/>
      <c r="D228" s="59"/>
      <c r="E228" s="1"/>
      <c r="F228" s="1"/>
      <c r="G228" s="61"/>
      <c r="H228" s="61"/>
      <c r="I228" s="1"/>
      <c r="J228" s="1"/>
      <c r="K228" s="1"/>
      <c r="L228" s="1"/>
      <c r="M228" s="63"/>
      <c r="N228" s="63"/>
      <c r="O228" s="63"/>
      <c r="P228" s="63"/>
      <c r="Q228" s="83"/>
      <c r="R228" s="271"/>
      <c r="S228" s="140"/>
      <c r="T228" s="106"/>
      <c r="U228" s="63"/>
      <c r="V228" s="63"/>
      <c r="W228" s="63"/>
      <c r="X228" s="63"/>
    </row>
    <row r="229" spans="1:24">
      <c r="A229" s="24">
        <v>45610</v>
      </c>
      <c r="B229" s="24"/>
      <c r="C229" s="31"/>
      <c r="D229" s="59"/>
      <c r="E229" s="1"/>
      <c r="F229" s="1"/>
      <c r="G229" s="61"/>
      <c r="H229" s="61"/>
      <c r="I229" s="1"/>
      <c r="J229" s="1"/>
      <c r="K229" s="1"/>
      <c r="L229" s="1"/>
      <c r="M229" s="63"/>
      <c r="N229" s="63"/>
      <c r="O229" s="63"/>
      <c r="P229" s="63"/>
      <c r="Q229" s="83"/>
      <c r="R229" s="271"/>
      <c r="S229" s="140"/>
      <c r="T229" s="106"/>
      <c r="U229" s="63"/>
      <c r="V229" s="63"/>
      <c r="W229" s="63"/>
      <c r="X229" s="63"/>
    </row>
    <row r="230" spans="1:24">
      <c r="A230" s="24">
        <v>45611</v>
      </c>
      <c r="B230" s="24"/>
      <c r="C230" s="31"/>
      <c r="D230" s="59"/>
      <c r="E230" s="1"/>
      <c r="F230" s="1"/>
      <c r="G230" s="61"/>
      <c r="H230" s="61"/>
      <c r="I230" s="1"/>
      <c r="J230" s="1"/>
      <c r="K230" s="1"/>
      <c r="L230" s="1"/>
      <c r="M230" s="63"/>
      <c r="N230" s="63"/>
      <c r="O230" s="63"/>
      <c r="P230" s="63"/>
      <c r="Q230" s="83"/>
      <c r="R230" s="271"/>
      <c r="S230" s="140"/>
      <c r="T230" s="106"/>
      <c r="U230" s="63"/>
      <c r="V230" s="63"/>
      <c r="W230" s="63"/>
      <c r="X230" s="63"/>
    </row>
    <row r="231" spans="1:24">
      <c r="A231" s="24">
        <v>45612</v>
      </c>
      <c r="B231" s="24"/>
      <c r="C231" s="31"/>
      <c r="D231" s="59"/>
      <c r="E231" s="1"/>
      <c r="F231" s="1"/>
      <c r="G231" s="61"/>
      <c r="H231" s="61"/>
      <c r="I231" s="1"/>
      <c r="J231" s="1"/>
      <c r="K231" s="1"/>
      <c r="L231" s="1"/>
      <c r="M231" s="63"/>
      <c r="N231" s="63"/>
      <c r="O231" s="63"/>
      <c r="P231" s="63"/>
      <c r="Q231" s="83"/>
      <c r="R231" s="271"/>
      <c r="S231" s="140"/>
      <c r="T231" s="106"/>
      <c r="U231" s="63"/>
      <c r="V231" s="63"/>
      <c r="W231" s="63"/>
      <c r="X231" s="63"/>
    </row>
    <row r="232" spans="1:24">
      <c r="A232" s="24">
        <v>45613</v>
      </c>
      <c r="B232" s="24"/>
      <c r="C232" s="31"/>
      <c r="D232" s="59"/>
      <c r="E232" s="1"/>
      <c r="F232" s="1"/>
      <c r="G232" s="61"/>
      <c r="H232" s="61"/>
      <c r="I232" s="1"/>
      <c r="J232" s="1"/>
      <c r="K232" s="1"/>
      <c r="L232" s="1"/>
      <c r="M232" s="63"/>
      <c r="N232" s="63"/>
      <c r="O232" s="63"/>
      <c r="P232" s="63"/>
      <c r="Q232" s="83"/>
      <c r="R232" s="271"/>
      <c r="S232" s="140"/>
      <c r="T232" s="106"/>
      <c r="U232" s="63"/>
      <c r="V232" s="63"/>
      <c r="W232" s="63"/>
      <c r="X232" s="63"/>
    </row>
    <row r="233" spans="1:24">
      <c r="A233" s="24">
        <v>45614</v>
      </c>
      <c r="B233" s="24"/>
      <c r="C233" s="31"/>
      <c r="D233" s="59"/>
      <c r="E233" s="1"/>
      <c r="F233" s="1"/>
      <c r="G233" s="61"/>
      <c r="H233" s="61"/>
      <c r="I233" s="1"/>
      <c r="J233" s="1"/>
      <c r="K233" s="1"/>
      <c r="L233" s="1"/>
      <c r="M233" s="63"/>
      <c r="N233" s="63"/>
      <c r="O233" s="63"/>
      <c r="P233" s="63"/>
      <c r="Q233" s="83"/>
      <c r="R233" s="271"/>
      <c r="S233" s="140"/>
      <c r="T233" s="106"/>
      <c r="U233" s="63"/>
      <c r="V233" s="63"/>
      <c r="W233" s="63"/>
      <c r="X233" s="63"/>
    </row>
    <row r="234" spans="1:24">
      <c r="A234" s="24">
        <v>45615</v>
      </c>
      <c r="B234" s="24"/>
      <c r="C234" s="31"/>
      <c r="D234" s="59"/>
      <c r="E234" s="1"/>
      <c r="F234" s="1"/>
      <c r="G234" s="61"/>
      <c r="H234" s="61"/>
      <c r="I234" s="1"/>
      <c r="J234" s="1"/>
      <c r="K234" s="1"/>
      <c r="L234" s="1"/>
      <c r="M234" s="63"/>
      <c r="N234" s="63"/>
      <c r="O234" s="63"/>
      <c r="P234" s="63"/>
      <c r="Q234" s="83"/>
      <c r="R234" s="271"/>
      <c r="S234" s="140"/>
      <c r="T234" s="106"/>
      <c r="U234" s="63"/>
      <c r="V234" s="63"/>
      <c r="W234" s="63"/>
      <c r="X234" s="63"/>
    </row>
    <row r="235" spans="1:24">
      <c r="A235" s="24">
        <v>45616</v>
      </c>
      <c r="B235" s="24"/>
      <c r="C235" s="31"/>
      <c r="D235" s="59"/>
      <c r="E235" s="1"/>
      <c r="F235" s="1"/>
      <c r="G235" s="61"/>
      <c r="H235" s="61"/>
      <c r="I235" s="1"/>
      <c r="J235" s="1"/>
      <c r="K235" s="1"/>
      <c r="L235" s="1"/>
      <c r="M235" s="63"/>
      <c r="N235" s="63"/>
      <c r="O235" s="63"/>
      <c r="P235" s="63"/>
      <c r="Q235" s="83"/>
      <c r="R235" s="271"/>
      <c r="S235" s="140"/>
      <c r="T235" s="106"/>
      <c r="U235" s="63"/>
      <c r="V235" s="63"/>
      <c r="W235" s="63"/>
      <c r="X235" s="63"/>
    </row>
    <row r="236" spans="1:24">
      <c r="A236" s="24">
        <v>45617</v>
      </c>
      <c r="B236" s="24"/>
      <c r="C236" s="31"/>
      <c r="D236" s="59"/>
      <c r="E236" s="1"/>
      <c r="F236" s="1"/>
      <c r="G236" s="61"/>
      <c r="H236" s="61"/>
      <c r="I236" s="1"/>
      <c r="J236" s="1"/>
      <c r="K236" s="1"/>
      <c r="L236" s="1"/>
      <c r="M236" s="63"/>
      <c r="N236" s="63"/>
      <c r="O236" s="63"/>
      <c r="P236" s="63"/>
      <c r="Q236" s="83"/>
      <c r="R236" s="271"/>
      <c r="S236" s="140"/>
      <c r="T236" s="106"/>
      <c r="U236" s="63"/>
      <c r="V236" s="63"/>
      <c r="W236" s="63"/>
      <c r="X236" s="63"/>
    </row>
    <row r="237" spans="1:24">
      <c r="A237" s="24">
        <v>45618</v>
      </c>
      <c r="B237" s="24"/>
      <c r="C237" s="31"/>
      <c r="D237" s="59"/>
      <c r="E237" s="1"/>
      <c r="F237" s="1"/>
      <c r="G237" s="61"/>
      <c r="H237" s="61"/>
      <c r="I237" s="1"/>
      <c r="J237" s="1"/>
      <c r="K237" s="1"/>
      <c r="L237" s="1"/>
      <c r="M237" s="63"/>
      <c r="N237" s="63"/>
      <c r="O237" s="63"/>
      <c r="P237" s="63"/>
      <c r="Q237" s="83"/>
      <c r="R237" s="271"/>
      <c r="S237" s="140"/>
      <c r="T237" s="106"/>
      <c r="U237" s="63"/>
      <c r="V237" s="63"/>
      <c r="W237" s="63"/>
      <c r="X237" s="63"/>
    </row>
    <row r="238" spans="1:24">
      <c r="A238" s="24">
        <v>45619</v>
      </c>
      <c r="B238" s="24"/>
      <c r="C238" s="31"/>
      <c r="D238" s="59"/>
      <c r="E238" s="1"/>
      <c r="F238" s="1"/>
      <c r="G238" s="61"/>
      <c r="H238" s="61"/>
      <c r="I238" s="1"/>
      <c r="J238" s="1"/>
      <c r="K238" s="1"/>
      <c r="L238" s="1"/>
      <c r="M238" s="63"/>
      <c r="N238" s="63"/>
      <c r="O238" s="63"/>
      <c r="P238" s="63"/>
      <c r="Q238" s="83"/>
      <c r="R238" s="271"/>
      <c r="S238" s="140"/>
      <c r="T238" s="106"/>
      <c r="U238" s="63"/>
      <c r="V238" s="63"/>
      <c r="W238" s="63"/>
      <c r="X238" s="63"/>
    </row>
    <row r="239" spans="1:24">
      <c r="A239" s="24">
        <v>45620</v>
      </c>
      <c r="B239" s="24"/>
      <c r="C239" s="31"/>
      <c r="D239" s="59"/>
      <c r="E239" s="1"/>
      <c r="F239" s="1"/>
      <c r="G239" s="61"/>
      <c r="H239" s="61"/>
      <c r="I239" s="1"/>
      <c r="J239" s="1"/>
      <c r="K239" s="1"/>
      <c r="L239" s="1"/>
      <c r="M239" s="63"/>
      <c r="N239" s="63"/>
      <c r="O239" s="63"/>
      <c r="P239" s="63"/>
      <c r="Q239" s="83"/>
      <c r="R239" s="271"/>
      <c r="S239" s="140"/>
      <c r="T239" s="106"/>
      <c r="U239" s="63"/>
      <c r="V239" s="63"/>
      <c r="W239" s="63"/>
      <c r="X239" s="63"/>
    </row>
    <row r="240" spans="1:24">
      <c r="A240" s="24">
        <v>45621</v>
      </c>
      <c r="B240" s="24"/>
      <c r="C240" s="31"/>
      <c r="D240" s="59"/>
      <c r="E240" s="1"/>
      <c r="F240" s="1"/>
      <c r="G240" s="61"/>
      <c r="H240" s="61"/>
      <c r="I240" s="1"/>
      <c r="J240" s="1"/>
      <c r="K240" s="1"/>
      <c r="L240" s="1"/>
      <c r="M240" s="63"/>
      <c r="N240" s="63"/>
      <c r="O240" s="63"/>
      <c r="P240" s="63"/>
      <c r="Q240" s="83"/>
      <c r="R240" s="271"/>
      <c r="S240" s="140"/>
      <c r="T240" s="106"/>
      <c r="U240" s="63"/>
      <c r="V240" s="63"/>
      <c r="W240" s="63"/>
      <c r="X240" s="63"/>
    </row>
    <row r="241" spans="1:24">
      <c r="A241" s="24">
        <v>45622</v>
      </c>
      <c r="B241" s="24"/>
      <c r="C241" s="31"/>
      <c r="D241" s="59"/>
      <c r="E241" s="1"/>
      <c r="F241" s="1"/>
      <c r="G241" s="61"/>
      <c r="H241" s="61"/>
      <c r="I241" s="1"/>
      <c r="J241" s="1"/>
      <c r="K241" s="1"/>
      <c r="L241" s="1"/>
      <c r="M241" s="63"/>
      <c r="N241" s="63"/>
      <c r="O241" s="63"/>
      <c r="P241" s="63"/>
      <c r="Q241" s="83"/>
      <c r="R241" s="271"/>
      <c r="S241" s="140"/>
      <c r="T241" s="106"/>
      <c r="U241" s="63"/>
      <c r="V241" s="63"/>
      <c r="W241" s="63"/>
      <c r="X241" s="63"/>
    </row>
    <row r="242" spans="1:24">
      <c r="A242" s="24">
        <v>45623</v>
      </c>
      <c r="B242" s="24"/>
      <c r="C242" s="31"/>
      <c r="D242" s="59"/>
      <c r="E242" s="1"/>
      <c r="F242" s="1"/>
      <c r="G242" s="61"/>
      <c r="H242" s="61"/>
      <c r="I242" s="1"/>
      <c r="J242" s="1"/>
      <c r="K242" s="1"/>
      <c r="L242" s="1"/>
      <c r="M242" s="63"/>
      <c r="N242" s="63"/>
      <c r="O242" s="63"/>
      <c r="P242" s="63"/>
      <c r="Q242" s="83"/>
      <c r="R242" s="271"/>
      <c r="S242" s="140"/>
      <c r="T242" s="106"/>
      <c r="U242" s="63"/>
      <c r="V242" s="63"/>
      <c r="W242" s="63"/>
      <c r="X242" s="63"/>
    </row>
    <row r="243" spans="1:24">
      <c r="A243" s="24">
        <v>45624</v>
      </c>
      <c r="B243" s="24"/>
      <c r="C243" s="31"/>
      <c r="D243" s="59"/>
      <c r="E243" s="1"/>
      <c r="F243" s="1"/>
      <c r="G243" s="61"/>
      <c r="H243" s="61"/>
      <c r="I243" s="1"/>
      <c r="J243" s="1"/>
      <c r="K243" s="1"/>
      <c r="L243" s="1"/>
      <c r="M243" s="63"/>
      <c r="N243" s="63"/>
      <c r="O243" s="63"/>
      <c r="P243" s="63"/>
      <c r="Q243" s="83"/>
      <c r="R243" s="271"/>
      <c r="S243" s="140"/>
      <c r="T243" s="106"/>
      <c r="U243" s="63"/>
      <c r="V243" s="63"/>
      <c r="W243" s="63"/>
      <c r="X243" s="63"/>
    </row>
    <row r="244" spans="1:24">
      <c r="A244" s="24">
        <v>45625</v>
      </c>
      <c r="B244" s="24"/>
      <c r="C244" s="31"/>
      <c r="D244" s="59"/>
      <c r="E244" s="1"/>
      <c r="F244" s="1"/>
      <c r="G244" s="61"/>
      <c r="H244" s="61"/>
      <c r="I244" s="1"/>
      <c r="J244" s="1"/>
      <c r="K244" s="1"/>
      <c r="L244" s="1"/>
      <c r="M244" s="63"/>
      <c r="N244" s="63"/>
      <c r="O244" s="63"/>
      <c r="P244" s="63"/>
      <c r="Q244" s="83"/>
      <c r="R244" s="271"/>
      <c r="S244" s="140"/>
      <c r="T244" s="106"/>
      <c r="U244" s="63"/>
      <c r="V244" s="63"/>
      <c r="W244" s="63"/>
      <c r="X244" s="63"/>
    </row>
    <row r="245" spans="1:24">
      <c r="A245" s="24">
        <v>45626</v>
      </c>
      <c r="B245" s="24"/>
      <c r="C245" s="31"/>
      <c r="D245" s="59"/>
      <c r="E245" s="1"/>
      <c r="F245" s="1"/>
      <c r="G245" s="61"/>
      <c r="H245" s="61"/>
      <c r="I245" s="1"/>
      <c r="J245" s="1"/>
      <c r="K245" s="1"/>
      <c r="L245" s="1"/>
      <c r="M245" s="63"/>
      <c r="N245" s="63"/>
      <c r="O245" s="63"/>
      <c r="P245" s="63"/>
      <c r="Q245" s="83"/>
      <c r="R245" s="271"/>
      <c r="S245" s="140"/>
      <c r="T245" s="106"/>
      <c r="U245" s="63"/>
      <c r="V245" s="63"/>
      <c r="W245" s="63"/>
      <c r="X245" s="63"/>
    </row>
    <row r="246" spans="1:24">
      <c r="A246" s="24">
        <v>45627</v>
      </c>
      <c r="B246" s="24"/>
      <c r="C246" s="31"/>
      <c r="D246" s="59"/>
      <c r="E246" s="1"/>
      <c r="F246" s="1"/>
      <c r="G246" s="61"/>
      <c r="H246" s="61"/>
      <c r="I246" s="1"/>
      <c r="J246" s="1"/>
      <c r="K246" s="1"/>
      <c r="L246" s="1"/>
      <c r="M246" s="63"/>
      <c r="N246" s="63"/>
      <c r="O246" s="63"/>
      <c r="P246" s="63"/>
      <c r="Q246" s="83"/>
      <c r="R246" s="271"/>
      <c r="S246" s="140"/>
      <c r="T246" s="106"/>
      <c r="U246" s="63"/>
      <c r="V246" s="63"/>
      <c r="W246" s="63"/>
      <c r="X246" s="63"/>
    </row>
    <row r="247" spans="1:24">
      <c r="A247" s="24">
        <v>45628</v>
      </c>
      <c r="B247" s="24"/>
      <c r="C247" s="31"/>
      <c r="D247" s="59"/>
      <c r="E247" s="1"/>
      <c r="F247" s="1"/>
      <c r="G247" s="61"/>
      <c r="H247" s="61"/>
      <c r="I247" s="1"/>
      <c r="J247" s="1"/>
      <c r="K247" s="1"/>
      <c r="L247" s="1"/>
      <c r="M247" s="63"/>
      <c r="N247" s="63"/>
      <c r="O247" s="63"/>
      <c r="P247" s="63"/>
      <c r="Q247" s="83"/>
      <c r="R247" s="271"/>
      <c r="S247" s="140"/>
      <c r="T247" s="106"/>
      <c r="U247" s="63"/>
      <c r="V247" s="63"/>
      <c r="W247" s="63"/>
      <c r="X247" s="63"/>
    </row>
    <row r="248" spans="1:24">
      <c r="A248" s="24">
        <v>45629</v>
      </c>
      <c r="B248" s="24"/>
      <c r="C248" s="31"/>
      <c r="D248" s="59"/>
      <c r="E248" s="1"/>
      <c r="F248" s="1"/>
      <c r="G248" s="61"/>
      <c r="H248" s="61"/>
      <c r="I248" s="1"/>
      <c r="J248" s="1"/>
      <c r="K248" s="1"/>
      <c r="L248" s="1"/>
      <c r="M248" s="63"/>
      <c r="N248" s="63"/>
      <c r="O248" s="63"/>
      <c r="P248" s="63"/>
      <c r="Q248" s="83"/>
      <c r="R248" s="271"/>
      <c r="S248" s="140"/>
      <c r="T248" s="106"/>
      <c r="U248" s="63"/>
      <c r="V248" s="63"/>
      <c r="W248" s="63"/>
      <c r="X248" s="63"/>
    </row>
    <row r="249" spans="1:24">
      <c r="A249" s="24">
        <v>45630</v>
      </c>
      <c r="B249" s="24"/>
      <c r="C249" s="31"/>
      <c r="D249" s="59"/>
      <c r="E249" s="1"/>
      <c r="F249" s="1"/>
      <c r="G249" s="61"/>
      <c r="H249" s="61"/>
      <c r="I249" s="1"/>
      <c r="J249" s="1"/>
      <c r="K249" s="1"/>
      <c r="L249" s="1"/>
      <c r="M249" s="63"/>
      <c r="N249" s="63"/>
      <c r="O249" s="63"/>
      <c r="P249" s="63"/>
      <c r="Q249" s="83"/>
      <c r="R249" s="271"/>
      <c r="S249" s="140"/>
      <c r="T249" s="106"/>
      <c r="U249" s="63"/>
      <c r="V249" s="63"/>
      <c r="W249" s="63"/>
      <c r="X249" s="63"/>
    </row>
    <row r="250" spans="1:24">
      <c r="A250" s="24">
        <v>45631</v>
      </c>
      <c r="B250" s="24"/>
      <c r="C250" s="31"/>
      <c r="D250" s="59"/>
      <c r="E250" s="1"/>
      <c r="F250" s="1"/>
      <c r="G250" s="61"/>
      <c r="H250" s="61"/>
      <c r="I250" s="1"/>
      <c r="J250" s="1"/>
      <c r="K250" s="1"/>
      <c r="L250" s="1"/>
      <c r="M250" s="63"/>
      <c r="N250" s="63"/>
      <c r="O250" s="63"/>
      <c r="P250" s="63"/>
      <c r="Q250" s="83"/>
      <c r="R250" s="271"/>
      <c r="S250" s="140"/>
      <c r="T250" s="106"/>
      <c r="U250" s="63"/>
      <c r="V250" s="63"/>
      <c r="W250" s="63"/>
      <c r="X250" s="63"/>
    </row>
    <row r="251" spans="1:24">
      <c r="A251" s="24">
        <v>45632</v>
      </c>
      <c r="B251" s="24"/>
      <c r="C251" s="31"/>
      <c r="D251" s="59"/>
      <c r="E251" s="1"/>
      <c r="F251" s="1"/>
      <c r="G251" s="61"/>
      <c r="H251" s="61"/>
      <c r="I251" s="1"/>
      <c r="J251" s="1"/>
      <c r="K251" s="1"/>
      <c r="L251" s="1"/>
      <c r="M251" s="63"/>
      <c r="N251" s="63"/>
      <c r="O251" s="63"/>
      <c r="P251" s="63"/>
      <c r="Q251" s="83"/>
      <c r="R251" s="271"/>
      <c r="S251" s="140"/>
      <c r="T251" s="106"/>
      <c r="U251" s="63"/>
      <c r="V251" s="63"/>
      <c r="W251" s="63"/>
      <c r="X251" s="63"/>
    </row>
    <row r="252" spans="1:24">
      <c r="A252" s="24">
        <v>45633</v>
      </c>
      <c r="B252" s="24"/>
      <c r="C252" s="31"/>
      <c r="D252" s="59"/>
      <c r="E252" s="1"/>
      <c r="F252" s="1"/>
      <c r="G252" s="61"/>
      <c r="H252" s="61"/>
      <c r="I252" s="1"/>
      <c r="J252" s="1"/>
      <c r="K252" s="1"/>
      <c r="L252" s="1"/>
      <c r="M252" s="63"/>
      <c r="N252" s="63"/>
      <c r="O252" s="63"/>
      <c r="P252" s="63"/>
      <c r="Q252" s="83"/>
      <c r="R252" s="271"/>
      <c r="S252" s="140"/>
      <c r="T252" s="106"/>
      <c r="U252" s="63"/>
      <c r="V252" s="63"/>
      <c r="W252" s="63"/>
      <c r="X252" s="63"/>
    </row>
    <row r="253" spans="1:24">
      <c r="A253" s="24">
        <v>45634</v>
      </c>
      <c r="B253" s="24"/>
      <c r="C253" s="31"/>
      <c r="D253" s="59"/>
      <c r="E253" s="1"/>
      <c r="F253" s="1"/>
      <c r="G253" s="61"/>
      <c r="H253" s="61"/>
      <c r="I253" s="1"/>
      <c r="J253" s="1"/>
      <c r="K253" s="1"/>
      <c r="L253" s="1"/>
      <c r="M253" s="63"/>
      <c r="N253" s="63"/>
      <c r="O253" s="63"/>
      <c r="P253" s="63"/>
      <c r="Q253" s="83"/>
      <c r="R253" s="271"/>
      <c r="S253" s="140"/>
      <c r="T253" s="106"/>
      <c r="U253" s="63"/>
      <c r="V253" s="63"/>
      <c r="W253" s="63"/>
      <c r="X253" s="63"/>
    </row>
    <row r="254" spans="1:24">
      <c r="A254" s="24">
        <v>45635</v>
      </c>
      <c r="B254" s="24"/>
      <c r="C254" s="31"/>
      <c r="D254" s="59"/>
      <c r="E254" s="1"/>
      <c r="F254" s="1"/>
      <c r="G254" s="61"/>
      <c r="H254" s="61"/>
      <c r="I254" s="1"/>
      <c r="J254" s="1"/>
      <c r="K254" s="1"/>
      <c r="L254" s="1"/>
      <c r="M254" s="63"/>
      <c r="N254" s="63"/>
      <c r="O254" s="63"/>
      <c r="P254" s="63"/>
      <c r="Q254" s="83"/>
      <c r="R254" s="271"/>
      <c r="S254" s="140"/>
      <c r="T254" s="106"/>
      <c r="U254" s="63"/>
      <c r="V254" s="63"/>
      <c r="W254" s="63"/>
      <c r="X254" s="63"/>
    </row>
    <row r="255" spans="1:24">
      <c r="A255" s="24">
        <v>45636</v>
      </c>
      <c r="B255" s="24"/>
      <c r="C255" s="31"/>
      <c r="D255" s="59"/>
      <c r="E255" s="1"/>
      <c r="F255" s="1"/>
      <c r="G255" s="61"/>
      <c r="H255" s="61"/>
      <c r="I255" s="1"/>
      <c r="J255" s="1"/>
      <c r="K255" s="1"/>
      <c r="L255" s="1"/>
      <c r="M255" s="63"/>
      <c r="N255" s="63"/>
      <c r="O255" s="63"/>
      <c r="P255" s="63"/>
      <c r="Q255" s="83"/>
      <c r="R255" s="271"/>
      <c r="S255" s="140"/>
      <c r="T255" s="106"/>
      <c r="U255" s="63"/>
      <c r="V255" s="63"/>
      <c r="W255" s="63"/>
      <c r="X255" s="63"/>
    </row>
    <row r="256" spans="1:24">
      <c r="A256" s="24">
        <v>45637</v>
      </c>
      <c r="B256" s="24"/>
      <c r="C256" s="31"/>
      <c r="D256" s="59"/>
      <c r="E256" s="1"/>
      <c r="F256" s="1"/>
      <c r="G256" s="61"/>
      <c r="H256" s="61"/>
      <c r="I256" s="1"/>
      <c r="J256" s="1"/>
      <c r="K256" s="1"/>
      <c r="L256" s="1"/>
      <c r="M256" s="63"/>
      <c r="N256" s="63"/>
      <c r="O256" s="63"/>
      <c r="P256" s="63"/>
      <c r="Q256" s="83"/>
      <c r="R256" s="271"/>
      <c r="S256" s="140"/>
      <c r="T256" s="106"/>
      <c r="U256" s="63"/>
      <c r="V256" s="63"/>
      <c r="W256" s="63"/>
      <c r="X256" s="63"/>
    </row>
    <row r="257" spans="1:24">
      <c r="A257" s="24">
        <v>45638</v>
      </c>
      <c r="B257" s="24"/>
      <c r="C257" s="31"/>
      <c r="D257" s="59"/>
      <c r="E257" s="1"/>
      <c r="F257" s="1"/>
      <c r="G257" s="61"/>
      <c r="H257" s="61"/>
      <c r="I257" s="1"/>
      <c r="J257" s="1"/>
      <c r="K257" s="1"/>
      <c r="L257" s="1"/>
      <c r="M257" s="63"/>
      <c r="N257" s="63"/>
      <c r="O257" s="63"/>
      <c r="P257" s="63"/>
      <c r="Q257" s="83"/>
      <c r="R257" s="271"/>
      <c r="S257" s="140"/>
      <c r="T257" s="106"/>
      <c r="U257" s="63"/>
      <c r="V257" s="63"/>
      <c r="W257" s="63"/>
      <c r="X257" s="63"/>
    </row>
    <row r="258" spans="1:24">
      <c r="A258" s="24">
        <v>45639</v>
      </c>
      <c r="B258" s="24"/>
      <c r="C258" s="31"/>
      <c r="D258" s="59"/>
      <c r="E258" s="1"/>
      <c r="F258" s="1"/>
      <c r="G258" s="61"/>
      <c r="H258" s="61"/>
      <c r="I258" s="1"/>
      <c r="J258" s="1"/>
      <c r="K258" s="1"/>
      <c r="L258" s="1"/>
      <c r="M258" s="63"/>
      <c r="N258" s="63"/>
      <c r="O258" s="63"/>
      <c r="P258" s="63"/>
      <c r="Q258" s="83"/>
      <c r="R258" s="271"/>
      <c r="S258" s="140"/>
      <c r="T258" s="106"/>
      <c r="U258" s="63"/>
      <c r="V258" s="63"/>
      <c r="W258" s="63"/>
      <c r="X258" s="63"/>
    </row>
    <row r="259" spans="1:24">
      <c r="A259" s="24">
        <v>45640</v>
      </c>
      <c r="B259" s="24"/>
      <c r="C259" s="31"/>
      <c r="D259" s="59"/>
      <c r="E259" s="1"/>
      <c r="F259" s="1"/>
      <c r="G259" s="61"/>
      <c r="H259" s="61"/>
      <c r="I259" s="1"/>
      <c r="J259" s="1"/>
      <c r="K259" s="1"/>
      <c r="L259" s="1"/>
      <c r="M259" s="63"/>
      <c r="N259" s="63"/>
      <c r="O259" s="63"/>
      <c r="P259" s="63"/>
      <c r="Q259" s="83"/>
      <c r="R259" s="271"/>
      <c r="S259" s="140"/>
      <c r="T259" s="106"/>
      <c r="U259" s="63"/>
      <c r="V259" s="63"/>
      <c r="W259" s="63"/>
      <c r="X259" s="63"/>
    </row>
    <row r="260" spans="1:24">
      <c r="A260" s="24">
        <v>45641</v>
      </c>
      <c r="B260" s="24"/>
      <c r="C260" s="31"/>
      <c r="D260" s="59"/>
      <c r="E260" s="1"/>
      <c r="F260" s="1"/>
      <c r="G260" s="61"/>
      <c r="H260" s="61"/>
      <c r="I260" s="1"/>
      <c r="J260" s="1"/>
      <c r="K260" s="1"/>
      <c r="L260" s="1"/>
      <c r="M260" s="63"/>
      <c r="N260" s="63"/>
      <c r="O260" s="63"/>
      <c r="P260" s="63"/>
      <c r="Q260" s="83"/>
      <c r="R260" s="271"/>
      <c r="S260" s="140"/>
      <c r="T260" s="106"/>
      <c r="U260" s="63"/>
      <c r="V260" s="63"/>
      <c r="W260" s="63"/>
      <c r="X260" s="63"/>
    </row>
    <row r="261" spans="1:24">
      <c r="A261" s="24">
        <v>45642</v>
      </c>
      <c r="B261" s="24"/>
      <c r="C261" s="31"/>
      <c r="D261" s="59"/>
      <c r="E261" s="1"/>
      <c r="F261" s="1"/>
      <c r="G261" s="61"/>
      <c r="H261" s="61"/>
      <c r="I261" s="1"/>
      <c r="J261" s="1"/>
      <c r="K261" s="1"/>
      <c r="L261" s="1"/>
      <c r="M261" s="63"/>
      <c r="N261" s="63"/>
      <c r="O261" s="63"/>
      <c r="P261" s="63"/>
      <c r="Q261" s="83"/>
      <c r="R261" s="271"/>
      <c r="S261" s="140"/>
      <c r="T261" s="106"/>
      <c r="U261" s="63"/>
      <c r="V261" s="63"/>
      <c r="W261" s="63"/>
      <c r="X261" s="63"/>
    </row>
    <row r="262" spans="1:24">
      <c r="A262" s="24">
        <v>45643</v>
      </c>
      <c r="B262" s="24"/>
      <c r="C262" s="31"/>
      <c r="D262" s="59"/>
      <c r="E262" s="1"/>
      <c r="F262" s="1"/>
      <c r="G262" s="61"/>
      <c r="H262" s="61"/>
      <c r="I262" s="1"/>
      <c r="J262" s="1"/>
      <c r="K262" s="1"/>
      <c r="L262" s="1"/>
      <c r="M262" s="63"/>
      <c r="N262" s="63"/>
      <c r="O262" s="63"/>
      <c r="P262" s="63"/>
      <c r="Q262" s="83"/>
      <c r="R262" s="271"/>
      <c r="S262" s="140"/>
      <c r="T262" s="106"/>
      <c r="U262" s="63"/>
      <c r="V262" s="63"/>
      <c r="W262" s="63"/>
      <c r="X262" s="63"/>
    </row>
    <row r="263" spans="1:24">
      <c r="A263" s="24">
        <v>45644</v>
      </c>
      <c r="B263" s="24"/>
      <c r="C263" s="31"/>
      <c r="D263" s="59"/>
      <c r="E263" s="1"/>
      <c r="F263" s="1"/>
      <c r="G263" s="61"/>
      <c r="H263" s="61"/>
      <c r="I263" s="1"/>
      <c r="J263" s="1"/>
      <c r="K263" s="1"/>
      <c r="L263" s="1"/>
      <c r="M263" s="63"/>
      <c r="N263" s="63"/>
      <c r="O263" s="63"/>
      <c r="P263" s="63"/>
      <c r="Q263" s="83"/>
      <c r="R263" s="271"/>
      <c r="S263" s="140"/>
      <c r="T263" s="106"/>
      <c r="U263" s="63"/>
      <c r="V263" s="63"/>
      <c r="W263" s="63"/>
      <c r="X263" s="63"/>
    </row>
    <row r="264" spans="1:24">
      <c r="A264" s="24">
        <v>45645</v>
      </c>
      <c r="B264" s="24"/>
      <c r="C264" s="31"/>
      <c r="D264" s="59"/>
      <c r="E264" s="1"/>
      <c r="F264" s="1"/>
      <c r="G264" s="61"/>
      <c r="H264" s="61"/>
      <c r="I264" s="1"/>
      <c r="J264" s="1"/>
      <c r="K264" s="1"/>
      <c r="L264" s="1"/>
      <c r="M264" s="63"/>
      <c r="N264" s="63"/>
      <c r="O264" s="63"/>
      <c r="P264" s="63"/>
      <c r="Q264" s="83"/>
      <c r="R264" s="271"/>
      <c r="S264" s="140"/>
      <c r="T264" s="106"/>
      <c r="U264" s="63"/>
      <c r="V264" s="63"/>
      <c r="W264" s="63"/>
      <c r="X264" s="63"/>
    </row>
    <row r="265" spans="1:24">
      <c r="A265" s="24">
        <v>45646</v>
      </c>
      <c r="B265" s="24"/>
      <c r="C265" s="31"/>
      <c r="D265" s="59"/>
      <c r="E265" s="1"/>
      <c r="F265" s="1"/>
      <c r="G265" s="61"/>
      <c r="H265" s="61"/>
      <c r="I265" s="1"/>
      <c r="J265" s="1"/>
      <c r="K265" s="1"/>
      <c r="L265" s="1"/>
      <c r="M265" s="63"/>
      <c r="N265" s="63"/>
      <c r="O265" s="63"/>
      <c r="P265" s="63"/>
      <c r="Q265" s="83"/>
      <c r="R265" s="271"/>
      <c r="S265" s="140"/>
      <c r="T265" s="106"/>
      <c r="U265" s="63"/>
      <c r="V265" s="63"/>
      <c r="W265" s="63"/>
      <c r="X265" s="63"/>
    </row>
    <row r="266" spans="1:24">
      <c r="A266" s="24">
        <v>45647</v>
      </c>
      <c r="B266" s="24"/>
      <c r="C266" s="31"/>
      <c r="D266" s="59"/>
      <c r="E266" s="1"/>
      <c r="F266" s="1"/>
      <c r="G266" s="61"/>
      <c r="H266" s="61"/>
      <c r="I266" s="1"/>
      <c r="J266" s="1"/>
      <c r="K266" s="1"/>
      <c r="L266" s="1"/>
      <c r="M266" s="63"/>
      <c r="N266" s="63"/>
      <c r="O266" s="63"/>
      <c r="P266" s="63"/>
      <c r="Q266" s="83"/>
      <c r="R266" s="271"/>
      <c r="S266" s="140"/>
      <c r="T266" s="106"/>
      <c r="U266" s="63"/>
      <c r="V266" s="63"/>
      <c r="W266" s="63"/>
      <c r="X266" s="63"/>
    </row>
    <row r="267" spans="1:24">
      <c r="A267" s="24">
        <v>45648</v>
      </c>
      <c r="B267" s="24"/>
      <c r="C267" s="31"/>
      <c r="D267" s="59"/>
      <c r="E267" s="1"/>
      <c r="F267" s="1"/>
      <c r="G267" s="61"/>
      <c r="H267" s="61"/>
      <c r="I267" s="1"/>
      <c r="J267" s="1"/>
      <c r="K267" s="1"/>
      <c r="L267" s="1"/>
      <c r="M267" s="63"/>
      <c r="N267" s="63"/>
      <c r="O267" s="63"/>
      <c r="P267" s="63"/>
      <c r="Q267" s="83"/>
      <c r="R267" s="271"/>
      <c r="S267" s="140"/>
      <c r="T267" s="106"/>
      <c r="U267" s="63"/>
      <c r="V267" s="63"/>
      <c r="W267" s="63"/>
      <c r="X267" s="63"/>
    </row>
    <row r="268" spans="1:24">
      <c r="A268" s="24">
        <v>45649</v>
      </c>
      <c r="B268" s="24"/>
      <c r="C268" s="31"/>
      <c r="D268" s="59"/>
      <c r="E268" s="1"/>
      <c r="F268" s="1"/>
      <c r="G268" s="61"/>
      <c r="H268" s="61"/>
      <c r="I268" s="1"/>
      <c r="J268" s="1"/>
      <c r="K268" s="1"/>
      <c r="L268" s="1"/>
      <c r="M268" s="63"/>
      <c r="N268" s="63"/>
      <c r="O268" s="63"/>
      <c r="P268" s="63"/>
      <c r="Q268" s="83"/>
      <c r="R268" s="271"/>
      <c r="S268" s="140"/>
      <c r="T268" s="106"/>
      <c r="U268" s="63"/>
      <c r="V268" s="63"/>
      <c r="W268" s="63"/>
      <c r="X268" s="63"/>
    </row>
    <row r="269" spans="1:24">
      <c r="A269" s="24">
        <v>45650</v>
      </c>
      <c r="B269" s="24"/>
      <c r="C269" s="31"/>
      <c r="D269" s="59"/>
      <c r="E269" s="1"/>
      <c r="F269" s="1"/>
      <c r="G269" s="61"/>
      <c r="H269" s="61"/>
      <c r="I269" s="1"/>
      <c r="J269" s="1"/>
      <c r="K269" s="1"/>
      <c r="L269" s="1"/>
      <c r="M269" s="63"/>
      <c r="N269" s="63"/>
      <c r="O269" s="63"/>
      <c r="P269" s="63"/>
      <c r="Q269" s="83"/>
      <c r="R269" s="271"/>
      <c r="S269" s="140"/>
      <c r="T269" s="106"/>
      <c r="U269" s="63"/>
      <c r="V269" s="63"/>
      <c r="W269" s="63"/>
      <c r="X269" s="63"/>
    </row>
    <row r="270" spans="1:24">
      <c r="A270" s="24">
        <v>45651</v>
      </c>
      <c r="B270" s="24"/>
      <c r="C270" s="31"/>
      <c r="D270" s="59"/>
      <c r="E270" s="1"/>
      <c r="F270" s="1"/>
      <c r="G270" s="61"/>
      <c r="H270" s="61"/>
      <c r="I270" s="1"/>
      <c r="J270" s="1"/>
      <c r="K270" s="1"/>
      <c r="L270" s="1"/>
      <c r="M270" s="63"/>
      <c r="N270" s="63"/>
      <c r="O270" s="63"/>
      <c r="P270" s="63"/>
      <c r="Q270" s="83"/>
      <c r="R270" s="271"/>
      <c r="S270" s="140"/>
      <c r="T270" s="106"/>
      <c r="U270" s="63"/>
      <c r="V270" s="63"/>
      <c r="W270" s="63"/>
      <c r="X270" s="63"/>
    </row>
    <row r="271" spans="1:24">
      <c r="A271" s="24">
        <v>45652</v>
      </c>
      <c r="B271" s="24"/>
      <c r="C271" s="31"/>
      <c r="D271" s="59"/>
      <c r="E271" s="1"/>
      <c r="F271" s="1"/>
      <c r="G271" s="61"/>
      <c r="H271" s="61"/>
      <c r="I271" s="1"/>
      <c r="J271" s="1"/>
      <c r="K271" s="1"/>
      <c r="L271" s="1"/>
      <c r="M271" s="63"/>
      <c r="N271" s="63"/>
      <c r="O271" s="63"/>
      <c r="P271" s="63"/>
      <c r="Q271" s="83"/>
      <c r="R271" s="271"/>
      <c r="S271" s="140"/>
      <c r="T271" s="106"/>
      <c r="U271" s="63"/>
      <c r="V271" s="63"/>
      <c r="W271" s="63"/>
      <c r="X271" s="63"/>
    </row>
    <row r="272" spans="1:24">
      <c r="A272" s="24">
        <v>45653</v>
      </c>
      <c r="B272" s="24"/>
      <c r="C272" s="31"/>
      <c r="D272" s="59"/>
      <c r="E272" s="1"/>
      <c r="F272" s="1"/>
      <c r="G272" s="61"/>
      <c r="H272" s="61"/>
      <c r="I272" s="1"/>
      <c r="J272" s="1"/>
      <c r="K272" s="1"/>
      <c r="L272" s="1"/>
      <c r="M272" s="63"/>
      <c r="N272" s="63"/>
      <c r="O272" s="63"/>
      <c r="P272" s="63"/>
      <c r="Q272" s="83"/>
      <c r="R272" s="271"/>
      <c r="S272" s="140"/>
      <c r="T272" s="106"/>
      <c r="U272" s="63"/>
      <c r="V272" s="63"/>
      <c r="W272" s="63"/>
      <c r="X272" s="63"/>
    </row>
    <row r="273" spans="1:24">
      <c r="A273" s="24">
        <v>45654</v>
      </c>
      <c r="B273" s="24"/>
      <c r="C273" s="31"/>
      <c r="D273" s="59"/>
      <c r="E273" s="1"/>
      <c r="F273" s="1"/>
      <c r="G273" s="61"/>
      <c r="H273" s="61"/>
      <c r="I273" s="1"/>
      <c r="J273" s="1"/>
      <c r="K273" s="1"/>
      <c r="L273" s="1"/>
      <c r="M273" s="63"/>
      <c r="N273" s="63"/>
      <c r="O273" s="63"/>
      <c r="P273" s="63"/>
      <c r="Q273" s="83"/>
      <c r="R273" s="271"/>
      <c r="S273" s="140"/>
      <c r="T273" s="106"/>
      <c r="U273" s="63"/>
      <c r="V273" s="63"/>
      <c r="W273" s="63"/>
      <c r="X273" s="63"/>
    </row>
    <row r="274" spans="1:24">
      <c r="A274" s="24">
        <v>45655</v>
      </c>
      <c r="B274" s="24"/>
      <c r="C274" s="31"/>
      <c r="D274" s="59"/>
      <c r="E274" s="1"/>
      <c r="F274" s="1"/>
      <c r="G274" s="61"/>
      <c r="H274" s="61"/>
      <c r="I274" s="1"/>
      <c r="J274" s="1"/>
      <c r="K274" s="1"/>
      <c r="L274" s="1"/>
      <c r="M274" s="63"/>
      <c r="N274" s="63"/>
      <c r="O274" s="63"/>
      <c r="P274" s="63"/>
      <c r="Q274" s="83"/>
      <c r="R274" s="271"/>
      <c r="S274" s="140"/>
      <c r="T274" s="106"/>
      <c r="U274" s="63"/>
      <c r="V274" s="63"/>
      <c r="W274" s="63"/>
      <c r="X274" s="63"/>
    </row>
    <row r="275" spans="1:24">
      <c r="A275" s="24">
        <v>45656</v>
      </c>
      <c r="B275" s="24"/>
      <c r="C275" s="31"/>
      <c r="D275" s="59"/>
      <c r="E275" s="1"/>
      <c r="F275" s="1"/>
      <c r="G275" s="61"/>
      <c r="H275" s="61"/>
      <c r="I275" s="1"/>
      <c r="J275" s="1"/>
      <c r="K275" s="1"/>
      <c r="L275" s="1"/>
      <c r="M275" s="63"/>
      <c r="N275" s="63"/>
      <c r="O275" s="63"/>
      <c r="P275" s="63"/>
      <c r="Q275" s="83"/>
      <c r="R275" s="271"/>
      <c r="S275" s="140"/>
      <c r="T275" s="106"/>
      <c r="U275" s="63"/>
      <c r="V275" s="63"/>
      <c r="W275" s="63"/>
      <c r="X275" s="63"/>
    </row>
    <row r="276" spans="1:24">
      <c r="A276" s="24">
        <v>45657</v>
      </c>
      <c r="B276" s="24"/>
      <c r="C276" s="31"/>
      <c r="D276" s="59"/>
      <c r="E276" s="1"/>
      <c r="F276" s="1"/>
      <c r="G276" s="61"/>
      <c r="H276" s="61"/>
      <c r="I276" s="1"/>
      <c r="J276" s="1"/>
      <c r="K276" s="1"/>
      <c r="L276" s="1"/>
      <c r="M276" s="63"/>
      <c r="N276" s="63"/>
      <c r="O276" s="63"/>
      <c r="P276" s="63"/>
      <c r="Q276" s="83"/>
      <c r="R276" s="271"/>
      <c r="S276" s="140"/>
      <c r="T276" s="106"/>
      <c r="U276" s="63"/>
      <c r="V276" s="63"/>
      <c r="W276" s="63"/>
      <c r="X276" s="63"/>
    </row>
    <row r="277" spans="1:24" s="44" customFormat="1">
      <c r="A277" s="24">
        <v>45658</v>
      </c>
      <c r="B277" s="24"/>
      <c r="C277" s="72"/>
      <c r="D277" s="59"/>
      <c r="E277" s="62"/>
      <c r="F277" s="62"/>
      <c r="G277" s="61"/>
      <c r="H277" s="61"/>
      <c r="I277" s="62"/>
      <c r="J277" s="62"/>
      <c r="K277" s="62"/>
      <c r="L277" s="62"/>
      <c r="M277" s="134"/>
      <c r="N277" s="134"/>
      <c r="O277" s="134"/>
      <c r="P277" s="134"/>
      <c r="Q277" s="135"/>
      <c r="R277" s="277"/>
      <c r="S277" s="160"/>
      <c r="T277" s="136"/>
      <c r="U277" s="134"/>
      <c r="V277" s="134"/>
      <c r="W277" s="134"/>
      <c r="X277" s="134"/>
    </row>
    <row r="278" spans="1:24">
      <c r="A278" s="24">
        <v>45659</v>
      </c>
      <c r="B278" s="24"/>
      <c r="C278" s="31"/>
      <c r="D278" s="59"/>
      <c r="E278" s="1"/>
      <c r="F278" s="1"/>
      <c r="G278" s="61"/>
      <c r="H278" s="61"/>
      <c r="I278" s="1"/>
      <c r="J278" s="1"/>
      <c r="K278" s="1"/>
      <c r="L278" s="1"/>
      <c r="M278" s="63"/>
      <c r="N278" s="63"/>
      <c r="O278" s="63"/>
      <c r="P278" s="63"/>
      <c r="Q278" s="83"/>
      <c r="R278" s="271"/>
      <c r="S278" s="140"/>
      <c r="T278" s="106"/>
      <c r="U278" s="63"/>
      <c r="V278" s="63"/>
      <c r="W278" s="63"/>
      <c r="X278" s="63"/>
    </row>
    <row r="279" spans="1:24">
      <c r="A279" s="24">
        <v>45660</v>
      </c>
      <c r="B279" s="24"/>
      <c r="C279" s="31"/>
      <c r="D279" s="59"/>
      <c r="E279" s="1"/>
      <c r="F279" s="1"/>
      <c r="G279" s="61"/>
      <c r="H279" s="61"/>
      <c r="I279" s="1"/>
      <c r="J279" s="1"/>
      <c r="K279" s="1"/>
      <c r="L279" s="1"/>
      <c r="M279" s="63"/>
      <c r="N279" s="63"/>
      <c r="O279" s="63"/>
      <c r="P279" s="63"/>
      <c r="Q279" s="83"/>
      <c r="R279" s="271"/>
      <c r="S279" s="140"/>
      <c r="T279" s="106"/>
      <c r="U279" s="63"/>
      <c r="V279" s="63"/>
      <c r="W279" s="63"/>
      <c r="X279" s="63"/>
    </row>
    <row r="280" spans="1:24">
      <c r="A280" s="24">
        <v>45661</v>
      </c>
      <c r="B280" s="24"/>
      <c r="C280" s="31"/>
      <c r="D280" s="59"/>
      <c r="E280" s="1"/>
      <c r="F280" s="1"/>
      <c r="G280" s="61"/>
      <c r="H280" s="61"/>
      <c r="I280" s="1"/>
      <c r="J280" s="1"/>
      <c r="K280" s="1"/>
      <c r="L280" s="1"/>
      <c r="M280" s="63"/>
      <c r="N280" s="63"/>
      <c r="O280" s="63"/>
      <c r="P280" s="63"/>
      <c r="Q280" s="83"/>
      <c r="R280" s="271"/>
      <c r="S280" s="140"/>
      <c r="T280" s="106"/>
      <c r="U280" s="63"/>
      <c r="V280" s="63"/>
      <c r="W280" s="63"/>
      <c r="X280" s="63"/>
    </row>
    <row r="281" spans="1:24">
      <c r="A281" s="24">
        <v>45662</v>
      </c>
      <c r="B281" s="24"/>
      <c r="C281" s="31"/>
      <c r="D281" s="59"/>
      <c r="E281" s="1"/>
      <c r="F281" s="1"/>
      <c r="G281" s="61"/>
      <c r="H281" s="61"/>
      <c r="I281" s="1"/>
      <c r="J281" s="1"/>
      <c r="K281" s="1"/>
      <c r="L281" s="1"/>
      <c r="M281" s="63"/>
      <c r="N281" s="63"/>
      <c r="O281" s="63"/>
      <c r="P281" s="63"/>
      <c r="Q281" s="83"/>
      <c r="R281" s="271"/>
      <c r="S281" s="140"/>
      <c r="T281" s="106"/>
      <c r="U281" s="63"/>
      <c r="V281" s="63"/>
      <c r="W281" s="63"/>
      <c r="X281" s="63"/>
    </row>
    <row r="282" spans="1:24">
      <c r="A282" s="24">
        <v>45663</v>
      </c>
      <c r="B282" s="24"/>
      <c r="C282" s="31"/>
      <c r="D282" s="59"/>
      <c r="E282" s="1"/>
      <c r="F282" s="1"/>
      <c r="G282" s="61"/>
      <c r="H282" s="61"/>
      <c r="I282" s="1"/>
      <c r="J282" s="1"/>
      <c r="K282" s="1"/>
      <c r="L282" s="1"/>
      <c r="M282" s="63"/>
      <c r="N282" s="63"/>
      <c r="O282" s="63"/>
      <c r="P282" s="63"/>
      <c r="Q282" s="83"/>
      <c r="R282" s="271"/>
      <c r="S282" s="140"/>
      <c r="T282" s="106"/>
      <c r="U282" s="63"/>
      <c r="V282" s="63"/>
      <c r="W282" s="63"/>
      <c r="X282" s="63"/>
    </row>
    <row r="283" spans="1:24">
      <c r="A283" s="24">
        <v>45664</v>
      </c>
      <c r="B283" s="24"/>
      <c r="C283" s="31"/>
      <c r="D283" s="59"/>
      <c r="E283" s="1"/>
      <c r="F283" s="1"/>
      <c r="G283" s="61"/>
      <c r="H283" s="61"/>
      <c r="I283" s="1"/>
      <c r="J283" s="1"/>
      <c r="K283" s="1"/>
      <c r="L283" s="1"/>
      <c r="M283" s="63"/>
      <c r="N283" s="63"/>
      <c r="O283" s="63"/>
      <c r="P283" s="63"/>
      <c r="Q283" s="83"/>
      <c r="R283" s="271"/>
      <c r="S283" s="140"/>
      <c r="T283" s="106"/>
      <c r="U283" s="63"/>
      <c r="V283" s="63"/>
      <c r="W283" s="63"/>
      <c r="X283" s="63"/>
    </row>
    <row r="284" spans="1:24">
      <c r="A284" s="24">
        <v>45665</v>
      </c>
      <c r="B284" s="24"/>
      <c r="C284" s="31"/>
      <c r="D284" s="59"/>
      <c r="E284" s="1"/>
      <c r="F284" s="1"/>
      <c r="G284" s="61"/>
      <c r="H284" s="61"/>
      <c r="I284" s="1"/>
      <c r="J284" s="1"/>
      <c r="K284" s="1"/>
      <c r="L284" s="1"/>
      <c r="M284" s="63"/>
      <c r="N284" s="63"/>
      <c r="O284" s="63"/>
      <c r="P284" s="63"/>
      <c r="Q284" s="83"/>
      <c r="R284" s="271"/>
      <c r="S284" s="140"/>
      <c r="T284" s="106"/>
      <c r="U284" s="63"/>
      <c r="V284" s="63"/>
      <c r="W284" s="63"/>
      <c r="X284" s="63"/>
    </row>
    <row r="285" spans="1:24">
      <c r="A285" s="24">
        <v>45666</v>
      </c>
      <c r="B285" s="24"/>
      <c r="C285" s="31"/>
      <c r="D285" s="59"/>
      <c r="E285" s="1"/>
      <c r="F285" s="1"/>
      <c r="G285" s="61"/>
      <c r="H285" s="61"/>
      <c r="I285" s="1"/>
      <c r="J285" s="1"/>
      <c r="K285" s="1"/>
      <c r="L285" s="1"/>
      <c r="M285" s="63"/>
      <c r="N285" s="63"/>
      <c r="O285" s="63"/>
      <c r="P285" s="63"/>
      <c r="Q285" s="83"/>
      <c r="R285" s="271"/>
      <c r="S285" s="140"/>
      <c r="T285" s="106"/>
      <c r="U285" s="63"/>
      <c r="V285" s="63"/>
      <c r="W285" s="63"/>
      <c r="X285" s="63"/>
    </row>
    <row r="286" spans="1:24">
      <c r="A286" s="24">
        <v>45667</v>
      </c>
      <c r="B286" s="24"/>
      <c r="C286" s="31"/>
      <c r="D286" s="59"/>
      <c r="E286" s="1"/>
      <c r="F286" s="1"/>
      <c r="G286" s="61"/>
      <c r="H286" s="61"/>
      <c r="I286" s="1"/>
      <c r="J286" s="1"/>
      <c r="K286" s="1"/>
      <c r="L286" s="1"/>
      <c r="M286" s="63"/>
      <c r="N286" s="63"/>
      <c r="O286" s="63"/>
      <c r="P286" s="63"/>
      <c r="Q286" s="83"/>
      <c r="R286" s="271"/>
      <c r="S286" s="140"/>
      <c r="T286" s="106"/>
      <c r="U286" s="63"/>
      <c r="V286" s="63"/>
      <c r="W286" s="63"/>
      <c r="X286" s="63"/>
    </row>
    <row r="287" spans="1:24">
      <c r="A287" s="24">
        <v>45668</v>
      </c>
      <c r="B287" s="24"/>
      <c r="C287" s="31"/>
      <c r="D287" s="59"/>
      <c r="E287" s="1"/>
      <c r="F287" s="1"/>
      <c r="G287" s="61"/>
      <c r="H287" s="61"/>
      <c r="I287" s="1"/>
      <c r="J287" s="1"/>
      <c r="K287" s="1"/>
      <c r="L287" s="1"/>
      <c r="M287" s="63"/>
      <c r="N287" s="63"/>
      <c r="O287" s="63"/>
      <c r="P287" s="63"/>
      <c r="Q287" s="83"/>
      <c r="R287" s="271"/>
      <c r="S287" s="140"/>
      <c r="T287" s="106"/>
      <c r="U287" s="63"/>
      <c r="V287" s="63"/>
      <c r="W287" s="63"/>
      <c r="X287" s="63"/>
    </row>
    <row r="288" spans="1:24">
      <c r="A288" s="24">
        <v>45669</v>
      </c>
      <c r="B288" s="24"/>
      <c r="C288" s="31"/>
      <c r="D288" s="59"/>
      <c r="E288" s="1"/>
      <c r="F288" s="1"/>
      <c r="G288" s="61"/>
      <c r="H288" s="61"/>
      <c r="I288" s="1"/>
      <c r="J288" s="1"/>
      <c r="K288" s="1"/>
      <c r="L288" s="1"/>
      <c r="M288" s="63"/>
      <c r="N288" s="63"/>
      <c r="O288" s="63"/>
      <c r="P288" s="63"/>
      <c r="Q288" s="83"/>
      <c r="R288" s="271"/>
      <c r="S288" s="140"/>
      <c r="T288" s="106"/>
      <c r="U288" s="63"/>
      <c r="V288" s="63"/>
      <c r="W288" s="63"/>
      <c r="X288" s="63"/>
    </row>
    <row r="289" spans="1:24">
      <c r="A289" s="24">
        <v>45670</v>
      </c>
      <c r="B289" s="24"/>
      <c r="C289" s="31"/>
      <c r="D289" s="59"/>
      <c r="E289" s="1"/>
      <c r="F289" s="1"/>
      <c r="G289" s="61"/>
      <c r="H289" s="61"/>
      <c r="I289" s="1"/>
      <c r="J289" s="1"/>
      <c r="K289" s="1"/>
      <c r="L289" s="1"/>
      <c r="M289" s="63"/>
      <c r="N289" s="63"/>
      <c r="O289" s="63"/>
      <c r="P289" s="63"/>
      <c r="Q289" s="83"/>
      <c r="R289" s="271"/>
      <c r="S289" s="140"/>
      <c r="T289" s="106"/>
      <c r="U289" s="63"/>
      <c r="V289" s="63"/>
      <c r="W289" s="63"/>
      <c r="X289" s="63"/>
    </row>
    <row r="290" spans="1:24">
      <c r="A290" s="24">
        <v>45671</v>
      </c>
      <c r="B290" s="24"/>
      <c r="C290" s="31"/>
      <c r="D290" s="59"/>
      <c r="E290" s="1"/>
      <c r="F290" s="1"/>
      <c r="G290" s="61"/>
      <c r="H290" s="61"/>
      <c r="I290" s="1"/>
      <c r="J290" s="1"/>
      <c r="K290" s="1"/>
      <c r="L290" s="1"/>
      <c r="M290" s="63"/>
      <c r="N290" s="63"/>
      <c r="O290" s="63"/>
      <c r="P290" s="63"/>
      <c r="Q290" s="83"/>
      <c r="R290" s="271"/>
      <c r="S290" s="140"/>
      <c r="T290" s="106"/>
      <c r="U290" s="63"/>
      <c r="V290" s="63"/>
      <c r="W290" s="63"/>
      <c r="X290" s="63"/>
    </row>
    <row r="291" spans="1:24">
      <c r="A291" s="24">
        <v>45672</v>
      </c>
      <c r="B291" s="24"/>
      <c r="C291" s="31"/>
      <c r="D291" s="59"/>
      <c r="E291" s="1"/>
      <c r="F291" s="1"/>
      <c r="G291" s="61"/>
      <c r="H291" s="61"/>
      <c r="I291" s="1"/>
      <c r="J291" s="1"/>
      <c r="K291" s="1"/>
      <c r="L291" s="1"/>
      <c r="M291" s="63"/>
      <c r="N291" s="63"/>
      <c r="O291" s="63"/>
      <c r="P291" s="63"/>
      <c r="Q291" s="83"/>
      <c r="R291" s="271"/>
      <c r="S291" s="140"/>
      <c r="T291" s="106"/>
      <c r="U291" s="63"/>
      <c r="V291" s="63"/>
      <c r="W291" s="63"/>
      <c r="X291" s="63"/>
    </row>
    <row r="292" spans="1:24">
      <c r="A292" s="24">
        <v>45673</v>
      </c>
      <c r="B292" s="24"/>
      <c r="C292" s="31"/>
      <c r="D292" s="59"/>
      <c r="E292" s="1"/>
      <c r="F292" s="1"/>
      <c r="G292" s="61"/>
      <c r="H292" s="61"/>
      <c r="I292" s="1"/>
      <c r="J292" s="1"/>
      <c r="K292" s="1"/>
      <c r="L292" s="1"/>
      <c r="M292" s="63"/>
      <c r="N292" s="63"/>
      <c r="O292" s="63"/>
      <c r="P292" s="63"/>
      <c r="Q292" s="83"/>
      <c r="R292" s="271"/>
      <c r="S292" s="140"/>
      <c r="T292" s="106"/>
      <c r="U292" s="63"/>
      <c r="V292" s="63"/>
      <c r="W292" s="63"/>
      <c r="X292" s="63"/>
    </row>
    <row r="293" spans="1:24">
      <c r="A293" s="24">
        <v>45674</v>
      </c>
      <c r="B293" s="24"/>
      <c r="C293" s="31"/>
      <c r="D293" s="59"/>
      <c r="E293" s="1"/>
      <c r="F293" s="1"/>
      <c r="G293" s="61"/>
      <c r="H293" s="61"/>
      <c r="I293" s="1"/>
      <c r="J293" s="1"/>
      <c r="K293" s="1"/>
      <c r="L293" s="1"/>
      <c r="M293" s="63"/>
      <c r="N293" s="63"/>
      <c r="O293" s="63"/>
      <c r="P293" s="63"/>
      <c r="Q293" s="83"/>
      <c r="R293" s="271"/>
      <c r="S293" s="140"/>
      <c r="T293" s="106"/>
      <c r="U293" s="63"/>
      <c r="V293" s="63"/>
      <c r="W293" s="63"/>
      <c r="X293" s="63"/>
    </row>
    <row r="294" spans="1:24">
      <c r="A294" s="24">
        <v>45675</v>
      </c>
      <c r="B294" s="24"/>
      <c r="C294" s="31"/>
      <c r="D294" s="59"/>
      <c r="E294" s="1"/>
      <c r="F294" s="1"/>
      <c r="G294" s="61"/>
      <c r="H294" s="61"/>
      <c r="I294" s="1"/>
      <c r="J294" s="1"/>
      <c r="K294" s="1"/>
      <c r="L294" s="1"/>
      <c r="M294" s="63"/>
      <c r="N294" s="63"/>
      <c r="O294" s="63"/>
      <c r="P294" s="63"/>
      <c r="Q294" s="83"/>
      <c r="R294" s="271"/>
      <c r="S294" s="140"/>
      <c r="T294" s="106"/>
      <c r="U294" s="63"/>
      <c r="V294" s="63"/>
      <c r="W294" s="63"/>
      <c r="X294" s="63"/>
    </row>
    <row r="295" spans="1:24">
      <c r="A295" s="24">
        <v>45676</v>
      </c>
      <c r="B295" s="24"/>
      <c r="C295" s="31"/>
      <c r="D295" s="59"/>
      <c r="E295" s="1"/>
      <c r="F295" s="1"/>
      <c r="G295" s="61"/>
      <c r="H295" s="61"/>
      <c r="I295" s="1"/>
      <c r="J295" s="1"/>
      <c r="K295" s="1"/>
      <c r="L295" s="1"/>
      <c r="M295" s="63"/>
      <c r="N295" s="63"/>
      <c r="O295" s="63"/>
      <c r="P295" s="63"/>
      <c r="Q295" s="83"/>
      <c r="R295" s="271"/>
      <c r="S295" s="140"/>
      <c r="T295" s="106"/>
      <c r="U295" s="63"/>
      <c r="V295" s="63"/>
      <c r="W295" s="63"/>
      <c r="X295" s="63"/>
    </row>
    <row r="296" spans="1:24">
      <c r="A296" s="24">
        <v>45677</v>
      </c>
      <c r="B296" s="24"/>
      <c r="C296" s="31"/>
      <c r="D296" s="59"/>
      <c r="E296" s="1"/>
      <c r="F296" s="1"/>
      <c r="G296" s="61"/>
      <c r="H296" s="61"/>
      <c r="I296" s="1"/>
      <c r="J296" s="1"/>
      <c r="K296" s="1"/>
      <c r="L296" s="1"/>
      <c r="M296" s="63"/>
      <c r="N296" s="63"/>
      <c r="O296" s="63"/>
      <c r="P296" s="63"/>
      <c r="Q296" s="83"/>
      <c r="R296" s="271"/>
      <c r="S296" s="140"/>
      <c r="T296" s="106"/>
      <c r="U296" s="63"/>
      <c r="V296" s="63"/>
      <c r="W296" s="63"/>
      <c r="X296" s="63"/>
    </row>
    <row r="297" spans="1:24">
      <c r="A297" s="24">
        <v>45678</v>
      </c>
      <c r="B297" s="24"/>
      <c r="C297" s="31"/>
      <c r="D297" s="59"/>
      <c r="E297" s="1"/>
      <c r="F297" s="1"/>
      <c r="G297" s="61"/>
      <c r="H297" s="61"/>
      <c r="I297" s="1"/>
      <c r="J297" s="1"/>
      <c r="K297" s="1"/>
      <c r="L297" s="1"/>
      <c r="M297" s="63"/>
      <c r="N297" s="63"/>
      <c r="O297" s="63"/>
      <c r="P297" s="63"/>
      <c r="Q297" s="83"/>
      <c r="R297" s="271"/>
      <c r="S297" s="140"/>
      <c r="T297" s="106"/>
      <c r="U297" s="63"/>
      <c r="V297" s="63"/>
      <c r="W297" s="63"/>
      <c r="X297" s="63"/>
    </row>
    <row r="298" spans="1:24">
      <c r="A298" s="24">
        <v>45679</v>
      </c>
      <c r="B298" s="24"/>
      <c r="C298" s="31"/>
      <c r="D298" s="59"/>
      <c r="E298" s="1"/>
      <c r="F298" s="1"/>
      <c r="G298" s="61"/>
      <c r="H298" s="61"/>
      <c r="I298" s="1"/>
      <c r="J298" s="1"/>
      <c r="K298" s="1"/>
      <c r="L298" s="1"/>
      <c r="M298" s="63"/>
      <c r="N298" s="63"/>
      <c r="O298" s="63"/>
      <c r="P298" s="63"/>
      <c r="Q298" s="83"/>
      <c r="R298" s="271"/>
      <c r="S298" s="140"/>
      <c r="T298" s="106"/>
      <c r="U298" s="63"/>
      <c r="V298" s="63"/>
      <c r="W298" s="63"/>
      <c r="X298" s="63"/>
    </row>
    <row r="299" spans="1:24">
      <c r="A299" s="24">
        <v>45680</v>
      </c>
      <c r="B299" s="24"/>
      <c r="C299" s="31"/>
      <c r="D299" s="59"/>
      <c r="E299" s="1"/>
      <c r="F299" s="1"/>
      <c r="G299" s="61"/>
      <c r="H299" s="61"/>
      <c r="I299" s="1"/>
      <c r="J299" s="1"/>
      <c r="K299" s="1"/>
      <c r="L299" s="1"/>
      <c r="M299" s="63"/>
      <c r="N299" s="63"/>
      <c r="O299" s="63"/>
      <c r="P299" s="63"/>
      <c r="Q299" s="83"/>
      <c r="R299" s="271"/>
      <c r="S299" s="140"/>
      <c r="T299" s="106"/>
      <c r="U299" s="63"/>
      <c r="V299" s="63"/>
      <c r="W299" s="63"/>
      <c r="X299" s="63"/>
    </row>
    <row r="300" spans="1:24">
      <c r="A300" s="24">
        <v>45681</v>
      </c>
      <c r="B300" s="24"/>
      <c r="C300" s="31"/>
      <c r="D300" s="59"/>
      <c r="E300" s="1"/>
      <c r="F300" s="1"/>
      <c r="G300" s="61"/>
      <c r="H300" s="61"/>
      <c r="I300" s="1"/>
      <c r="J300" s="1"/>
      <c r="K300" s="1"/>
      <c r="L300" s="1"/>
      <c r="M300" s="63"/>
      <c r="N300" s="63"/>
      <c r="O300" s="63"/>
      <c r="P300" s="63"/>
      <c r="Q300" s="83"/>
      <c r="R300" s="271"/>
      <c r="S300" s="140"/>
      <c r="T300" s="106"/>
      <c r="U300" s="63"/>
      <c r="V300" s="63"/>
      <c r="W300" s="63"/>
      <c r="X300" s="63"/>
    </row>
    <row r="301" spans="1:24">
      <c r="A301" s="24">
        <v>45682</v>
      </c>
      <c r="B301" s="24"/>
      <c r="C301" s="31"/>
      <c r="D301" s="59"/>
      <c r="E301" s="1"/>
      <c r="F301" s="1"/>
      <c r="G301" s="61"/>
      <c r="H301" s="61"/>
      <c r="I301" s="1"/>
      <c r="J301" s="1"/>
      <c r="K301" s="1"/>
      <c r="L301" s="1"/>
      <c r="M301" s="63"/>
      <c r="N301" s="63"/>
      <c r="O301" s="63"/>
      <c r="P301" s="63"/>
      <c r="Q301" s="83"/>
      <c r="R301" s="271"/>
      <c r="S301" s="140"/>
      <c r="T301" s="106"/>
      <c r="U301" s="63"/>
      <c r="V301" s="63"/>
      <c r="W301" s="63"/>
      <c r="X301" s="63"/>
    </row>
    <row r="302" spans="1:24">
      <c r="A302" s="24">
        <v>45683</v>
      </c>
      <c r="B302" s="24"/>
      <c r="C302" s="31"/>
      <c r="D302" s="59"/>
      <c r="E302" s="1"/>
      <c r="F302" s="1"/>
      <c r="G302" s="61"/>
      <c r="H302" s="61"/>
      <c r="I302" s="1"/>
      <c r="J302" s="1"/>
      <c r="K302" s="1"/>
      <c r="L302" s="1"/>
      <c r="M302" s="63"/>
      <c r="N302" s="63"/>
      <c r="O302" s="63"/>
      <c r="P302" s="63"/>
      <c r="Q302" s="83"/>
      <c r="R302" s="271"/>
      <c r="S302" s="140"/>
      <c r="T302" s="106"/>
      <c r="U302" s="63"/>
      <c r="V302" s="63"/>
      <c r="W302" s="63"/>
      <c r="X302" s="63"/>
    </row>
    <row r="303" spans="1:24">
      <c r="A303" s="24">
        <v>45684</v>
      </c>
      <c r="B303" s="24"/>
      <c r="C303" s="31"/>
      <c r="D303" s="59"/>
      <c r="E303" s="1"/>
      <c r="F303" s="1"/>
      <c r="G303" s="61"/>
      <c r="H303" s="61"/>
      <c r="I303" s="1"/>
      <c r="J303" s="1"/>
      <c r="K303" s="1"/>
      <c r="L303" s="1"/>
      <c r="M303" s="63"/>
      <c r="N303" s="63"/>
      <c r="O303" s="63"/>
      <c r="P303" s="63"/>
      <c r="Q303" s="83"/>
      <c r="R303" s="271"/>
      <c r="S303" s="140"/>
      <c r="T303" s="106"/>
      <c r="U303" s="63"/>
      <c r="V303" s="63"/>
      <c r="W303" s="63"/>
      <c r="X303" s="63"/>
    </row>
    <row r="304" spans="1:24">
      <c r="A304" s="24">
        <v>45685</v>
      </c>
      <c r="B304" s="24"/>
      <c r="C304" s="31"/>
      <c r="D304" s="59"/>
      <c r="E304" s="1"/>
      <c r="F304" s="1"/>
      <c r="G304" s="61"/>
      <c r="H304" s="61"/>
      <c r="I304" s="1"/>
      <c r="J304" s="1"/>
      <c r="K304" s="1"/>
      <c r="L304" s="1"/>
      <c r="M304" s="63"/>
      <c r="N304" s="63"/>
      <c r="O304" s="63"/>
      <c r="P304" s="63"/>
      <c r="Q304" s="83"/>
      <c r="R304" s="271"/>
      <c r="S304" s="140"/>
      <c r="T304" s="106"/>
      <c r="U304" s="63"/>
      <c r="V304" s="63"/>
      <c r="W304" s="63"/>
      <c r="X304" s="63"/>
    </row>
    <row r="305" spans="1:24">
      <c r="A305" s="24">
        <v>45686</v>
      </c>
      <c r="B305" s="24"/>
      <c r="C305" s="31"/>
      <c r="D305" s="59"/>
      <c r="E305" s="1"/>
      <c r="F305" s="1"/>
      <c r="G305" s="61"/>
      <c r="H305" s="61"/>
      <c r="I305" s="1"/>
      <c r="J305" s="1"/>
      <c r="K305" s="1"/>
      <c r="L305" s="1"/>
      <c r="M305" s="63"/>
      <c r="N305" s="63"/>
      <c r="O305" s="63"/>
      <c r="P305" s="63"/>
      <c r="Q305" s="83"/>
      <c r="R305" s="271"/>
      <c r="S305" s="140"/>
      <c r="T305" s="106"/>
      <c r="U305" s="63"/>
      <c r="V305" s="63"/>
      <c r="W305" s="63"/>
      <c r="X305" s="63"/>
    </row>
    <row r="306" spans="1:24">
      <c r="A306" s="24">
        <v>45687</v>
      </c>
      <c r="B306" s="24"/>
      <c r="C306" s="31"/>
      <c r="D306" s="59"/>
      <c r="E306" s="1"/>
      <c r="F306" s="1"/>
      <c r="G306" s="61"/>
      <c r="H306" s="61"/>
      <c r="I306" s="1"/>
      <c r="J306" s="1"/>
      <c r="K306" s="1"/>
      <c r="L306" s="1"/>
      <c r="M306" s="63"/>
      <c r="N306" s="63"/>
      <c r="O306" s="63"/>
      <c r="P306" s="63"/>
      <c r="Q306" s="83"/>
      <c r="R306" s="271"/>
      <c r="S306" s="140"/>
      <c r="T306" s="106"/>
      <c r="U306" s="63"/>
      <c r="V306" s="63"/>
      <c r="W306" s="63"/>
      <c r="X306" s="63"/>
    </row>
    <row r="307" spans="1:24">
      <c r="A307" s="24">
        <v>45688</v>
      </c>
      <c r="B307" s="24"/>
      <c r="C307" s="31"/>
      <c r="D307" s="59"/>
      <c r="E307" s="1"/>
      <c r="F307" s="1"/>
      <c r="G307" s="61"/>
      <c r="H307" s="61"/>
      <c r="I307" s="1"/>
      <c r="J307" s="1"/>
      <c r="K307" s="1"/>
      <c r="L307" s="1"/>
      <c r="M307" s="63"/>
      <c r="N307" s="63"/>
      <c r="O307" s="63"/>
      <c r="P307" s="63"/>
      <c r="Q307" s="83"/>
      <c r="R307" s="271"/>
      <c r="S307" s="140"/>
      <c r="T307" s="106"/>
      <c r="U307" s="63"/>
      <c r="V307" s="63"/>
      <c r="W307" s="63"/>
      <c r="X307" s="63"/>
    </row>
    <row r="308" spans="1:24">
      <c r="A308" s="24">
        <v>45689</v>
      </c>
      <c r="B308" s="24"/>
      <c r="C308" s="31"/>
      <c r="D308" s="59"/>
      <c r="E308" s="1"/>
      <c r="F308" s="1"/>
      <c r="G308" s="61"/>
      <c r="H308" s="61"/>
      <c r="I308" s="1"/>
      <c r="J308" s="1"/>
      <c r="K308" s="1"/>
      <c r="L308" s="1"/>
      <c r="M308" s="63"/>
      <c r="N308" s="63"/>
      <c r="O308" s="63"/>
      <c r="P308" s="63"/>
      <c r="Q308" s="83"/>
      <c r="R308" s="271"/>
      <c r="S308" s="140"/>
      <c r="T308" s="106"/>
      <c r="U308" s="63"/>
      <c r="V308" s="63"/>
      <c r="W308" s="63"/>
      <c r="X308" s="63"/>
    </row>
    <row r="309" spans="1:24">
      <c r="A309" s="24">
        <v>45690</v>
      </c>
      <c r="B309" s="24"/>
      <c r="C309" s="31"/>
      <c r="D309" s="59"/>
      <c r="E309" s="1"/>
      <c r="F309" s="1"/>
      <c r="G309" s="61"/>
      <c r="H309" s="61"/>
      <c r="I309" s="1"/>
      <c r="J309" s="1"/>
      <c r="K309" s="1"/>
      <c r="L309" s="1"/>
      <c r="M309" s="63"/>
      <c r="N309" s="63"/>
      <c r="O309" s="63"/>
      <c r="P309" s="63"/>
      <c r="Q309" s="83"/>
      <c r="R309" s="271"/>
      <c r="S309" s="140"/>
      <c r="T309" s="106"/>
      <c r="U309" s="63"/>
      <c r="V309" s="63"/>
      <c r="W309" s="63"/>
      <c r="X309" s="63"/>
    </row>
    <row r="310" spans="1:24">
      <c r="A310" s="24">
        <v>45691</v>
      </c>
      <c r="B310" s="24"/>
      <c r="C310" s="31"/>
      <c r="D310" s="59"/>
      <c r="E310" s="1"/>
      <c r="F310" s="1"/>
      <c r="G310" s="61"/>
      <c r="H310" s="61"/>
      <c r="I310" s="1"/>
      <c r="J310" s="1"/>
      <c r="K310" s="1"/>
      <c r="L310" s="1"/>
      <c r="M310" s="63"/>
      <c r="N310" s="63"/>
      <c r="O310" s="63"/>
      <c r="P310" s="63"/>
      <c r="Q310" s="83"/>
      <c r="R310" s="271"/>
      <c r="S310" s="140"/>
      <c r="T310" s="106"/>
      <c r="U310" s="63"/>
      <c r="V310" s="63"/>
      <c r="W310" s="63"/>
      <c r="X310" s="63"/>
    </row>
    <row r="311" spans="1:24">
      <c r="A311" s="24">
        <v>45692</v>
      </c>
      <c r="B311" s="24"/>
      <c r="C311" s="31"/>
      <c r="D311" s="59"/>
      <c r="E311" s="1"/>
      <c r="F311" s="1"/>
      <c r="G311" s="61"/>
      <c r="H311" s="61"/>
      <c r="I311" s="1"/>
      <c r="J311" s="1"/>
      <c r="K311" s="1"/>
      <c r="L311" s="1"/>
      <c r="M311" s="63"/>
      <c r="N311" s="63"/>
      <c r="O311" s="63"/>
      <c r="P311" s="63"/>
      <c r="Q311" s="83"/>
      <c r="R311" s="271"/>
      <c r="S311" s="140"/>
      <c r="T311" s="106"/>
      <c r="U311" s="63"/>
      <c r="V311" s="63"/>
      <c r="W311" s="63"/>
      <c r="X311" s="63"/>
    </row>
    <row r="312" spans="1:24">
      <c r="A312" s="24">
        <v>45693</v>
      </c>
      <c r="B312" s="24"/>
      <c r="C312" s="31"/>
      <c r="D312" s="59"/>
      <c r="E312" s="1"/>
      <c r="F312" s="1"/>
      <c r="G312" s="61"/>
      <c r="H312" s="61"/>
      <c r="I312" s="1"/>
      <c r="J312" s="1"/>
      <c r="K312" s="1"/>
      <c r="L312" s="1"/>
      <c r="M312" s="63"/>
      <c r="N312" s="63"/>
      <c r="O312" s="63"/>
      <c r="P312" s="63"/>
      <c r="Q312" s="83"/>
      <c r="R312" s="271"/>
      <c r="S312" s="140"/>
      <c r="T312" s="106"/>
      <c r="U312" s="63"/>
      <c r="V312" s="63"/>
      <c r="W312" s="63"/>
      <c r="X312" s="63"/>
    </row>
    <row r="313" spans="1:24">
      <c r="A313" s="24">
        <v>45694</v>
      </c>
      <c r="B313" s="24"/>
      <c r="C313" s="31"/>
      <c r="D313" s="59"/>
      <c r="E313" s="1"/>
      <c r="F313" s="1"/>
      <c r="G313" s="61"/>
      <c r="H313" s="61"/>
      <c r="I313" s="1"/>
      <c r="J313" s="1"/>
      <c r="K313" s="1"/>
      <c r="L313" s="1"/>
      <c r="M313" s="63"/>
      <c r="N313" s="63"/>
      <c r="O313" s="63"/>
      <c r="P313" s="63"/>
      <c r="Q313" s="83"/>
      <c r="R313" s="271"/>
      <c r="S313" s="140"/>
      <c r="T313" s="106"/>
      <c r="U313" s="63"/>
      <c r="V313" s="63"/>
      <c r="W313" s="63"/>
      <c r="X313" s="63"/>
    </row>
    <row r="314" spans="1:24">
      <c r="A314" s="24">
        <v>45695</v>
      </c>
      <c r="B314" s="24"/>
      <c r="C314" s="31"/>
      <c r="D314" s="59"/>
      <c r="E314" s="1"/>
      <c r="F314" s="1"/>
      <c r="G314" s="61"/>
      <c r="H314" s="61"/>
      <c r="I314" s="1"/>
      <c r="J314" s="1"/>
      <c r="K314" s="1"/>
      <c r="L314" s="1"/>
      <c r="M314" s="63"/>
      <c r="N314" s="63"/>
      <c r="O314" s="63"/>
      <c r="P314" s="63"/>
      <c r="Q314" s="83"/>
      <c r="R314" s="271"/>
      <c r="S314" s="140"/>
      <c r="T314" s="106"/>
      <c r="U314" s="63"/>
      <c r="V314" s="63"/>
      <c r="W314" s="63"/>
      <c r="X314" s="63"/>
    </row>
    <row r="315" spans="1:24">
      <c r="A315" s="24">
        <v>45696</v>
      </c>
      <c r="B315" s="24"/>
      <c r="C315" s="31"/>
      <c r="D315" s="59"/>
      <c r="E315" s="1"/>
      <c r="F315" s="1"/>
      <c r="G315" s="61"/>
      <c r="H315" s="61"/>
      <c r="I315" s="1"/>
      <c r="J315" s="1"/>
      <c r="K315" s="1"/>
      <c r="L315" s="1"/>
      <c r="M315" s="63"/>
      <c r="N315" s="63"/>
      <c r="O315" s="63"/>
      <c r="P315" s="63"/>
      <c r="Q315" s="83"/>
      <c r="R315" s="271"/>
      <c r="S315" s="140"/>
      <c r="T315" s="106"/>
      <c r="U315" s="63"/>
      <c r="V315" s="63"/>
      <c r="W315" s="63"/>
      <c r="X315" s="63"/>
    </row>
    <row r="316" spans="1:24">
      <c r="A316" s="24">
        <v>45697</v>
      </c>
      <c r="B316" s="24"/>
      <c r="C316" s="31"/>
      <c r="D316" s="59"/>
      <c r="E316" s="1"/>
      <c r="F316" s="1"/>
      <c r="G316" s="61"/>
      <c r="H316" s="61"/>
      <c r="I316" s="1"/>
      <c r="J316" s="1"/>
      <c r="K316" s="1"/>
      <c r="L316" s="1"/>
      <c r="M316" s="63"/>
      <c r="N316" s="63"/>
      <c r="O316" s="63"/>
      <c r="P316" s="63"/>
      <c r="Q316" s="83"/>
      <c r="R316" s="271"/>
      <c r="S316" s="140"/>
      <c r="T316" s="106"/>
      <c r="U316" s="63"/>
      <c r="V316" s="63"/>
      <c r="W316" s="63"/>
      <c r="X316" s="63"/>
    </row>
    <row r="317" spans="1:24">
      <c r="A317" s="24">
        <v>45698</v>
      </c>
      <c r="B317" s="24"/>
      <c r="C317" s="31"/>
      <c r="D317" s="59"/>
      <c r="E317" s="1"/>
      <c r="F317" s="1"/>
      <c r="G317" s="61"/>
      <c r="H317" s="61"/>
      <c r="I317" s="1"/>
      <c r="J317" s="1"/>
      <c r="K317" s="1"/>
      <c r="L317" s="1"/>
      <c r="M317" s="63"/>
      <c r="N317" s="63"/>
      <c r="O317" s="63"/>
      <c r="P317" s="63"/>
      <c r="Q317" s="83"/>
      <c r="R317" s="271"/>
      <c r="S317" s="140"/>
      <c r="T317" s="106"/>
      <c r="U317" s="63"/>
      <c r="V317" s="63"/>
      <c r="W317" s="63"/>
      <c r="X317" s="63"/>
    </row>
    <row r="318" spans="1:24">
      <c r="A318" s="24">
        <v>45699</v>
      </c>
      <c r="B318" s="24"/>
      <c r="C318" s="31"/>
      <c r="D318" s="59"/>
      <c r="E318" s="1"/>
      <c r="F318" s="1"/>
      <c r="G318" s="61"/>
      <c r="H318" s="61"/>
      <c r="I318" s="1"/>
      <c r="J318" s="1"/>
      <c r="K318" s="1"/>
      <c r="L318" s="1"/>
      <c r="M318" s="63"/>
      <c r="N318" s="63"/>
      <c r="O318" s="63"/>
      <c r="P318" s="63"/>
      <c r="Q318" s="83"/>
      <c r="R318" s="271"/>
      <c r="S318" s="140"/>
      <c r="T318" s="106"/>
      <c r="U318" s="63"/>
      <c r="V318" s="63"/>
      <c r="W318" s="63"/>
      <c r="X318" s="63"/>
    </row>
    <row r="319" spans="1:24">
      <c r="A319" s="24">
        <v>45700</v>
      </c>
      <c r="B319" s="24"/>
      <c r="C319" s="31"/>
      <c r="D319" s="59"/>
      <c r="E319" s="1"/>
      <c r="F319" s="1"/>
      <c r="G319" s="61"/>
      <c r="H319" s="61"/>
      <c r="I319" s="1"/>
      <c r="J319" s="1"/>
      <c r="K319" s="1"/>
      <c r="L319" s="1"/>
      <c r="M319" s="63"/>
      <c r="N319" s="63"/>
      <c r="O319" s="63"/>
      <c r="P319" s="63"/>
      <c r="Q319" s="83"/>
      <c r="R319" s="271"/>
      <c r="S319" s="140"/>
      <c r="T319" s="106"/>
      <c r="U319" s="63"/>
      <c r="V319" s="63"/>
      <c r="W319" s="63"/>
      <c r="X319" s="63"/>
    </row>
    <row r="320" spans="1:24">
      <c r="A320" s="24">
        <v>45701</v>
      </c>
      <c r="B320" s="24"/>
      <c r="C320" s="31"/>
      <c r="D320" s="59"/>
      <c r="E320" s="1"/>
      <c r="F320" s="1"/>
      <c r="G320" s="61"/>
      <c r="H320" s="61"/>
      <c r="I320" s="1"/>
      <c r="J320" s="1"/>
      <c r="K320" s="1"/>
      <c r="L320" s="1"/>
      <c r="M320" s="63"/>
      <c r="N320" s="63"/>
      <c r="O320" s="63"/>
      <c r="P320" s="63"/>
      <c r="Q320" s="83"/>
      <c r="R320" s="271"/>
      <c r="S320" s="140"/>
      <c r="T320" s="106"/>
      <c r="U320" s="63"/>
      <c r="V320" s="63"/>
      <c r="W320" s="63"/>
      <c r="X320" s="63"/>
    </row>
    <row r="321" spans="1:24">
      <c r="A321" s="24">
        <v>45702</v>
      </c>
      <c r="B321" s="24"/>
      <c r="C321" s="31"/>
      <c r="D321" s="59"/>
      <c r="E321" s="1"/>
      <c r="F321" s="1"/>
      <c r="G321" s="61"/>
      <c r="H321" s="61"/>
      <c r="I321" s="1"/>
      <c r="J321" s="1"/>
      <c r="K321" s="1"/>
      <c r="L321" s="1"/>
      <c r="M321" s="63"/>
      <c r="N321" s="63"/>
      <c r="O321" s="63"/>
      <c r="P321" s="63"/>
      <c r="Q321" s="83"/>
      <c r="R321" s="271"/>
      <c r="S321" s="140"/>
      <c r="T321" s="106"/>
      <c r="U321" s="63"/>
      <c r="V321" s="63"/>
      <c r="W321" s="63"/>
      <c r="X321" s="63"/>
    </row>
    <row r="322" spans="1:24">
      <c r="A322" s="24">
        <v>45703</v>
      </c>
      <c r="B322" s="24"/>
      <c r="C322" s="31"/>
      <c r="D322" s="59"/>
      <c r="E322" s="1"/>
      <c r="F322" s="1"/>
      <c r="G322" s="61"/>
      <c r="H322" s="61"/>
      <c r="I322" s="1"/>
      <c r="J322" s="1"/>
      <c r="K322" s="1"/>
      <c r="L322" s="1"/>
      <c r="M322" s="63"/>
      <c r="N322" s="63"/>
      <c r="O322" s="63"/>
      <c r="P322" s="63"/>
      <c r="Q322" s="83"/>
      <c r="R322" s="271"/>
      <c r="S322" s="140"/>
      <c r="T322" s="106"/>
      <c r="U322" s="63"/>
      <c r="V322" s="63"/>
      <c r="W322" s="63"/>
      <c r="X322" s="63"/>
    </row>
    <row r="323" spans="1:24">
      <c r="A323" s="24">
        <v>45704</v>
      </c>
      <c r="B323" s="24"/>
      <c r="C323" s="31"/>
      <c r="D323" s="59"/>
      <c r="E323" s="1"/>
      <c r="F323" s="1"/>
      <c r="G323" s="61"/>
      <c r="H323" s="61"/>
      <c r="I323" s="1"/>
      <c r="J323" s="1"/>
      <c r="K323" s="1"/>
      <c r="L323" s="1"/>
      <c r="M323" s="63"/>
      <c r="N323" s="63"/>
      <c r="O323" s="63"/>
      <c r="P323" s="63"/>
      <c r="Q323" s="83"/>
      <c r="R323" s="271"/>
      <c r="S323" s="140"/>
      <c r="T323" s="106"/>
      <c r="U323" s="63"/>
      <c r="V323" s="63"/>
      <c r="W323" s="63"/>
      <c r="X323" s="63"/>
    </row>
    <row r="324" spans="1:24">
      <c r="A324" s="24">
        <v>45705</v>
      </c>
      <c r="B324" s="24"/>
      <c r="C324" s="31"/>
      <c r="D324" s="59"/>
      <c r="E324" s="1"/>
      <c r="F324" s="1"/>
      <c r="G324" s="61"/>
      <c r="H324" s="61"/>
      <c r="I324" s="1"/>
      <c r="J324" s="1"/>
      <c r="K324" s="1"/>
      <c r="L324" s="1"/>
      <c r="M324" s="63"/>
      <c r="N324" s="63"/>
      <c r="O324" s="63"/>
      <c r="P324" s="63"/>
      <c r="Q324" s="83"/>
      <c r="R324" s="271"/>
      <c r="S324" s="140"/>
      <c r="T324" s="106"/>
      <c r="U324" s="63"/>
      <c r="V324" s="63"/>
      <c r="W324" s="63"/>
      <c r="X324" s="63"/>
    </row>
    <row r="325" spans="1:24">
      <c r="A325" s="24">
        <v>45706</v>
      </c>
      <c r="B325" s="24"/>
      <c r="C325" s="31"/>
      <c r="D325" s="59"/>
      <c r="E325" s="1"/>
      <c r="F325" s="1"/>
      <c r="G325" s="61"/>
      <c r="H325" s="61"/>
      <c r="I325" s="1"/>
      <c r="J325" s="1"/>
      <c r="K325" s="1"/>
      <c r="L325" s="1"/>
      <c r="M325" s="63"/>
      <c r="N325" s="63"/>
      <c r="O325" s="63"/>
      <c r="P325" s="63"/>
      <c r="Q325" s="83"/>
      <c r="R325" s="271"/>
      <c r="S325" s="140"/>
      <c r="T325" s="106"/>
      <c r="U325" s="63"/>
      <c r="V325" s="63"/>
      <c r="W325" s="63"/>
      <c r="X325" s="63"/>
    </row>
    <row r="326" spans="1:24">
      <c r="A326" s="24">
        <v>45707</v>
      </c>
      <c r="B326" s="24"/>
      <c r="C326" s="31"/>
      <c r="D326" s="59"/>
      <c r="E326" s="1"/>
      <c r="F326" s="1"/>
      <c r="G326" s="61"/>
      <c r="H326" s="61"/>
      <c r="I326" s="1"/>
      <c r="J326" s="1"/>
      <c r="K326" s="1"/>
      <c r="L326" s="1"/>
      <c r="M326" s="63"/>
      <c r="N326" s="63"/>
      <c r="O326" s="63"/>
      <c r="P326" s="63"/>
      <c r="Q326" s="83"/>
      <c r="R326" s="271"/>
      <c r="S326" s="140"/>
      <c r="T326" s="106"/>
      <c r="U326" s="63"/>
      <c r="V326" s="63"/>
      <c r="W326" s="63"/>
      <c r="X326" s="63"/>
    </row>
    <row r="327" spans="1:24">
      <c r="A327" s="24">
        <v>45708</v>
      </c>
      <c r="B327" s="24"/>
      <c r="C327" s="31"/>
      <c r="D327" s="59"/>
      <c r="E327" s="1"/>
      <c r="F327" s="1"/>
      <c r="G327" s="61"/>
      <c r="H327" s="61"/>
      <c r="I327" s="1"/>
      <c r="J327" s="1"/>
      <c r="K327" s="1"/>
      <c r="L327" s="1"/>
      <c r="M327" s="63"/>
      <c r="N327" s="63"/>
      <c r="O327" s="63"/>
      <c r="P327" s="63"/>
      <c r="Q327" s="83"/>
      <c r="R327" s="271"/>
      <c r="S327" s="140"/>
      <c r="T327" s="106"/>
      <c r="U327" s="63"/>
      <c r="V327" s="63"/>
      <c r="W327" s="63"/>
      <c r="X327" s="63"/>
    </row>
    <row r="328" spans="1:24">
      <c r="A328" s="24">
        <v>45709</v>
      </c>
      <c r="B328" s="24"/>
      <c r="C328" s="31"/>
      <c r="D328" s="59"/>
      <c r="E328" s="1"/>
      <c r="F328" s="1"/>
      <c r="G328" s="61"/>
      <c r="H328" s="61"/>
      <c r="I328" s="1"/>
      <c r="J328" s="1"/>
      <c r="K328" s="1"/>
      <c r="L328" s="1"/>
      <c r="M328" s="63"/>
      <c r="N328" s="63"/>
      <c r="O328" s="63"/>
      <c r="P328" s="63"/>
      <c r="Q328" s="83"/>
      <c r="R328" s="271"/>
      <c r="S328" s="140"/>
      <c r="T328" s="106"/>
      <c r="U328" s="63"/>
      <c r="V328" s="63"/>
      <c r="W328" s="63"/>
      <c r="X328" s="63"/>
    </row>
    <row r="329" spans="1:24">
      <c r="A329" s="24">
        <v>45710</v>
      </c>
      <c r="B329" s="24"/>
      <c r="C329" s="31"/>
      <c r="D329" s="59"/>
      <c r="E329" s="1"/>
      <c r="F329" s="1"/>
      <c r="G329" s="61"/>
      <c r="H329" s="61"/>
      <c r="I329" s="1"/>
      <c r="J329" s="1"/>
      <c r="K329" s="1"/>
      <c r="L329" s="1"/>
      <c r="M329" s="63"/>
      <c r="N329" s="63"/>
      <c r="O329" s="63"/>
      <c r="P329" s="63"/>
      <c r="Q329" s="83"/>
      <c r="R329" s="271"/>
      <c r="S329" s="140"/>
      <c r="T329" s="106"/>
      <c r="U329" s="63"/>
      <c r="V329" s="63"/>
      <c r="W329" s="63"/>
      <c r="X329" s="63"/>
    </row>
    <row r="330" spans="1:24">
      <c r="A330" s="24">
        <v>45711</v>
      </c>
      <c r="B330" s="24"/>
      <c r="C330" s="31"/>
      <c r="D330" s="59"/>
      <c r="E330" s="1"/>
      <c r="F330" s="1"/>
      <c r="G330" s="61"/>
      <c r="H330" s="61"/>
      <c r="I330" s="1"/>
      <c r="J330" s="1"/>
      <c r="K330" s="1"/>
      <c r="L330" s="1"/>
      <c r="M330" s="63"/>
      <c r="N330" s="63"/>
      <c r="O330" s="63"/>
      <c r="P330" s="63"/>
      <c r="Q330" s="83"/>
      <c r="R330" s="271"/>
      <c r="S330" s="140"/>
      <c r="T330" s="106"/>
      <c r="U330" s="63"/>
      <c r="V330" s="63"/>
      <c r="W330" s="63"/>
      <c r="X330" s="63"/>
    </row>
    <row r="331" spans="1:24">
      <c r="A331" s="24">
        <v>45712</v>
      </c>
      <c r="B331" s="24"/>
      <c r="C331" s="31"/>
      <c r="D331" s="59"/>
      <c r="E331" s="1"/>
      <c r="F331" s="1"/>
      <c r="G331" s="61"/>
      <c r="H331" s="61"/>
      <c r="I331" s="1"/>
      <c r="J331" s="1"/>
      <c r="K331" s="1"/>
      <c r="L331" s="1"/>
      <c r="M331" s="63"/>
      <c r="N331" s="63"/>
      <c r="O331" s="63"/>
      <c r="P331" s="63"/>
      <c r="Q331" s="83"/>
      <c r="R331" s="271"/>
      <c r="S331" s="140"/>
      <c r="T331" s="106"/>
      <c r="U331" s="63"/>
      <c r="V331" s="63"/>
      <c r="W331" s="63"/>
      <c r="X331" s="63"/>
    </row>
    <row r="332" spans="1:24">
      <c r="A332" s="24">
        <v>45713</v>
      </c>
      <c r="B332" s="24"/>
      <c r="C332" s="31"/>
      <c r="D332" s="59"/>
      <c r="E332" s="1"/>
      <c r="F332" s="1"/>
      <c r="G332" s="61"/>
      <c r="H332" s="61"/>
      <c r="I332" s="1"/>
      <c r="J332" s="1"/>
      <c r="K332" s="1"/>
      <c r="L332" s="1"/>
      <c r="M332" s="63"/>
      <c r="N332" s="63"/>
      <c r="O332" s="63"/>
      <c r="P332" s="63"/>
      <c r="Q332" s="83"/>
      <c r="R332" s="271"/>
      <c r="S332" s="140"/>
      <c r="T332" s="106"/>
      <c r="U332" s="63"/>
      <c r="V332" s="63"/>
      <c r="W332" s="63"/>
      <c r="X332" s="63"/>
    </row>
    <row r="333" spans="1:24">
      <c r="A333" s="24">
        <v>45714</v>
      </c>
      <c r="B333" s="24"/>
      <c r="C333" s="31"/>
      <c r="D333" s="59"/>
      <c r="E333" s="1"/>
      <c r="F333" s="1"/>
      <c r="G333" s="61"/>
      <c r="H333" s="61"/>
      <c r="I333" s="1"/>
      <c r="J333" s="1"/>
      <c r="K333" s="1"/>
      <c r="L333" s="1"/>
      <c r="M333" s="63"/>
      <c r="N333" s="63"/>
      <c r="O333" s="63"/>
      <c r="P333" s="63"/>
      <c r="Q333" s="83"/>
      <c r="R333" s="271"/>
      <c r="S333" s="140"/>
      <c r="T333" s="106"/>
      <c r="U333" s="63"/>
      <c r="V333" s="63"/>
      <c r="W333" s="63"/>
      <c r="X333" s="63"/>
    </row>
    <row r="334" spans="1:24">
      <c r="A334" s="24">
        <v>45715</v>
      </c>
      <c r="B334" s="24"/>
      <c r="C334" s="31"/>
      <c r="D334" s="59"/>
      <c r="E334" s="1"/>
      <c r="F334" s="1"/>
      <c r="G334" s="61"/>
      <c r="H334" s="61"/>
      <c r="I334" s="1"/>
      <c r="J334" s="1"/>
      <c r="K334" s="1"/>
      <c r="L334" s="1"/>
      <c r="M334" s="63"/>
      <c r="N334" s="63"/>
      <c r="O334" s="63"/>
      <c r="P334" s="63"/>
      <c r="Q334" s="83"/>
      <c r="R334" s="271"/>
      <c r="S334" s="140"/>
      <c r="T334" s="106"/>
      <c r="U334" s="63"/>
      <c r="V334" s="63"/>
      <c r="W334" s="63"/>
      <c r="X334" s="63"/>
    </row>
    <row r="335" spans="1:24">
      <c r="A335" s="24">
        <v>45716</v>
      </c>
      <c r="B335" s="24"/>
      <c r="C335" s="31"/>
      <c r="D335" s="59"/>
      <c r="E335" s="1"/>
      <c r="F335" s="1"/>
      <c r="G335" s="61"/>
      <c r="H335" s="61"/>
      <c r="I335" s="1"/>
      <c r="J335" s="1"/>
      <c r="K335" s="1"/>
      <c r="L335" s="1"/>
      <c r="M335" s="63"/>
      <c r="N335" s="63"/>
      <c r="O335" s="63"/>
      <c r="P335" s="63"/>
      <c r="Q335" s="83"/>
      <c r="R335" s="271"/>
      <c r="S335" s="140"/>
      <c r="T335" s="106"/>
      <c r="U335" s="63"/>
      <c r="V335" s="63"/>
      <c r="W335" s="63"/>
      <c r="X335" s="63"/>
    </row>
    <row r="336" spans="1:24" s="45" customFormat="1">
      <c r="A336" s="24">
        <v>45717</v>
      </c>
      <c r="B336" s="24"/>
      <c r="C336" s="46"/>
      <c r="D336" s="59"/>
      <c r="E336" s="47"/>
      <c r="F336" s="47"/>
      <c r="G336" s="61"/>
      <c r="H336" s="61"/>
      <c r="I336" s="47"/>
      <c r="J336" s="47"/>
      <c r="K336" s="47"/>
      <c r="L336" s="47"/>
      <c r="M336" s="92"/>
      <c r="N336" s="92"/>
      <c r="O336" s="92"/>
      <c r="P336" s="92"/>
      <c r="Q336" s="93"/>
      <c r="R336" s="275"/>
      <c r="S336" s="142"/>
      <c r="T336" s="143"/>
      <c r="U336" s="92"/>
      <c r="V336" s="92"/>
      <c r="W336" s="92"/>
      <c r="X336" s="92"/>
    </row>
    <row r="337" spans="1:24">
      <c r="A337" s="24">
        <v>45718</v>
      </c>
      <c r="B337" s="24"/>
      <c r="C337" s="31"/>
      <c r="D337" s="59"/>
      <c r="E337" s="1"/>
      <c r="F337" s="1"/>
      <c r="G337" s="61"/>
      <c r="H337" s="61"/>
      <c r="I337" s="1"/>
      <c r="J337" s="1"/>
      <c r="K337" s="1"/>
      <c r="L337" s="1"/>
      <c r="M337" s="63"/>
      <c r="N337" s="63"/>
      <c r="O337" s="63"/>
      <c r="P337" s="63"/>
      <c r="Q337" s="83"/>
      <c r="R337" s="271"/>
      <c r="S337" s="140"/>
      <c r="T337" s="106"/>
      <c r="U337" s="63"/>
      <c r="V337" s="63"/>
      <c r="W337" s="63"/>
      <c r="X337" s="63"/>
    </row>
    <row r="338" spans="1:24">
      <c r="A338" s="24">
        <v>45719</v>
      </c>
      <c r="B338" s="24"/>
      <c r="C338" s="31"/>
      <c r="D338" s="59"/>
      <c r="E338" s="1"/>
      <c r="F338" s="1"/>
      <c r="G338" s="61"/>
      <c r="H338" s="61"/>
      <c r="I338" s="1"/>
      <c r="J338" s="1"/>
      <c r="K338" s="1"/>
      <c r="L338" s="1"/>
      <c r="M338" s="63"/>
      <c r="N338" s="63"/>
      <c r="O338" s="63"/>
      <c r="P338" s="63"/>
      <c r="Q338" s="83"/>
      <c r="R338" s="271"/>
      <c r="S338" s="140"/>
      <c r="T338" s="106"/>
      <c r="U338" s="63"/>
      <c r="V338" s="63"/>
      <c r="W338" s="63"/>
      <c r="X338" s="63"/>
    </row>
    <row r="339" spans="1:24">
      <c r="A339" s="24">
        <v>45720</v>
      </c>
      <c r="B339" s="24"/>
      <c r="C339" s="31"/>
      <c r="D339" s="59"/>
      <c r="E339" s="1"/>
      <c r="F339" s="1"/>
      <c r="G339" s="61"/>
      <c r="H339" s="61"/>
      <c r="I339" s="1"/>
      <c r="J339" s="1"/>
      <c r="K339" s="1"/>
      <c r="L339" s="1"/>
      <c r="M339" s="63"/>
      <c r="N339" s="63"/>
      <c r="O339" s="63"/>
      <c r="P339" s="63"/>
      <c r="Q339" s="83"/>
      <c r="R339" s="271"/>
      <c r="S339" s="140"/>
      <c r="T339" s="106"/>
      <c r="U339" s="63"/>
      <c r="V339" s="63"/>
      <c r="W339" s="63"/>
      <c r="X339" s="63"/>
    </row>
    <row r="340" spans="1:24">
      <c r="A340" s="24">
        <v>45721</v>
      </c>
      <c r="B340" s="24"/>
      <c r="C340" s="31"/>
      <c r="D340" s="59"/>
      <c r="E340" s="1"/>
      <c r="F340" s="1"/>
      <c r="G340" s="61"/>
      <c r="H340" s="61"/>
      <c r="I340" s="1"/>
      <c r="J340" s="1"/>
      <c r="K340" s="1"/>
      <c r="L340" s="1"/>
      <c r="M340" s="63"/>
      <c r="N340" s="63"/>
      <c r="O340" s="63"/>
      <c r="P340" s="63"/>
      <c r="Q340" s="83"/>
      <c r="R340" s="271"/>
      <c r="S340" s="140"/>
      <c r="T340" s="106"/>
      <c r="U340" s="63"/>
      <c r="V340" s="63"/>
      <c r="W340" s="63"/>
      <c r="X340" s="63"/>
    </row>
    <row r="341" spans="1:24">
      <c r="A341" s="24">
        <v>45722</v>
      </c>
      <c r="B341" s="24"/>
      <c r="C341" s="31"/>
      <c r="D341" s="59"/>
      <c r="E341" s="1"/>
      <c r="F341" s="1"/>
      <c r="G341" s="61"/>
      <c r="H341" s="61"/>
      <c r="I341" s="1"/>
      <c r="J341" s="1"/>
      <c r="K341" s="1"/>
      <c r="L341" s="1"/>
      <c r="M341" s="63"/>
      <c r="N341" s="63"/>
      <c r="O341" s="63"/>
      <c r="P341" s="63"/>
      <c r="Q341" s="83"/>
      <c r="R341" s="271"/>
      <c r="S341" s="140"/>
      <c r="T341" s="106"/>
      <c r="U341" s="63"/>
      <c r="V341" s="63"/>
      <c r="W341" s="63"/>
      <c r="X341" s="63"/>
    </row>
    <row r="342" spans="1:24">
      <c r="A342" s="24">
        <v>45723</v>
      </c>
      <c r="B342" s="24"/>
      <c r="C342" s="31"/>
      <c r="D342" s="59"/>
      <c r="E342" s="1"/>
      <c r="F342" s="1"/>
      <c r="G342" s="61"/>
      <c r="H342" s="61"/>
      <c r="I342" s="1"/>
      <c r="J342" s="1"/>
      <c r="K342" s="1"/>
      <c r="L342" s="1"/>
      <c r="M342" s="63"/>
      <c r="N342" s="63"/>
      <c r="O342" s="63"/>
      <c r="P342" s="63"/>
      <c r="Q342" s="83"/>
      <c r="R342" s="271"/>
      <c r="S342" s="140"/>
      <c r="T342" s="106"/>
      <c r="U342" s="63"/>
      <c r="V342" s="63"/>
      <c r="W342" s="63"/>
      <c r="X342" s="63"/>
    </row>
    <row r="343" spans="1:24">
      <c r="A343" s="24">
        <v>45724</v>
      </c>
      <c r="B343" s="24"/>
      <c r="C343" s="31"/>
      <c r="D343" s="59"/>
      <c r="E343" s="1"/>
      <c r="F343" s="1"/>
      <c r="G343" s="61"/>
      <c r="H343" s="61"/>
      <c r="I343" s="1"/>
      <c r="J343" s="1"/>
      <c r="K343" s="1"/>
      <c r="L343" s="1"/>
      <c r="M343" s="63"/>
      <c r="N343" s="63"/>
      <c r="O343" s="63"/>
      <c r="P343" s="63"/>
      <c r="Q343" s="83"/>
      <c r="R343" s="271"/>
      <c r="S343" s="140"/>
      <c r="T343" s="106"/>
      <c r="U343" s="63"/>
      <c r="V343" s="63"/>
      <c r="W343" s="63"/>
      <c r="X343" s="63"/>
    </row>
    <row r="344" spans="1:24">
      <c r="A344" s="24">
        <v>45725</v>
      </c>
      <c r="B344" s="24"/>
      <c r="C344" s="31"/>
      <c r="D344" s="59"/>
      <c r="E344" s="1"/>
      <c r="F344" s="1"/>
      <c r="G344" s="61"/>
      <c r="H344" s="61"/>
      <c r="I344" s="1"/>
      <c r="J344" s="1"/>
      <c r="K344" s="1"/>
      <c r="L344" s="1"/>
      <c r="M344" s="63"/>
      <c r="N344" s="63"/>
      <c r="O344" s="63"/>
      <c r="P344" s="63"/>
      <c r="Q344" s="83"/>
      <c r="R344" s="271"/>
      <c r="S344" s="140"/>
      <c r="T344" s="106"/>
      <c r="U344" s="63"/>
      <c r="V344" s="63"/>
      <c r="W344" s="63"/>
      <c r="X344" s="63"/>
    </row>
    <row r="345" spans="1:24">
      <c r="A345" s="24">
        <v>45726</v>
      </c>
      <c r="B345" s="24"/>
      <c r="C345" s="31"/>
      <c r="D345" s="59"/>
      <c r="E345" s="1"/>
      <c r="F345" s="1"/>
      <c r="G345" s="61"/>
      <c r="H345" s="61"/>
      <c r="I345" s="1"/>
      <c r="J345" s="1"/>
      <c r="K345" s="1"/>
      <c r="L345" s="1"/>
      <c r="M345" s="63"/>
      <c r="N345" s="63"/>
      <c r="O345" s="63"/>
      <c r="P345" s="63"/>
      <c r="Q345" s="83"/>
      <c r="R345" s="271"/>
      <c r="S345" s="140"/>
      <c r="T345" s="106"/>
      <c r="U345" s="63"/>
      <c r="V345" s="63"/>
      <c r="W345" s="63"/>
      <c r="X345" s="63"/>
    </row>
    <row r="346" spans="1:24">
      <c r="A346" s="24">
        <v>45727</v>
      </c>
      <c r="B346" s="24"/>
      <c r="C346" s="31"/>
      <c r="D346" s="59"/>
      <c r="E346" s="1"/>
      <c r="F346" s="1"/>
      <c r="G346" s="61"/>
      <c r="H346" s="61"/>
      <c r="I346" s="1"/>
      <c r="J346" s="1"/>
      <c r="K346" s="1"/>
      <c r="L346" s="1"/>
      <c r="M346" s="63"/>
      <c r="N346" s="63"/>
      <c r="O346" s="63"/>
      <c r="P346" s="63"/>
      <c r="Q346" s="83"/>
      <c r="R346" s="271"/>
      <c r="S346" s="140"/>
      <c r="T346" s="106"/>
      <c r="U346" s="63"/>
      <c r="V346" s="63"/>
      <c r="W346" s="63"/>
      <c r="X346" s="63"/>
    </row>
    <row r="347" spans="1:24">
      <c r="A347" s="24">
        <v>45728</v>
      </c>
      <c r="B347" s="24"/>
      <c r="C347" s="31"/>
      <c r="D347" s="59"/>
      <c r="E347" s="1"/>
      <c r="F347" s="1"/>
      <c r="G347" s="61"/>
      <c r="H347" s="61"/>
      <c r="I347" s="1"/>
      <c r="J347" s="1"/>
      <c r="K347" s="1"/>
      <c r="L347" s="1"/>
      <c r="M347" s="63"/>
      <c r="N347" s="63"/>
      <c r="O347" s="63"/>
      <c r="P347" s="63"/>
      <c r="Q347" s="83"/>
      <c r="R347" s="271"/>
      <c r="S347" s="140"/>
      <c r="T347" s="106"/>
      <c r="U347" s="63"/>
      <c r="V347" s="63"/>
      <c r="W347" s="63"/>
      <c r="X347" s="63"/>
    </row>
    <row r="348" spans="1:24">
      <c r="A348" s="24">
        <v>45729</v>
      </c>
      <c r="B348" s="24"/>
      <c r="C348" s="31"/>
      <c r="D348" s="59"/>
      <c r="E348" s="1"/>
      <c r="F348" s="1"/>
      <c r="G348" s="61"/>
      <c r="H348" s="61"/>
      <c r="I348" s="1"/>
      <c r="J348" s="1"/>
      <c r="K348" s="1"/>
      <c r="L348" s="1"/>
      <c r="M348" s="63"/>
      <c r="N348" s="63"/>
      <c r="O348" s="63"/>
      <c r="P348" s="63"/>
      <c r="Q348" s="83"/>
      <c r="R348" s="271"/>
      <c r="S348" s="140"/>
      <c r="T348" s="106"/>
      <c r="U348" s="63"/>
      <c r="V348" s="63"/>
      <c r="W348" s="63"/>
      <c r="X348" s="63"/>
    </row>
    <row r="349" spans="1:24">
      <c r="A349" s="24">
        <v>45730</v>
      </c>
      <c r="B349" s="24"/>
      <c r="C349" s="31"/>
      <c r="D349" s="59"/>
      <c r="E349" s="1"/>
      <c r="F349" s="1"/>
      <c r="G349" s="61"/>
      <c r="H349" s="61"/>
      <c r="I349" s="1"/>
      <c r="J349" s="1"/>
      <c r="K349" s="1"/>
      <c r="L349" s="1"/>
      <c r="M349" s="63"/>
      <c r="N349" s="63"/>
      <c r="O349" s="63"/>
      <c r="P349" s="63"/>
      <c r="Q349" s="83"/>
      <c r="R349" s="271"/>
      <c r="S349" s="140"/>
      <c r="T349" s="106"/>
      <c r="U349" s="63"/>
      <c r="V349" s="63"/>
      <c r="W349" s="63"/>
      <c r="X349" s="63"/>
    </row>
    <row r="350" spans="1:24">
      <c r="A350" s="24">
        <v>45731</v>
      </c>
      <c r="B350" s="24"/>
      <c r="C350" s="31"/>
      <c r="D350" s="59"/>
      <c r="E350" s="1"/>
      <c r="F350" s="1"/>
      <c r="G350" s="61"/>
      <c r="H350" s="61"/>
      <c r="I350" s="1"/>
      <c r="J350" s="1"/>
      <c r="K350" s="1"/>
      <c r="L350" s="1"/>
      <c r="M350" s="63"/>
      <c r="N350" s="63"/>
      <c r="O350" s="63"/>
      <c r="P350" s="63"/>
      <c r="Q350" s="83"/>
      <c r="R350" s="271"/>
      <c r="S350" s="140"/>
      <c r="T350" s="106"/>
      <c r="U350" s="63"/>
      <c r="V350" s="63"/>
      <c r="W350" s="63"/>
      <c r="X350" s="63"/>
    </row>
    <row r="351" spans="1:24">
      <c r="A351" s="24">
        <v>45732</v>
      </c>
      <c r="B351" s="24"/>
      <c r="C351" s="31"/>
      <c r="D351" s="59"/>
      <c r="E351" s="1"/>
      <c r="F351" s="1"/>
      <c r="G351" s="61"/>
      <c r="H351" s="61"/>
      <c r="I351" s="1"/>
      <c r="J351" s="1"/>
      <c r="K351" s="1"/>
      <c r="L351" s="1"/>
      <c r="M351" s="63"/>
      <c r="N351" s="63"/>
      <c r="O351" s="63"/>
      <c r="P351" s="63"/>
      <c r="Q351" s="83"/>
      <c r="R351" s="271"/>
      <c r="S351" s="140"/>
      <c r="T351" s="106"/>
      <c r="U351" s="63"/>
      <c r="V351" s="63"/>
      <c r="W351" s="63"/>
      <c r="X351" s="63"/>
    </row>
    <row r="352" spans="1:24">
      <c r="A352" s="24">
        <v>45733</v>
      </c>
      <c r="B352" s="24"/>
      <c r="C352" s="31"/>
      <c r="D352" s="59"/>
      <c r="E352" s="1"/>
      <c r="F352" s="1"/>
      <c r="G352" s="61"/>
      <c r="H352" s="61"/>
      <c r="I352" s="1"/>
      <c r="J352" s="1"/>
      <c r="K352" s="1"/>
      <c r="L352" s="1"/>
      <c r="M352" s="63"/>
      <c r="N352" s="63"/>
      <c r="O352" s="63"/>
      <c r="P352" s="63"/>
      <c r="Q352" s="83"/>
      <c r="R352" s="271"/>
      <c r="S352" s="140"/>
      <c r="T352" s="106"/>
      <c r="U352" s="63"/>
      <c r="V352" s="63"/>
      <c r="W352" s="63"/>
      <c r="X352" s="63"/>
    </row>
    <row r="353" spans="1:24">
      <c r="A353" s="24">
        <v>45734</v>
      </c>
      <c r="B353" s="24"/>
      <c r="C353" s="31"/>
      <c r="D353" s="59"/>
      <c r="E353" s="1"/>
      <c r="F353" s="1"/>
      <c r="G353" s="61"/>
      <c r="H353" s="61"/>
      <c r="I353" s="1"/>
      <c r="J353" s="1"/>
      <c r="K353" s="1"/>
      <c r="L353" s="1"/>
      <c r="M353" s="63"/>
      <c r="N353" s="63"/>
      <c r="O353" s="63"/>
      <c r="P353" s="63"/>
      <c r="Q353" s="83"/>
      <c r="R353" s="271"/>
      <c r="S353" s="140"/>
      <c r="T353" s="106"/>
      <c r="U353" s="63"/>
      <c r="V353" s="63"/>
      <c r="W353" s="63"/>
      <c r="X353" s="63"/>
    </row>
    <row r="354" spans="1:24">
      <c r="A354" s="24">
        <v>45735</v>
      </c>
      <c r="B354" s="24"/>
      <c r="C354" s="31"/>
      <c r="D354" s="59"/>
      <c r="E354" s="1"/>
      <c r="F354" s="1"/>
      <c r="G354" s="61"/>
      <c r="H354" s="61"/>
      <c r="I354" s="1"/>
      <c r="J354" s="1"/>
      <c r="K354" s="1"/>
      <c r="L354" s="1"/>
      <c r="M354" s="63"/>
      <c r="N354" s="63"/>
      <c r="O354" s="63"/>
      <c r="P354" s="63"/>
      <c r="Q354" s="83"/>
      <c r="R354" s="271"/>
      <c r="S354" s="140"/>
      <c r="T354" s="106"/>
      <c r="U354" s="63"/>
      <c r="V354" s="63"/>
      <c r="W354" s="63"/>
      <c r="X354" s="63"/>
    </row>
    <row r="355" spans="1:24">
      <c r="A355" s="24">
        <v>45736</v>
      </c>
      <c r="B355" s="24"/>
      <c r="C355" s="31"/>
      <c r="D355" s="59"/>
      <c r="E355" s="1"/>
      <c r="F355" s="1"/>
      <c r="G355" s="61"/>
      <c r="H355" s="61"/>
      <c r="I355" s="1"/>
      <c r="J355" s="1"/>
      <c r="K355" s="1"/>
      <c r="L355" s="1"/>
      <c r="M355" s="63"/>
      <c r="N355" s="63"/>
      <c r="O355" s="63"/>
      <c r="P355" s="63"/>
      <c r="Q355" s="83"/>
      <c r="R355" s="271"/>
      <c r="S355" s="140"/>
      <c r="T355" s="106"/>
      <c r="U355" s="63"/>
      <c r="V355" s="63"/>
      <c r="W355" s="63"/>
      <c r="X355" s="63"/>
    </row>
    <row r="356" spans="1:24">
      <c r="A356" s="24">
        <v>45737</v>
      </c>
      <c r="B356" s="24"/>
      <c r="C356" s="31"/>
      <c r="D356" s="59"/>
      <c r="E356" s="1"/>
      <c r="F356" s="1"/>
      <c r="G356" s="61"/>
      <c r="H356" s="61"/>
      <c r="I356" s="1"/>
      <c r="J356" s="1"/>
      <c r="K356" s="1"/>
      <c r="L356" s="1"/>
      <c r="M356" s="63"/>
      <c r="N356" s="63"/>
      <c r="O356" s="63"/>
      <c r="P356" s="63"/>
      <c r="Q356" s="83"/>
      <c r="R356" s="271"/>
      <c r="S356" s="140"/>
      <c r="T356" s="106"/>
      <c r="U356" s="63"/>
      <c r="V356" s="63"/>
      <c r="W356" s="63"/>
      <c r="X356" s="63"/>
    </row>
    <row r="357" spans="1:24">
      <c r="A357" s="24">
        <v>45738</v>
      </c>
      <c r="B357" s="24"/>
      <c r="C357" s="31"/>
      <c r="D357" s="59"/>
      <c r="E357" s="1"/>
      <c r="F357" s="1"/>
      <c r="G357" s="61"/>
      <c r="H357" s="61"/>
      <c r="I357" s="1"/>
      <c r="J357" s="1"/>
      <c r="K357" s="1"/>
      <c r="L357" s="1"/>
      <c r="M357" s="63"/>
      <c r="N357" s="63"/>
      <c r="O357" s="63"/>
      <c r="P357" s="63"/>
      <c r="Q357" s="83"/>
      <c r="R357" s="271"/>
      <c r="S357" s="140"/>
      <c r="T357" s="106"/>
      <c r="U357" s="63"/>
      <c r="V357" s="63"/>
      <c r="W357" s="63"/>
      <c r="X357" s="63"/>
    </row>
    <row r="358" spans="1:24">
      <c r="A358" s="24">
        <v>45739</v>
      </c>
      <c r="B358" s="24"/>
      <c r="C358" s="31"/>
      <c r="D358" s="59"/>
      <c r="E358" s="1"/>
      <c r="F358" s="1"/>
      <c r="G358" s="61"/>
      <c r="H358" s="61"/>
      <c r="I358" s="1"/>
      <c r="J358" s="1"/>
      <c r="K358" s="1"/>
      <c r="L358" s="1"/>
      <c r="M358" s="63"/>
      <c r="N358" s="63"/>
      <c r="O358" s="63"/>
      <c r="P358" s="63"/>
      <c r="Q358" s="83"/>
      <c r="R358" s="271"/>
      <c r="S358" s="140"/>
      <c r="T358" s="106"/>
      <c r="U358" s="63"/>
      <c r="V358" s="63"/>
      <c r="W358" s="63"/>
      <c r="X358" s="63"/>
    </row>
    <row r="359" spans="1:24">
      <c r="A359" s="24">
        <v>45740</v>
      </c>
      <c r="B359" s="24"/>
      <c r="C359" s="31"/>
      <c r="D359" s="59"/>
      <c r="E359" s="1"/>
      <c r="F359" s="1"/>
      <c r="G359" s="61"/>
      <c r="H359" s="61"/>
      <c r="I359" s="1"/>
      <c r="J359" s="1"/>
      <c r="K359" s="1"/>
      <c r="L359" s="1"/>
      <c r="M359" s="63"/>
      <c r="N359" s="63"/>
      <c r="O359" s="63"/>
      <c r="P359" s="63"/>
      <c r="Q359" s="83"/>
      <c r="R359" s="271"/>
      <c r="S359" s="140"/>
      <c r="T359" s="106"/>
      <c r="U359" s="63"/>
      <c r="V359" s="63"/>
      <c r="W359" s="63"/>
      <c r="X359" s="63"/>
    </row>
    <row r="360" spans="1:24">
      <c r="A360" s="24">
        <v>45741</v>
      </c>
      <c r="B360" s="24"/>
      <c r="C360" s="31"/>
      <c r="D360" s="59"/>
      <c r="E360" s="1"/>
      <c r="F360" s="1"/>
      <c r="G360" s="61"/>
      <c r="H360" s="61"/>
      <c r="I360" s="1"/>
      <c r="J360" s="1"/>
      <c r="K360" s="1"/>
      <c r="L360" s="1"/>
      <c r="M360" s="63"/>
      <c r="N360" s="63"/>
      <c r="O360" s="63"/>
      <c r="P360" s="63"/>
      <c r="Q360" s="83"/>
      <c r="R360" s="271"/>
      <c r="S360" s="140"/>
      <c r="T360" s="106"/>
      <c r="U360" s="63"/>
      <c r="V360" s="63"/>
      <c r="W360" s="63"/>
      <c r="X360" s="63"/>
    </row>
    <row r="361" spans="1:24">
      <c r="A361" s="24">
        <v>45742</v>
      </c>
      <c r="B361" s="24"/>
      <c r="C361" s="31"/>
      <c r="D361" s="59"/>
      <c r="E361" s="1"/>
      <c r="F361" s="1"/>
      <c r="G361" s="61"/>
      <c r="H361" s="61"/>
      <c r="I361" s="1"/>
      <c r="J361" s="1"/>
      <c r="K361" s="1"/>
      <c r="L361" s="1"/>
      <c r="M361" s="63"/>
      <c r="N361" s="63"/>
      <c r="O361" s="63"/>
      <c r="P361" s="63"/>
      <c r="Q361" s="83"/>
      <c r="R361" s="271"/>
      <c r="S361" s="140"/>
      <c r="T361" s="106"/>
      <c r="U361" s="63"/>
      <c r="V361" s="63"/>
      <c r="W361" s="63"/>
      <c r="X361" s="63"/>
    </row>
    <row r="362" spans="1:24">
      <c r="A362" s="24">
        <v>45743</v>
      </c>
      <c r="B362" s="24"/>
      <c r="C362" s="31"/>
      <c r="D362" s="59"/>
      <c r="E362" s="1"/>
      <c r="F362" s="1"/>
      <c r="G362" s="61"/>
      <c r="H362" s="61"/>
      <c r="I362" s="1"/>
      <c r="J362" s="1"/>
      <c r="K362" s="1"/>
      <c r="L362" s="1"/>
      <c r="M362" s="63"/>
      <c r="N362" s="63"/>
      <c r="O362" s="63"/>
      <c r="P362" s="63"/>
      <c r="Q362" s="83"/>
      <c r="R362" s="271"/>
      <c r="S362" s="140"/>
      <c r="T362" s="106"/>
      <c r="U362" s="63"/>
      <c r="V362" s="63"/>
      <c r="W362" s="63"/>
      <c r="X362" s="63"/>
    </row>
    <row r="363" spans="1:24">
      <c r="A363" s="24">
        <v>45744</v>
      </c>
      <c r="B363" s="24"/>
      <c r="C363" s="31"/>
      <c r="D363" s="59"/>
      <c r="E363" s="1"/>
      <c r="F363" s="1"/>
      <c r="G363" s="61"/>
      <c r="H363" s="61"/>
      <c r="I363" s="1"/>
      <c r="J363" s="1"/>
      <c r="K363" s="1"/>
      <c r="L363" s="1"/>
      <c r="M363" s="63"/>
      <c r="N363" s="63"/>
      <c r="O363" s="63"/>
      <c r="P363" s="63"/>
      <c r="Q363" s="83"/>
      <c r="R363" s="271"/>
      <c r="S363" s="140"/>
      <c r="T363" s="106"/>
      <c r="U363" s="63"/>
      <c r="V363" s="63"/>
      <c r="W363" s="63"/>
      <c r="X363" s="63"/>
    </row>
    <row r="364" spans="1:24">
      <c r="A364" s="24">
        <v>45745</v>
      </c>
      <c r="B364" s="24"/>
      <c r="C364" s="31"/>
      <c r="D364" s="59"/>
      <c r="E364" s="1"/>
      <c r="F364" s="1"/>
      <c r="G364" s="61"/>
      <c r="H364" s="61"/>
      <c r="I364" s="1"/>
      <c r="J364" s="1"/>
      <c r="K364" s="1"/>
      <c r="L364" s="1"/>
      <c r="M364" s="63"/>
      <c r="N364" s="63"/>
      <c r="O364" s="63"/>
      <c r="P364" s="63"/>
      <c r="Q364" s="83"/>
      <c r="R364" s="271"/>
      <c r="S364" s="140"/>
      <c r="T364" s="106"/>
      <c r="U364" s="63"/>
      <c r="V364" s="63"/>
      <c r="W364" s="63"/>
      <c r="X364" s="63"/>
    </row>
    <row r="365" spans="1:24">
      <c r="A365" s="24">
        <v>45746</v>
      </c>
      <c r="B365" s="24"/>
      <c r="C365" s="31"/>
      <c r="D365" s="59"/>
      <c r="E365" s="1"/>
      <c r="F365" s="1"/>
      <c r="G365" s="61"/>
      <c r="H365" s="61"/>
      <c r="I365" s="1"/>
      <c r="J365" s="1"/>
      <c r="K365" s="1"/>
      <c r="L365" s="1"/>
      <c r="M365" s="63"/>
      <c r="N365" s="63"/>
      <c r="O365" s="63"/>
      <c r="P365" s="63"/>
      <c r="Q365" s="83"/>
      <c r="R365" s="271"/>
      <c r="S365" s="140"/>
      <c r="T365" s="106"/>
      <c r="U365" s="63"/>
      <c r="V365" s="63"/>
      <c r="W365" s="63"/>
      <c r="X365" s="63"/>
    </row>
    <row r="366" spans="1:24">
      <c r="A366" s="24">
        <v>45747</v>
      </c>
      <c r="B366" s="24"/>
      <c r="C366" s="31"/>
      <c r="D366" s="59"/>
      <c r="E366" s="1"/>
      <c r="F366" s="1"/>
      <c r="G366" s="61"/>
      <c r="H366" s="61"/>
      <c r="I366" s="1"/>
      <c r="J366" s="1"/>
      <c r="K366" s="1"/>
      <c r="L366" s="1"/>
      <c r="M366" s="63"/>
      <c r="N366" s="63"/>
      <c r="O366" s="63"/>
      <c r="P366" s="63"/>
      <c r="Q366" s="83"/>
      <c r="R366" s="271"/>
      <c r="S366" s="140"/>
      <c r="T366" s="106"/>
      <c r="U366" s="63"/>
      <c r="V366" s="63"/>
      <c r="W366" s="63"/>
      <c r="X366" s="63"/>
    </row>
    <row r="367" spans="1:24">
      <c r="R367" s="175"/>
    </row>
  </sheetData>
  <mergeCells count="5">
    <mergeCell ref="AA3:AC3"/>
    <mergeCell ref="AE3:AF3"/>
    <mergeCell ref="AH3:AI3"/>
    <mergeCell ref="AA8:AB8"/>
    <mergeCell ref="AE8:AF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AS366"/>
  <sheetViews>
    <sheetView zoomScale="70" zoomScaleNormal="7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K1" sqref="K1:L1"/>
    </sheetView>
  </sheetViews>
  <sheetFormatPr defaultRowHeight="14.5"/>
  <cols>
    <col min="2" max="2" width="22.90625" bestFit="1" customWidth="1"/>
    <col min="3" max="3" width="19" style="15" bestFit="1" customWidth="1"/>
    <col min="4" max="4" width="7.453125" style="302" customWidth="1"/>
    <col min="5" max="5" width="10.453125" customWidth="1"/>
    <col min="6" max="6" width="10" customWidth="1"/>
    <col min="7" max="7" width="30.6328125" bestFit="1" customWidth="1"/>
    <col min="8" max="8" width="29.54296875" bestFit="1" customWidth="1"/>
    <col min="9" max="9" width="21.90625" bestFit="1" customWidth="1"/>
    <col min="10" max="10" width="18.453125" customWidth="1"/>
    <col min="11" max="11" width="24.6328125" bestFit="1" customWidth="1"/>
    <col min="12" max="12" width="23.26953125" bestFit="1" customWidth="1"/>
    <col min="13" max="14" width="10.453125" customWidth="1"/>
    <col min="15" max="16" width="11.453125" customWidth="1"/>
    <col min="17" max="17" width="11.08984375" bestFit="1" customWidth="1"/>
    <col min="18" max="18" width="12.54296875" bestFit="1" customWidth="1"/>
    <col min="19" max="19" width="12.54296875" customWidth="1"/>
    <col min="20" max="20" width="13.90625" style="20" bestFit="1" customWidth="1"/>
    <col min="21" max="21" width="25.26953125" style="20" customWidth="1"/>
    <col min="22" max="22" width="26.7265625" style="20" customWidth="1"/>
    <col min="23" max="23" width="39.08984375" style="20" bestFit="1" customWidth="1"/>
    <col min="24" max="24" width="34.7265625" style="20" bestFit="1" customWidth="1"/>
    <col min="25" max="25" width="23.36328125" bestFit="1" customWidth="1"/>
    <col min="41" max="41" width="17.26953125" bestFit="1" customWidth="1"/>
    <col min="42" max="42" width="19.08984375" bestFit="1" customWidth="1"/>
    <col min="43" max="43" width="19.7265625" bestFit="1" customWidth="1"/>
    <col min="44" max="44" width="17" bestFit="1" customWidth="1"/>
    <col min="45" max="45" width="17.26953125" bestFit="1" customWidth="1"/>
  </cols>
  <sheetData>
    <row r="1" spans="1:45" ht="42.5" customHeight="1">
      <c r="A1" s="23" t="s">
        <v>30</v>
      </c>
      <c r="B1" s="23" t="s">
        <v>172</v>
      </c>
      <c r="C1" s="25" t="s">
        <v>31</v>
      </c>
      <c r="D1" s="300" t="s">
        <v>32</v>
      </c>
      <c r="E1" s="25" t="s">
        <v>33</v>
      </c>
      <c r="F1" s="25" t="s">
        <v>34</v>
      </c>
      <c r="G1" s="25" t="s">
        <v>58</v>
      </c>
      <c r="H1" s="25" t="s">
        <v>59</v>
      </c>
      <c r="I1" s="25" t="s">
        <v>37</v>
      </c>
      <c r="J1" s="25" t="s">
        <v>38</v>
      </c>
      <c r="K1" s="25" t="s">
        <v>182</v>
      </c>
      <c r="L1" s="25" t="s">
        <v>183</v>
      </c>
      <c r="M1" s="25" t="s">
        <v>39</v>
      </c>
      <c r="N1" s="25" t="s">
        <v>40</v>
      </c>
      <c r="O1" s="25" t="s">
        <v>41</v>
      </c>
      <c r="P1" s="25" t="s">
        <v>72</v>
      </c>
      <c r="Q1" s="25" t="s">
        <v>43</v>
      </c>
      <c r="R1" s="23" t="s">
        <v>44</v>
      </c>
      <c r="S1" s="23" t="s">
        <v>45</v>
      </c>
      <c r="T1" s="23" t="s">
        <v>46</v>
      </c>
      <c r="U1" s="368" t="s">
        <v>164</v>
      </c>
      <c r="V1" s="368" t="s">
        <v>163</v>
      </c>
      <c r="W1" s="373" t="s">
        <v>171</v>
      </c>
      <c r="X1" s="373" t="s">
        <v>170</v>
      </c>
      <c r="Y1" s="23" t="s">
        <v>60</v>
      </c>
    </row>
    <row r="2" spans="1:45">
      <c r="A2" s="21">
        <v>45383</v>
      </c>
      <c r="B2" s="16">
        <f>IF(YEAR(Table6[[#This Row],[Date]]) = 2024, WEEKNUM(Table6[[#This Row],[Date]])-13, WEEKNUM(Table6[[#This Row],[Date]])+40)</f>
        <v>1</v>
      </c>
      <c r="C2" s="32" t="s">
        <v>47</v>
      </c>
      <c r="D2" s="301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Table2[[#This Row],[Calls Off]]</f>
        <v>0</v>
      </c>
      <c r="L2" s="1">
        <f>Table2[[#This Row],[Calls Ans]]</f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292">
        <v>0</v>
      </c>
      <c r="S2" s="292">
        <v>0</v>
      </c>
      <c r="T2" s="381">
        <v>0</v>
      </c>
      <c r="U2" s="369" t="str">
        <f>IF(OR(G2&lt;$AC$5,G2&gt;$AD$5), "Outlier", "Normal")</f>
        <v>Normal</v>
      </c>
      <c r="V2" s="369" t="str">
        <f>IF(OR(H2&lt;$AC$6,H2&gt;$AD$6), "Outlier", "Normal")</f>
        <v>Normal</v>
      </c>
      <c r="W2" s="406">
        <f>IF(U2="Normal",$G2,IF($G2&lt;150%, $G2, $AC$9))</f>
        <v>0</v>
      </c>
      <c r="X2" s="406">
        <f>IF(V2="Normal",$H2,IF($H2&lt;150%, $H2, $AG$9))</f>
        <v>0</v>
      </c>
      <c r="Y2" s="366"/>
    </row>
    <row r="3" spans="1:45">
      <c r="A3" s="21">
        <v>45384</v>
      </c>
      <c r="B3" s="16">
        <f>IF(YEAR(Table6[[#This Row],[Date]]) = 2024, WEEKNUM(Table6[[#This Row],[Date]])-13, WEEKNUM(Table6[[#This Row],[Date]])+40)</f>
        <v>1</v>
      </c>
      <c r="C3" s="9" t="s">
        <v>49</v>
      </c>
      <c r="D3" s="301" t="s">
        <v>48</v>
      </c>
      <c r="E3" s="1">
        <v>494</v>
      </c>
      <c r="F3" s="1">
        <v>416</v>
      </c>
      <c r="G3" s="61">
        <f>(E3-412)/412</f>
        <v>0.19902912621359223</v>
      </c>
      <c r="H3" s="61">
        <f>(F3-368)/368</f>
        <v>0.13043478260869565</v>
      </c>
      <c r="I3" s="1">
        <f>E3</f>
        <v>494</v>
      </c>
      <c r="J3" s="1">
        <f>F3</f>
        <v>416</v>
      </c>
      <c r="K3" s="1">
        <f>K2+Table2[[#This Row],[Calls Off]]</f>
        <v>494</v>
      </c>
      <c r="L3" s="1">
        <f>L2+Table2[[#This Row],[Calls Ans]]</f>
        <v>416</v>
      </c>
      <c r="M3" s="17">
        <v>0.62</v>
      </c>
      <c r="N3" s="17">
        <v>0.16</v>
      </c>
      <c r="O3" s="17">
        <v>0.84</v>
      </c>
      <c r="P3" s="17">
        <v>0.75</v>
      </c>
      <c r="Q3" s="17">
        <v>1</v>
      </c>
      <c r="R3" s="1">
        <v>193</v>
      </c>
      <c r="S3" s="1">
        <v>0</v>
      </c>
      <c r="T3" s="371"/>
      <c r="U3" s="370" t="str">
        <f>IF(OR(G3&lt;$AC$5,G3&gt;$AD$5), "Outlier", "Normal")</f>
        <v>Normal</v>
      </c>
      <c r="V3" s="370" t="str">
        <f>IF(OR(H3&lt;$AC$5,H3&gt;$AD$5), "Outlier", "Normal")</f>
        <v>Normal</v>
      </c>
      <c r="W3" s="407">
        <f t="shared" ref="W3:W66" si="0">IF(U3="Normal",$G3,IF($G3&lt;150%, $G3, $AC$9))</f>
        <v>0.19902912621359223</v>
      </c>
      <c r="X3" s="407">
        <f t="shared" ref="X3:X66" si="1">IF(V3="Normal",$H3,IF($H3&lt;150%, $H3, $AG$9))</f>
        <v>0.13043478260869565</v>
      </c>
      <c r="Y3" s="367" t="s">
        <v>61</v>
      </c>
      <c r="AB3" s="431" t="s">
        <v>153</v>
      </c>
      <c r="AC3" s="431"/>
      <c r="AD3" s="431"/>
      <c r="AF3" s="431" t="s">
        <v>159</v>
      </c>
      <c r="AG3" s="431"/>
      <c r="AI3" s="431" t="s">
        <v>160</v>
      </c>
      <c r="AJ3" s="431"/>
    </row>
    <row r="4" spans="1:45">
      <c r="A4" s="21">
        <v>45385</v>
      </c>
      <c r="B4" s="16">
        <f>IF(YEAR(Table6[[#This Row],[Date]]) = 2024, WEEKNUM(Table6[[#This Row],[Date]])-13, WEEKNUM(Table6[[#This Row],[Date]])+40)</f>
        <v>1</v>
      </c>
      <c r="C4" s="32" t="s">
        <v>50</v>
      </c>
      <c r="D4" s="301" t="s">
        <v>48</v>
      </c>
      <c r="E4" s="28">
        <v>388</v>
      </c>
      <c r="F4" s="28">
        <v>368</v>
      </c>
      <c r="G4" s="60">
        <f>(E4-374)/374</f>
        <v>3.7433155080213901E-2</v>
      </c>
      <c r="H4" s="60">
        <f>(F4-358)/358</f>
        <v>2.7932960893854747E-2</v>
      </c>
      <c r="I4" s="28">
        <f>I3+E4</f>
        <v>882</v>
      </c>
      <c r="J4" s="28">
        <f>J3+F4</f>
        <v>784</v>
      </c>
      <c r="K4" s="28">
        <f>K3+Table2[[#This Row],[Calls Off]]</f>
        <v>882</v>
      </c>
      <c r="L4" s="28">
        <f>L3+Table2[[#This Row],[Calls Ans]]</f>
        <v>784</v>
      </c>
      <c r="M4" s="33">
        <v>0.82</v>
      </c>
      <c r="N4" s="33">
        <v>0.05</v>
      </c>
      <c r="O4" s="33">
        <v>0.95</v>
      </c>
      <c r="P4" s="33">
        <v>0.66</v>
      </c>
      <c r="Q4" s="33">
        <v>1</v>
      </c>
      <c r="R4" s="28">
        <v>193</v>
      </c>
      <c r="S4" s="28">
        <v>0</v>
      </c>
      <c r="T4" s="371">
        <v>4</v>
      </c>
      <c r="U4" s="370" t="str">
        <f t="shared" ref="U4:U66" si="2">IF(OR(F4&lt;$AC$5,F4&gt;$AD$5), "Outlier", "Normal")</f>
        <v>Outlier</v>
      </c>
      <c r="V4" s="370" t="str">
        <f t="shared" ref="V4:V66" si="3">IF(OR(G4&lt;$AC$5,G4&gt;$AD$5), "Outlier", "Normal")</f>
        <v>Normal</v>
      </c>
      <c r="W4" s="407">
        <f t="shared" si="0"/>
        <v>3.7433155080213901E-2</v>
      </c>
      <c r="X4" s="407">
        <f t="shared" si="1"/>
        <v>2.7932960893854747E-2</v>
      </c>
      <c r="Y4" s="366"/>
      <c r="AB4" s="361" t="s">
        <v>161</v>
      </c>
      <c r="AC4" s="1" t="s">
        <v>156</v>
      </c>
      <c r="AD4" s="1" t="s">
        <v>157</v>
      </c>
      <c r="AF4" s="1" t="s">
        <v>154</v>
      </c>
      <c r="AG4" s="359">
        <f>_xlfn.QUARTILE.INC(G:G, 1)</f>
        <v>-0.10802469135802469</v>
      </c>
      <c r="AI4" s="1" t="s">
        <v>154</v>
      </c>
      <c r="AJ4" s="360">
        <f>_xlfn.QUARTILE.INC(H:H, 1)</f>
        <v>-9.0225563909774431E-2</v>
      </c>
    </row>
    <row r="5" spans="1:45">
      <c r="A5" s="21">
        <v>45386</v>
      </c>
      <c r="B5" s="16">
        <f>IF(YEAR(Table6[[#This Row],[Date]]) = 2024, WEEKNUM(Table6[[#This Row],[Date]])-13, WEEKNUM(Table6[[#This Row],[Date]])+40)</f>
        <v>1</v>
      </c>
      <c r="C5" s="9" t="s">
        <v>51</v>
      </c>
      <c r="D5" s="301" t="s">
        <v>48</v>
      </c>
      <c r="E5" s="1">
        <v>420</v>
      </c>
      <c r="F5" s="1">
        <v>394</v>
      </c>
      <c r="G5" s="61">
        <f>(E5-332)/332</f>
        <v>0.26506024096385544</v>
      </c>
      <c r="H5" s="61">
        <f>(F5-317)/317</f>
        <v>0.24290220820189273</v>
      </c>
      <c r="I5" s="1">
        <f t="shared" ref="I5:I7" si="4">I4+E5</f>
        <v>1302</v>
      </c>
      <c r="J5" s="1">
        <f t="shared" ref="J5:J7" si="5">J4+F5</f>
        <v>1178</v>
      </c>
      <c r="K5" s="1">
        <f>K4+Table2[[#This Row],[Calls Off]]</f>
        <v>1302</v>
      </c>
      <c r="L5" s="1">
        <f>L4+Table2[[#This Row],[Calls Ans]]</f>
        <v>1178</v>
      </c>
      <c r="M5" s="17">
        <v>0.81</v>
      </c>
      <c r="N5" s="17">
        <v>0.06</v>
      </c>
      <c r="O5" s="17">
        <v>0.94</v>
      </c>
      <c r="P5" s="17">
        <v>0.7</v>
      </c>
      <c r="Q5" s="17">
        <v>1</v>
      </c>
      <c r="R5" s="1">
        <v>190</v>
      </c>
      <c r="S5" s="1">
        <v>0</v>
      </c>
      <c r="T5" s="371">
        <v>4</v>
      </c>
      <c r="U5" s="370" t="str">
        <f t="shared" si="2"/>
        <v>Outlier</v>
      </c>
      <c r="V5" s="370" t="str">
        <f t="shared" si="3"/>
        <v>Normal</v>
      </c>
      <c r="W5" s="407">
        <f t="shared" si="0"/>
        <v>0.26506024096385544</v>
      </c>
      <c r="X5" s="407">
        <f t="shared" si="1"/>
        <v>0.24290220820189273</v>
      </c>
      <c r="Y5" s="367"/>
      <c r="AB5" s="361" t="s">
        <v>162</v>
      </c>
      <c r="AC5" s="1">
        <f>AG4-1.5*AG6</f>
        <v>-0.39694994591772031</v>
      </c>
      <c r="AD5" s="1">
        <f>AG5+1.5*AG6</f>
        <v>0.3735173995748014</v>
      </c>
      <c r="AF5" s="1" t="s">
        <v>155</v>
      </c>
      <c r="AG5" s="359">
        <f>_xlfn.QUARTILE.INC(G:G, 3)</f>
        <v>8.4592145015105744E-2</v>
      </c>
      <c r="AI5" s="1" t="s">
        <v>155</v>
      </c>
      <c r="AJ5" s="360">
        <f>_xlfn.QUARTILE.INC(H:H, 3)</f>
        <v>7.716049382716049E-2</v>
      </c>
    </row>
    <row r="6" spans="1:45">
      <c r="A6" s="21">
        <v>45387</v>
      </c>
      <c r="B6" s="16">
        <f>IF(YEAR(Table6[[#This Row],[Date]]) = 2024, WEEKNUM(Table6[[#This Row],[Date]])-13, WEEKNUM(Table6[[#This Row],[Date]])+40)</f>
        <v>1</v>
      </c>
      <c r="C6" s="32" t="s">
        <v>52</v>
      </c>
      <c r="D6" s="301" t="s">
        <v>48</v>
      </c>
      <c r="E6" s="28">
        <v>374</v>
      </c>
      <c r="F6" s="28">
        <v>368</v>
      </c>
      <c r="G6" s="60">
        <v>0</v>
      </c>
      <c r="H6" s="60">
        <v>0</v>
      </c>
      <c r="I6" s="1">
        <f t="shared" si="4"/>
        <v>1676</v>
      </c>
      <c r="J6" s="1">
        <f t="shared" si="5"/>
        <v>1546</v>
      </c>
      <c r="K6" s="1">
        <f>K5+Table2[[#This Row],[Calls Off]]</f>
        <v>1676</v>
      </c>
      <c r="L6" s="1">
        <f>L5+Table2[[#This Row],[Calls Ans]]</f>
        <v>1546</v>
      </c>
      <c r="M6" s="33">
        <v>0.94</v>
      </c>
      <c r="N6" s="33">
        <v>0.02</v>
      </c>
      <c r="O6" s="33">
        <v>0.98</v>
      </c>
      <c r="P6" s="33">
        <v>0.65</v>
      </c>
      <c r="Q6" s="33">
        <v>1</v>
      </c>
      <c r="R6" s="28">
        <v>188</v>
      </c>
      <c r="S6" s="28">
        <v>0</v>
      </c>
      <c r="T6" s="371">
        <v>4</v>
      </c>
      <c r="U6" s="370" t="str">
        <f t="shared" si="2"/>
        <v>Outlier</v>
      </c>
      <c r="V6" s="370" t="str">
        <f t="shared" si="3"/>
        <v>Normal</v>
      </c>
      <c r="W6" s="407">
        <f t="shared" si="0"/>
        <v>0</v>
      </c>
      <c r="X6" s="407">
        <f t="shared" si="1"/>
        <v>0</v>
      </c>
      <c r="Y6" s="366"/>
      <c r="AB6" s="361" t="s">
        <v>34</v>
      </c>
      <c r="AC6" s="1">
        <f>AJ4-1.5*AJ6</f>
        <v>-0.34130465051517683</v>
      </c>
      <c r="AD6" s="1">
        <f>AJ5+1.5*AJ6</f>
        <v>0.32823958043256291</v>
      </c>
      <c r="AF6" s="62" t="s">
        <v>158</v>
      </c>
      <c r="AG6" s="62">
        <f>AG5-AG4</f>
        <v>0.19261683637313043</v>
      </c>
      <c r="AI6" s="62" t="s">
        <v>158</v>
      </c>
      <c r="AJ6" s="112">
        <f>AJ5-AJ4</f>
        <v>0.16738605773693493</v>
      </c>
    </row>
    <row r="7" spans="1:45">
      <c r="A7" s="21">
        <v>45388</v>
      </c>
      <c r="B7" s="16">
        <f>IF(YEAR(Table6[[#This Row],[Date]]) = 2024, WEEKNUM(Table6[[#This Row],[Date]])-13, WEEKNUM(Table6[[#This Row],[Date]])+40)</f>
        <v>1</v>
      </c>
      <c r="C7" s="9" t="s">
        <v>53</v>
      </c>
      <c r="D7" s="301" t="s">
        <v>48</v>
      </c>
      <c r="E7" s="1">
        <v>110</v>
      </c>
      <c r="F7" s="1">
        <v>109</v>
      </c>
      <c r="G7" s="61">
        <f>(E7-138)/138</f>
        <v>-0.20289855072463769</v>
      </c>
      <c r="H7" s="61">
        <f>(F7-138)/138</f>
        <v>-0.21014492753623187</v>
      </c>
      <c r="I7" s="1">
        <f t="shared" si="4"/>
        <v>1786</v>
      </c>
      <c r="J7" s="1">
        <f t="shared" si="5"/>
        <v>1655</v>
      </c>
      <c r="K7" s="1">
        <f>K6+Table2[[#This Row],[Calls Off]]</f>
        <v>1786</v>
      </c>
      <c r="L7" s="1">
        <f>L6+Table2[[#This Row],[Calls Ans]]</f>
        <v>1655</v>
      </c>
      <c r="M7" s="17">
        <v>0.99</v>
      </c>
      <c r="N7" s="17">
        <v>0.01</v>
      </c>
      <c r="O7" s="17">
        <v>0.99</v>
      </c>
      <c r="P7" s="17">
        <v>0.34</v>
      </c>
      <c r="Q7" s="17">
        <v>1</v>
      </c>
      <c r="R7" s="1">
        <v>200</v>
      </c>
      <c r="S7" s="1">
        <v>0</v>
      </c>
      <c r="T7" s="371">
        <v>4</v>
      </c>
      <c r="U7" s="370" t="str">
        <f t="shared" si="2"/>
        <v>Outlier</v>
      </c>
      <c r="V7" s="370" t="str">
        <f t="shared" si="3"/>
        <v>Normal</v>
      </c>
      <c r="W7" s="407">
        <f t="shared" si="0"/>
        <v>-0.20289855072463769</v>
      </c>
      <c r="X7" s="407">
        <f t="shared" si="1"/>
        <v>-0.21014492753623187</v>
      </c>
      <c r="Y7" s="367"/>
    </row>
    <row r="8" spans="1:45">
      <c r="A8" s="21">
        <v>45389</v>
      </c>
      <c r="B8" s="16">
        <f>IF(YEAR(Table6[[#This Row],[Date]]) = 2024, WEEKNUM(Table6[[#This Row],[Date]])-13, WEEKNUM(Table6[[#This Row],[Date]])+40)</f>
        <v>2</v>
      </c>
      <c r="C8" s="32" t="s">
        <v>54</v>
      </c>
      <c r="D8" s="301" t="s">
        <v>48</v>
      </c>
      <c r="E8" s="28">
        <v>0</v>
      </c>
      <c r="F8" s="28">
        <v>0</v>
      </c>
      <c r="G8" s="60">
        <v>0</v>
      </c>
      <c r="H8" s="60">
        <v>0</v>
      </c>
      <c r="I8" s="28">
        <v>0</v>
      </c>
      <c r="J8" s="28">
        <v>0</v>
      </c>
      <c r="K8" s="28">
        <f>K7+Table2[[#This Row],[Calls Off]]</f>
        <v>1786</v>
      </c>
      <c r="L8" s="28">
        <f>L7+Table2[[#This Row],[Calls Ans]]</f>
        <v>1655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28">
        <v>0</v>
      </c>
      <c r="S8" s="28">
        <v>0</v>
      </c>
      <c r="T8" s="371">
        <v>0</v>
      </c>
      <c r="U8" s="370" t="str">
        <f t="shared" si="2"/>
        <v>Normal</v>
      </c>
      <c r="V8" s="370" t="str">
        <f t="shared" si="3"/>
        <v>Normal</v>
      </c>
      <c r="W8" s="407">
        <f t="shared" si="0"/>
        <v>0</v>
      </c>
      <c r="X8" s="407">
        <f t="shared" si="1"/>
        <v>0</v>
      </c>
      <c r="Y8" s="366"/>
      <c r="AB8" s="432" t="s">
        <v>169</v>
      </c>
      <c r="AC8" s="433"/>
      <c r="AF8" s="432" t="s">
        <v>168</v>
      </c>
      <c r="AG8" s="433"/>
      <c r="AO8" s="410" t="s">
        <v>173</v>
      </c>
      <c r="AP8" t="s">
        <v>175</v>
      </c>
      <c r="AQ8" t="s">
        <v>176</v>
      </c>
      <c r="AR8" t="s">
        <v>177</v>
      </c>
      <c r="AS8" t="s">
        <v>178</v>
      </c>
    </row>
    <row r="9" spans="1:45">
      <c r="A9" s="21">
        <v>45390</v>
      </c>
      <c r="B9" s="16">
        <f>IF(YEAR(Table6[[#This Row],[Date]]) = 2024, WEEKNUM(Table6[[#This Row],[Date]])-13, WEEKNUM(Table6[[#This Row],[Date]])+40)</f>
        <v>2</v>
      </c>
      <c r="C9" s="9" t="s">
        <v>55</v>
      </c>
      <c r="D9" s="301" t="s">
        <v>48</v>
      </c>
      <c r="E9" s="1">
        <v>453</v>
      </c>
      <c r="F9" s="1">
        <v>415</v>
      </c>
      <c r="G9" s="61">
        <v>0</v>
      </c>
      <c r="H9" s="61">
        <v>0</v>
      </c>
      <c r="I9" s="1">
        <f>I7+E9</f>
        <v>2239</v>
      </c>
      <c r="J9" s="1">
        <f>J7+F9</f>
        <v>2070</v>
      </c>
      <c r="K9" s="1">
        <f>K8+Table2[[#This Row],[Calls Off]]</f>
        <v>2239</v>
      </c>
      <c r="L9" s="1">
        <f>L8+Table2[[#This Row],[Calls Ans]]</f>
        <v>2070</v>
      </c>
      <c r="M9" s="17">
        <v>0.86</v>
      </c>
      <c r="N9" s="17">
        <v>0.08</v>
      </c>
      <c r="O9" s="17">
        <v>0.92</v>
      </c>
      <c r="P9" s="17">
        <v>0.76</v>
      </c>
      <c r="Q9" s="17">
        <v>1</v>
      </c>
      <c r="R9" s="1">
        <v>197</v>
      </c>
      <c r="S9" s="1">
        <v>0</v>
      </c>
      <c r="T9" s="371"/>
      <c r="U9" s="370" t="str">
        <f t="shared" si="2"/>
        <v>Outlier</v>
      </c>
      <c r="V9" s="370" t="str">
        <f t="shared" si="3"/>
        <v>Normal</v>
      </c>
      <c r="W9" s="407">
        <f t="shared" si="0"/>
        <v>0</v>
      </c>
      <c r="X9" s="407">
        <f t="shared" si="1"/>
        <v>0</v>
      </c>
      <c r="Y9" s="367" t="s">
        <v>62</v>
      </c>
      <c r="AB9" s="1" t="s">
        <v>165</v>
      </c>
      <c r="AC9" s="61">
        <f>AVERAGE(G2:G123)</f>
        <v>1.8191016856470982E-2</v>
      </c>
      <c r="AF9" s="1" t="s">
        <v>165</v>
      </c>
      <c r="AG9" s="61">
        <f>AVERAGE(H2:H123)</f>
        <v>1.1905064880909042E-2</v>
      </c>
      <c r="AO9" s="411">
        <v>1</v>
      </c>
      <c r="AP9" s="412">
        <v>1786</v>
      </c>
      <c r="AQ9" s="412">
        <v>1655</v>
      </c>
      <c r="AR9" s="413">
        <v>0.69666666666666666</v>
      </c>
      <c r="AS9" s="413">
        <v>0.51666666666666672</v>
      </c>
    </row>
    <row r="10" spans="1:45">
      <c r="A10" s="21">
        <v>45391</v>
      </c>
      <c r="B10" s="16">
        <f>IF(YEAR(Table6[[#This Row],[Date]]) = 2024, WEEKNUM(Table6[[#This Row],[Date]])-13, WEEKNUM(Table6[[#This Row],[Date]])+40)</f>
        <v>2</v>
      </c>
      <c r="C10" s="32" t="s">
        <v>49</v>
      </c>
      <c r="D10" s="301" t="s">
        <v>48</v>
      </c>
      <c r="E10" s="28">
        <v>368</v>
      </c>
      <c r="F10" s="28">
        <v>354</v>
      </c>
      <c r="G10" s="60">
        <f>(E10-E3)/E3</f>
        <v>-0.25506072874493929</v>
      </c>
      <c r="H10" s="60">
        <f>(F10-F3)/F3</f>
        <v>-0.14903846153846154</v>
      </c>
      <c r="I10" s="28">
        <f>I9+E10</f>
        <v>2607</v>
      </c>
      <c r="J10" s="28">
        <f>J9+F10</f>
        <v>2424</v>
      </c>
      <c r="K10" s="28">
        <f>K9+Table2[[#This Row],[Calls Off]]</f>
        <v>2607</v>
      </c>
      <c r="L10" s="28">
        <f>L9+Table2[[#This Row],[Calls Ans]]</f>
        <v>2424</v>
      </c>
      <c r="M10" s="33">
        <v>0.91</v>
      </c>
      <c r="N10" s="33">
        <v>0.04</v>
      </c>
      <c r="O10" s="33">
        <v>0.96</v>
      </c>
      <c r="P10" s="33">
        <v>0.62</v>
      </c>
      <c r="Q10" s="33">
        <v>1</v>
      </c>
      <c r="R10" s="28">
        <v>186</v>
      </c>
      <c r="S10" s="28">
        <v>0</v>
      </c>
      <c r="T10" s="371">
        <v>4</v>
      </c>
      <c r="U10" s="370" t="str">
        <f t="shared" si="2"/>
        <v>Outlier</v>
      </c>
      <c r="V10" s="370" t="str">
        <f t="shared" si="3"/>
        <v>Normal</v>
      </c>
      <c r="W10" s="407">
        <f t="shared" si="0"/>
        <v>-0.25506072874493929</v>
      </c>
      <c r="X10" s="407">
        <f t="shared" si="1"/>
        <v>-0.14903846153846154</v>
      </c>
      <c r="AB10" s="1" t="s">
        <v>166</v>
      </c>
      <c r="AC10" s="18">
        <f>MEDIAN(G2:G123)</f>
        <v>0</v>
      </c>
      <c r="AF10" s="1" t="s">
        <v>166</v>
      </c>
      <c r="AG10" s="18">
        <f>MEDIAN(H2:H123)</f>
        <v>0</v>
      </c>
      <c r="AO10" s="411">
        <v>2</v>
      </c>
      <c r="AP10" s="412">
        <v>2001</v>
      </c>
      <c r="AQ10" s="412">
        <v>1877</v>
      </c>
      <c r="AR10" s="413">
        <v>0.75</v>
      </c>
      <c r="AS10" s="413">
        <v>0.5357142857142857</v>
      </c>
    </row>
    <row r="11" spans="1:45">
      <c r="A11" s="21">
        <v>45392</v>
      </c>
      <c r="B11" s="16">
        <f>IF(YEAR(Table6[[#This Row],[Date]]) = 2024, WEEKNUM(Table6[[#This Row],[Date]])-13, WEEKNUM(Table6[[#This Row],[Date]])+40)</f>
        <v>2</v>
      </c>
      <c r="C11" s="9" t="s">
        <v>50</v>
      </c>
      <c r="D11" s="301" t="s">
        <v>48</v>
      </c>
      <c r="E11" s="1">
        <v>310</v>
      </c>
      <c r="F11" s="1">
        <v>297</v>
      </c>
      <c r="G11" s="61">
        <f t="shared" ref="G11:H11" si="6">(E11-E4)/E4</f>
        <v>-0.20103092783505155</v>
      </c>
      <c r="H11" s="61">
        <f t="shared" si="6"/>
        <v>-0.19293478260869565</v>
      </c>
      <c r="I11" s="1">
        <f t="shared" ref="I11:I13" si="7">I10+E11</f>
        <v>2917</v>
      </c>
      <c r="J11" s="1">
        <f t="shared" ref="J11:J13" si="8">J10+F11</f>
        <v>2721</v>
      </c>
      <c r="K11" s="1">
        <f>K10+Table2[[#This Row],[Calls Off]]</f>
        <v>2917</v>
      </c>
      <c r="L11" s="1">
        <f>L10+Table2[[#This Row],[Calls Ans]]</f>
        <v>2721</v>
      </c>
      <c r="M11" s="17">
        <v>0.91</v>
      </c>
      <c r="N11" s="17">
        <v>0.04</v>
      </c>
      <c r="O11" s="17">
        <v>0.96</v>
      </c>
      <c r="P11" s="17">
        <v>0.53</v>
      </c>
      <c r="Q11" s="17">
        <v>1</v>
      </c>
      <c r="R11" s="1">
        <v>182</v>
      </c>
      <c r="S11" s="1">
        <v>0</v>
      </c>
      <c r="T11" s="371">
        <v>4</v>
      </c>
      <c r="U11" s="370" t="str">
        <f t="shared" si="2"/>
        <v>Outlier</v>
      </c>
      <c r="V11" s="370" t="str">
        <f t="shared" si="3"/>
        <v>Normal</v>
      </c>
      <c r="W11" s="407">
        <f t="shared" si="0"/>
        <v>-0.20103092783505155</v>
      </c>
      <c r="X11" s="407">
        <f t="shared" si="1"/>
        <v>-0.19293478260869565</v>
      </c>
      <c r="AB11" s="1" t="s">
        <v>167</v>
      </c>
      <c r="AC11" s="16">
        <f>_xlfn.MODE.SNGL(G2:G123)</f>
        <v>0</v>
      </c>
      <c r="AF11" s="1" t="s">
        <v>167</v>
      </c>
      <c r="AG11" s="1">
        <f>_xlfn.MODE.SNGL(I2:I123)</f>
        <v>0</v>
      </c>
      <c r="AO11" s="411">
        <v>3</v>
      </c>
      <c r="AP11" s="412">
        <v>1985</v>
      </c>
      <c r="AQ11" s="412">
        <v>1880</v>
      </c>
      <c r="AR11" s="413">
        <v>0.75285714285714289</v>
      </c>
      <c r="AS11" s="413">
        <v>0.50000000000000011</v>
      </c>
    </row>
    <row r="12" spans="1:45">
      <c r="A12" s="21">
        <v>45393</v>
      </c>
      <c r="B12" s="16">
        <f>IF(YEAR(Table6[[#This Row],[Date]]) = 2024, WEEKNUM(Table6[[#This Row],[Date]])-13, WEEKNUM(Table6[[#This Row],[Date]])+40)</f>
        <v>2</v>
      </c>
      <c r="C12" s="32" t="s">
        <v>51</v>
      </c>
      <c r="D12" s="301" t="s">
        <v>48</v>
      </c>
      <c r="E12" s="28">
        <v>361</v>
      </c>
      <c r="F12" s="28">
        <v>333</v>
      </c>
      <c r="G12" s="60">
        <f t="shared" ref="G12:H12" si="9">(E12-E5)/E5</f>
        <v>-0.14047619047619048</v>
      </c>
      <c r="H12" s="60">
        <f t="shared" si="9"/>
        <v>-0.1548223350253807</v>
      </c>
      <c r="I12" s="28">
        <f t="shared" si="7"/>
        <v>3278</v>
      </c>
      <c r="J12" s="28">
        <f t="shared" si="8"/>
        <v>3054</v>
      </c>
      <c r="K12" s="28">
        <f>K11+Table2[[#This Row],[Calls Off]]</f>
        <v>3278</v>
      </c>
      <c r="L12" s="28">
        <f>L11+Table2[[#This Row],[Calls Ans]]</f>
        <v>3054</v>
      </c>
      <c r="M12" s="33">
        <v>0.78</v>
      </c>
      <c r="N12" s="33">
        <v>0.08</v>
      </c>
      <c r="O12" s="33">
        <v>0.92</v>
      </c>
      <c r="P12" s="33">
        <v>0.57999999999999996</v>
      </c>
      <c r="Q12" s="33">
        <v>1</v>
      </c>
      <c r="R12" s="28">
        <v>182</v>
      </c>
      <c r="S12" s="28">
        <v>0</v>
      </c>
      <c r="T12" s="371"/>
      <c r="U12" s="370" t="str">
        <f t="shared" si="2"/>
        <v>Outlier</v>
      </c>
      <c r="V12" s="370" t="str">
        <f t="shared" si="3"/>
        <v>Normal</v>
      </c>
      <c r="W12" s="407">
        <f t="shared" si="0"/>
        <v>-0.14047619047619048</v>
      </c>
      <c r="X12" s="407">
        <f t="shared" si="1"/>
        <v>-0.1548223350253807</v>
      </c>
      <c r="Y12" t="s">
        <v>62</v>
      </c>
      <c r="AO12" s="411">
        <v>4</v>
      </c>
      <c r="AP12" s="412">
        <v>1886</v>
      </c>
      <c r="AQ12" s="412">
        <v>1813</v>
      </c>
      <c r="AR12" s="413">
        <v>0.76857142857142857</v>
      </c>
      <c r="AS12" s="413">
        <v>0.4642857142857143</v>
      </c>
    </row>
    <row r="13" spans="1:45">
      <c r="A13" s="21">
        <v>45394</v>
      </c>
      <c r="B13" s="16">
        <f>IF(YEAR(Table6[[#This Row],[Date]]) = 2024, WEEKNUM(Table6[[#This Row],[Date]])-13, WEEKNUM(Table6[[#This Row],[Date]])+40)</f>
        <v>2</v>
      </c>
      <c r="C13" s="9" t="s">
        <v>52</v>
      </c>
      <c r="D13" s="301" t="s">
        <v>48</v>
      </c>
      <c r="E13" s="1">
        <v>348</v>
      </c>
      <c r="F13" s="1">
        <v>335</v>
      </c>
      <c r="G13" s="61">
        <f t="shared" ref="G13:H13" si="10">(E13-E6)/E6</f>
        <v>-6.9518716577540107E-2</v>
      </c>
      <c r="H13" s="61">
        <f t="shared" si="10"/>
        <v>-8.9673913043478257E-2</v>
      </c>
      <c r="I13" s="1">
        <f t="shared" si="7"/>
        <v>3626</v>
      </c>
      <c r="J13" s="1">
        <f t="shared" si="8"/>
        <v>3389</v>
      </c>
      <c r="K13" s="1">
        <f>K12+Table2[[#This Row],[Calls Off]]</f>
        <v>3626</v>
      </c>
      <c r="L13" s="1">
        <f>L12+Table2[[#This Row],[Calls Ans]]</f>
        <v>3389</v>
      </c>
      <c r="M13" s="17">
        <v>0.92</v>
      </c>
      <c r="N13" s="17">
        <v>0.04</v>
      </c>
      <c r="O13" s="17">
        <v>0.96</v>
      </c>
      <c r="P13" s="17">
        <v>0.48</v>
      </c>
      <c r="Q13" s="17">
        <v>1</v>
      </c>
      <c r="R13" s="1">
        <v>167</v>
      </c>
      <c r="S13" s="1">
        <v>0</v>
      </c>
      <c r="T13" s="371">
        <v>4</v>
      </c>
      <c r="U13" s="370" t="str">
        <f t="shared" si="2"/>
        <v>Outlier</v>
      </c>
      <c r="V13" s="370" t="str">
        <f t="shared" si="3"/>
        <v>Normal</v>
      </c>
      <c r="W13" s="407">
        <f t="shared" si="0"/>
        <v>-6.9518716577540107E-2</v>
      </c>
      <c r="X13" s="407">
        <f t="shared" si="1"/>
        <v>-8.9673913043478257E-2</v>
      </c>
      <c r="AO13" s="411">
        <v>5</v>
      </c>
      <c r="AP13" s="412">
        <v>2081</v>
      </c>
      <c r="AQ13" s="412">
        <v>1950</v>
      </c>
      <c r="AR13" s="413">
        <v>0.73000000000000009</v>
      </c>
      <c r="AS13" s="413">
        <v>0.49000000000000005</v>
      </c>
    </row>
    <row r="14" spans="1:45">
      <c r="A14" s="21">
        <v>45395</v>
      </c>
      <c r="B14" s="16">
        <f>IF(YEAR(Table6[[#This Row],[Date]]) = 2024, WEEKNUM(Table6[[#This Row],[Date]])-13, WEEKNUM(Table6[[#This Row],[Date]])+40)</f>
        <v>2</v>
      </c>
      <c r="C14" s="32" t="s">
        <v>53</v>
      </c>
      <c r="D14" s="301" t="s">
        <v>48</v>
      </c>
      <c r="E14" s="28">
        <v>161</v>
      </c>
      <c r="F14" s="28">
        <v>143</v>
      </c>
      <c r="G14" s="61">
        <f t="shared" ref="G14:H14" si="11">(E14-E7)/E7</f>
        <v>0.46363636363636362</v>
      </c>
      <c r="H14" s="61">
        <f t="shared" si="11"/>
        <v>0.31192660550458717</v>
      </c>
      <c r="I14" s="1">
        <f>I13+E14</f>
        <v>3787</v>
      </c>
      <c r="J14" s="1">
        <f>J13+F14</f>
        <v>3532</v>
      </c>
      <c r="K14" s="1">
        <f>K13+Table2[[#This Row],[Calls Off]]</f>
        <v>3787</v>
      </c>
      <c r="L14" s="1">
        <f>L13+Table2[[#This Row],[Calls Ans]]</f>
        <v>3532</v>
      </c>
      <c r="M14" s="33">
        <v>0.87</v>
      </c>
      <c r="N14" s="33">
        <v>0.11</v>
      </c>
      <c r="O14" s="33">
        <v>0.89</v>
      </c>
      <c r="P14" s="33">
        <v>0.78</v>
      </c>
      <c r="Q14" s="33">
        <v>1</v>
      </c>
      <c r="R14" s="28">
        <v>159</v>
      </c>
      <c r="S14" s="28">
        <v>0</v>
      </c>
      <c r="T14" s="371">
        <v>4</v>
      </c>
      <c r="U14" s="370" t="str">
        <f t="shared" si="2"/>
        <v>Outlier</v>
      </c>
      <c r="V14" s="370" t="str">
        <f t="shared" si="3"/>
        <v>Outlier</v>
      </c>
      <c r="W14" s="407">
        <f t="shared" si="0"/>
        <v>0.46363636363636362</v>
      </c>
      <c r="X14" s="407">
        <f t="shared" si="1"/>
        <v>0.31192660550458717</v>
      </c>
      <c r="AO14" s="411">
        <v>6</v>
      </c>
      <c r="AP14" s="412">
        <v>1976</v>
      </c>
      <c r="AQ14" s="412">
        <v>1690</v>
      </c>
      <c r="AR14" s="413">
        <v>0.65000000000000013</v>
      </c>
      <c r="AS14" s="413">
        <v>0.53857142857142859</v>
      </c>
    </row>
    <row r="15" spans="1:45">
      <c r="A15" s="21">
        <v>45396</v>
      </c>
      <c r="B15" s="16">
        <f>IF(YEAR(Table6[[#This Row],[Date]]) = 2024, WEEKNUM(Table6[[#This Row],[Date]])-13, WEEKNUM(Table6[[#This Row],[Date]])+40)</f>
        <v>3</v>
      </c>
      <c r="C15" s="9" t="s">
        <v>54</v>
      </c>
      <c r="D15" s="301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v>0</v>
      </c>
      <c r="L15" s="1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">
        <v>0</v>
      </c>
      <c r="S15" s="1">
        <v>0</v>
      </c>
      <c r="T15" s="371">
        <v>0</v>
      </c>
      <c r="U15" s="370" t="str">
        <f t="shared" si="2"/>
        <v>Normal</v>
      </c>
      <c r="V15" s="370" t="str">
        <f t="shared" si="3"/>
        <v>Normal</v>
      </c>
      <c r="W15" s="407">
        <f t="shared" si="0"/>
        <v>0</v>
      </c>
      <c r="X15" s="407">
        <f t="shared" si="1"/>
        <v>0</v>
      </c>
      <c r="AO15" s="411">
        <v>7</v>
      </c>
      <c r="AP15" s="412">
        <v>2056</v>
      </c>
      <c r="AQ15" s="412">
        <v>1857</v>
      </c>
      <c r="AR15" s="413">
        <v>0.69000000000000006</v>
      </c>
      <c r="AS15" s="413">
        <v>0.51142857142857134</v>
      </c>
    </row>
    <row r="16" spans="1:45">
      <c r="A16" s="21">
        <v>45397</v>
      </c>
      <c r="B16" s="16">
        <f>IF(YEAR(Table6[[#This Row],[Date]]) = 2024, WEEKNUM(Table6[[#This Row],[Date]])-13, WEEKNUM(Table6[[#This Row],[Date]])+40)</f>
        <v>3</v>
      </c>
      <c r="C16" s="32" t="s">
        <v>55</v>
      </c>
      <c r="D16" s="301" t="s">
        <v>48</v>
      </c>
      <c r="E16" s="28">
        <v>409</v>
      </c>
      <c r="F16" s="28">
        <v>389</v>
      </c>
      <c r="G16" s="61">
        <f>(E16-E9)/E9</f>
        <v>-9.713024282560706E-2</v>
      </c>
      <c r="H16" s="61">
        <f>(F16-F9)/F9</f>
        <v>-6.2650602409638559E-2</v>
      </c>
      <c r="I16" s="1">
        <f>I14+Table2[[#This Row],[Calls Off]]</f>
        <v>4196</v>
      </c>
      <c r="J16" s="1">
        <f>J14+Table2[[#This Row],[Calls Ans]]</f>
        <v>3921</v>
      </c>
      <c r="K16" s="1">
        <f>K14+Table2[[#This Row],[Calls Off]]</f>
        <v>4196</v>
      </c>
      <c r="L16" s="1">
        <f>L14+Table2[[#This Row],[Calls Ans]]</f>
        <v>3921</v>
      </c>
      <c r="M16" s="33">
        <v>0.84</v>
      </c>
      <c r="N16" s="33">
        <v>0.05</v>
      </c>
      <c r="O16" s="33">
        <v>0.95</v>
      </c>
      <c r="P16" s="33">
        <v>0.57999999999999996</v>
      </c>
      <c r="Q16" s="33">
        <v>1</v>
      </c>
      <c r="R16" s="28">
        <v>178</v>
      </c>
      <c r="S16" s="28">
        <v>0</v>
      </c>
      <c r="T16" s="371">
        <v>4</v>
      </c>
      <c r="U16" s="370" t="str">
        <f t="shared" si="2"/>
        <v>Outlier</v>
      </c>
      <c r="V16" s="370" t="str">
        <f t="shared" si="3"/>
        <v>Normal</v>
      </c>
      <c r="W16" s="407">
        <f t="shared" si="0"/>
        <v>-9.713024282560706E-2</v>
      </c>
      <c r="X16" s="407">
        <f t="shared" si="1"/>
        <v>-6.2650602409638559E-2</v>
      </c>
      <c r="AO16" s="411">
        <v>8</v>
      </c>
      <c r="AP16" s="412">
        <v>1591</v>
      </c>
      <c r="AQ16" s="412">
        <v>1356</v>
      </c>
      <c r="AR16" s="413">
        <v>0.50571428571428567</v>
      </c>
      <c r="AS16" s="413">
        <v>0.44285714285714278</v>
      </c>
    </row>
    <row r="17" spans="1:45">
      <c r="A17" s="21">
        <v>45398</v>
      </c>
      <c r="B17" s="16">
        <f>IF(YEAR(Table6[[#This Row],[Date]]) = 2024, WEEKNUM(Table6[[#This Row],[Date]])-13, WEEKNUM(Table6[[#This Row],[Date]])+40)</f>
        <v>3</v>
      </c>
      <c r="C17" s="9" t="s">
        <v>49</v>
      </c>
      <c r="D17" s="301" t="s">
        <v>48</v>
      </c>
      <c r="E17" s="1">
        <v>400</v>
      </c>
      <c r="F17" s="1">
        <v>371</v>
      </c>
      <c r="G17" s="61">
        <f t="shared" ref="G17:H21" si="12">(E17-E10)/E10</f>
        <v>8.6956521739130432E-2</v>
      </c>
      <c r="H17" s="61">
        <f t="shared" si="12"/>
        <v>4.8022598870056499E-2</v>
      </c>
      <c r="I17" s="1">
        <f>I16+E17</f>
        <v>4596</v>
      </c>
      <c r="J17" s="1">
        <f>J16+F17</f>
        <v>4292</v>
      </c>
      <c r="K17" s="1">
        <f>K16+Table2[[#This Row],[Calls Off]]</f>
        <v>4596</v>
      </c>
      <c r="L17" s="1">
        <f>L16+Table2[[#This Row],[Calls Ans]]</f>
        <v>4292</v>
      </c>
      <c r="M17" s="17">
        <v>0.81</v>
      </c>
      <c r="N17" s="17">
        <v>7.0000000000000007E-2</v>
      </c>
      <c r="O17" s="17">
        <v>0.93</v>
      </c>
      <c r="P17" s="17">
        <v>0.69</v>
      </c>
      <c r="Q17" s="17">
        <v>1</v>
      </c>
      <c r="R17" s="1">
        <v>205</v>
      </c>
      <c r="S17" s="1">
        <v>0</v>
      </c>
      <c r="T17" s="371">
        <v>4</v>
      </c>
      <c r="U17" s="370" t="str">
        <f t="shared" si="2"/>
        <v>Outlier</v>
      </c>
      <c r="V17" s="370" t="str">
        <f t="shared" si="3"/>
        <v>Normal</v>
      </c>
      <c r="W17" s="407">
        <f t="shared" si="0"/>
        <v>8.6956521739130432E-2</v>
      </c>
      <c r="X17" s="407">
        <f t="shared" si="1"/>
        <v>4.8022598870056499E-2</v>
      </c>
      <c r="AO17" s="411">
        <v>9</v>
      </c>
      <c r="AP17" s="412">
        <v>1707</v>
      </c>
      <c r="AQ17" s="412">
        <v>1586</v>
      </c>
      <c r="AR17" s="413">
        <v>0.73000000000000009</v>
      </c>
      <c r="AS17" s="413">
        <v>0.45428571428571429</v>
      </c>
    </row>
    <row r="18" spans="1:45">
      <c r="A18" s="21">
        <v>45399</v>
      </c>
      <c r="B18" s="16">
        <f>IF(YEAR(Table6[[#This Row],[Date]]) = 2024, WEEKNUM(Table6[[#This Row],[Date]])-13, WEEKNUM(Table6[[#This Row],[Date]])+40)</f>
        <v>3</v>
      </c>
      <c r="C18" s="32" t="s">
        <v>50</v>
      </c>
      <c r="D18" s="301" t="s">
        <v>48</v>
      </c>
      <c r="E18" s="28">
        <v>339</v>
      </c>
      <c r="F18" s="28">
        <v>327</v>
      </c>
      <c r="G18" s="61">
        <f t="shared" si="12"/>
        <v>9.3548387096774197E-2</v>
      </c>
      <c r="H18" s="61">
        <f t="shared" si="12"/>
        <v>0.10101010101010101</v>
      </c>
      <c r="I18" s="1">
        <f t="shared" ref="I18:I21" si="13">I17+E18</f>
        <v>4935</v>
      </c>
      <c r="J18" s="1">
        <f t="shared" ref="J18:J21" si="14">J17+F18</f>
        <v>4619</v>
      </c>
      <c r="K18" s="1">
        <f>K17+Table2[[#This Row],[Calls Off]]</f>
        <v>4935</v>
      </c>
      <c r="L18" s="1">
        <f>L17+Table2[[#This Row],[Calls Ans]]</f>
        <v>4619</v>
      </c>
      <c r="M18" s="33">
        <v>0.91</v>
      </c>
      <c r="N18" s="33">
        <v>0.04</v>
      </c>
      <c r="O18" s="33">
        <v>0.96</v>
      </c>
      <c r="P18" s="33">
        <v>0.6</v>
      </c>
      <c r="Q18" s="33">
        <v>1</v>
      </c>
      <c r="R18" s="28">
        <v>197</v>
      </c>
      <c r="S18" s="28">
        <v>0</v>
      </c>
      <c r="T18" s="371">
        <v>4</v>
      </c>
      <c r="U18" s="370" t="str">
        <f t="shared" si="2"/>
        <v>Outlier</v>
      </c>
      <c r="V18" s="370" t="str">
        <f t="shared" si="3"/>
        <v>Normal</v>
      </c>
      <c r="W18" s="407">
        <f t="shared" si="0"/>
        <v>9.3548387096774197E-2</v>
      </c>
      <c r="X18" s="407">
        <f t="shared" si="1"/>
        <v>0.10101010101010101</v>
      </c>
      <c r="AO18" s="411">
        <v>10</v>
      </c>
      <c r="AP18" s="412">
        <v>1876</v>
      </c>
      <c r="AQ18" s="412">
        <v>1703</v>
      </c>
      <c r="AR18" s="413">
        <v>0.7</v>
      </c>
      <c r="AS18" s="413">
        <v>0.48428571428571432</v>
      </c>
    </row>
    <row r="19" spans="1:45">
      <c r="A19" s="21">
        <v>45400</v>
      </c>
      <c r="B19" s="16">
        <f>IF(YEAR(Table6[[#This Row],[Date]]) = 2024, WEEKNUM(Table6[[#This Row],[Date]])-13, WEEKNUM(Table6[[#This Row],[Date]])+40)</f>
        <v>3</v>
      </c>
      <c r="C19" s="9" t="s">
        <v>51</v>
      </c>
      <c r="D19" s="301" t="s">
        <v>48</v>
      </c>
      <c r="E19" s="1">
        <v>371</v>
      </c>
      <c r="F19" s="1">
        <v>339</v>
      </c>
      <c r="G19" s="61">
        <f t="shared" si="12"/>
        <v>2.7700831024930747E-2</v>
      </c>
      <c r="H19" s="61">
        <f t="shared" si="12"/>
        <v>1.8018018018018018E-2</v>
      </c>
      <c r="I19" s="1">
        <f t="shared" si="13"/>
        <v>5306</v>
      </c>
      <c r="J19" s="1">
        <f t="shared" si="14"/>
        <v>4958</v>
      </c>
      <c r="K19" s="1">
        <f>K18+Table2[[#This Row],[Calls Off]]</f>
        <v>5306</v>
      </c>
      <c r="L19" s="1">
        <f>L18+Table2[[#This Row],[Calls Ans]]</f>
        <v>4958</v>
      </c>
      <c r="M19" s="17">
        <v>0.8</v>
      </c>
      <c r="N19" s="17">
        <v>0.09</v>
      </c>
      <c r="O19" s="17">
        <v>0.91</v>
      </c>
      <c r="P19" s="17">
        <v>0.64</v>
      </c>
      <c r="Q19" s="17">
        <v>1</v>
      </c>
      <c r="R19" s="1">
        <v>207</v>
      </c>
      <c r="S19" s="1">
        <v>0</v>
      </c>
      <c r="T19" s="371">
        <v>4</v>
      </c>
      <c r="U19" s="370" t="str">
        <f t="shared" si="2"/>
        <v>Outlier</v>
      </c>
      <c r="V19" s="370" t="str">
        <f t="shared" si="3"/>
        <v>Normal</v>
      </c>
      <c r="W19" s="407">
        <f t="shared" si="0"/>
        <v>2.7700831024930747E-2</v>
      </c>
      <c r="X19" s="407">
        <f t="shared" si="1"/>
        <v>1.8018018018018018E-2</v>
      </c>
      <c r="AO19" s="411">
        <v>11</v>
      </c>
      <c r="AP19" s="412">
        <v>1638</v>
      </c>
      <c r="AQ19" s="412">
        <v>1510</v>
      </c>
      <c r="AR19" s="413">
        <v>0.73000000000000009</v>
      </c>
      <c r="AS19" s="413">
        <v>0.42571428571428571</v>
      </c>
    </row>
    <row r="20" spans="1:45">
      <c r="A20" s="21">
        <v>45401</v>
      </c>
      <c r="B20" s="16">
        <f>IF(YEAR(Table6[[#This Row],[Date]]) = 2024, WEEKNUM(Table6[[#This Row],[Date]])-13, WEEKNUM(Table6[[#This Row],[Date]])+40)</f>
        <v>3</v>
      </c>
      <c r="C20" s="32" t="s">
        <v>52</v>
      </c>
      <c r="D20" s="301" t="s">
        <v>48</v>
      </c>
      <c r="E20" s="28">
        <v>350</v>
      </c>
      <c r="F20" s="28">
        <v>340</v>
      </c>
      <c r="G20" s="61">
        <f t="shared" si="12"/>
        <v>5.7471264367816091E-3</v>
      </c>
      <c r="H20" s="61">
        <f t="shared" si="12"/>
        <v>1.4925373134328358E-2</v>
      </c>
      <c r="I20" s="1">
        <f t="shared" si="13"/>
        <v>5656</v>
      </c>
      <c r="J20" s="1">
        <f t="shared" si="14"/>
        <v>5298</v>
      </c>
      <c r="K20" s="1">
        <f>K19+Table2[[#This Row],[Calls Off]]</f>
        <v>5656</v>
      </c>
      <c r="L20" s="1">
        <f>L19+Table2[[#This Row],[Calls Ans]]</f>
        <v>5298</v>
      </c>
      <c r="M20" s="33">
        <v>0.94</v>
      </c>
      <c r="N20" s="33">
        <v>0.03</v>
      </c>
      <c r="O20" s="33">
        <v>0.97</v>
      </c>
      <c r="P20" s="33">
        <v>0.62</v>
      </c>
      <c r="Q20" s="33">
        <v>1</v>
      </c>
      <c r="R20" s="28">
        <v>195</v>
      </c>
      <c r="S20" s="28">
        <v>0</v>
      </c>
      <c r="T20" s="371">
        <v>4</v>
      </c>
      <c r="U20" s="370" t="str">
        <f t="shared" si="2"/>
        <v>Outlier</v>
      </c>
      <c r="V20" s="370" t="str">
        <f t="shared" si="3"/>
        <v>Normal</v>
      </c>
      <c r="W20" s="407">
        <f t="shared" si="0"/>
        <v>5.7471264367816091E-3</v>
      </c>
      <c r="X20" s="407">
        <f t="shared" si="1"/>
        <v>1.4925373134328358E-2</v>
      </c>
      <c r="AO20" s="411">
        <v>12</v>
      </c>
      <c r="AP20" s="412">
        <v>1601</v>
      </c>
      <c r="AQ20" s="412">
        <v>1482</v>
      </c>
      <c r="AR20" s="413">
        <v>0.70571428571428574</v>
      </c>
      <c r="AS20" s="413">
        <v>0.41142857142857148</v>
      </c>
    </row>
    <row r="21" spans="1:45">
      <c r="A21" s="21">
        <v>45402</v>
      </c>
      <c r="B21" s="16">
        <f>IF(YEAR(Table6[[#This Row],[Date]]) = 2024, WEEKNUM(Table6[[#This Row],[Date]])-13, WEEKNUM(Table6[[#This Row],[Date]])+40)</f>
        <v>3</v>
      </c>
      <c r="C21" s="9" t="s">
        <v>53</v>
      </c>
      <c r="D21" s="301" t="s">
        <v>48</v>
      </c>
      <c r="E21" s="1">
        <v>116</v>
      </c>
      <c r="F21" s="1">
        <v>114</v>
      </c>
      <c r="G21" s="61">
        <f t="shared" si="12"/>
        <v>-0.27950310559006208</v>
      </c>
      <c r="H21" s="61">
        <f t="shared" si="12"/>
        <v>-0.20279720279720279</v>
      </c>
      <c r="I21" s="1">
        <f t="shared" si="13"/>
        <v>5772</v>
      </c>
      <c r="J21" s="1">
        <f t="shared" si="14"/>
        <v>5412</v>
      </c>
      <c r="K21" s="1">
        <f>K20+Table2[[#This Row],[Calls Off]]</f>
        <v>5772</v>
      </c>
      <c r="L21" s="1">
        <f>L20+Table2[[#This Row],[Calls Ans]]</f>
        <v>5412</v>
      </c>
      <c r="M21" s="17">
        <v>0.97</v>
      </c>
      <c r="N21" s="17">
        <v>0.02</v>
      </c>
      <c r="O21" s="17">
        <v>0.98</v>
      </c>
      <c r="P21" s="17">
        <v>0.37</v>
      </c>
      <c r="Q21" s="17">
        <v>1</v>
      </c>
      <c r="R21" s="1">
        <v>215</v>
      </c>
      <c r="S21" s="1">
        <v>0</v>
      </c>
      <c r="T21" s="371">
        <v>4</v>
      </c>
      <c r="U21" s="370" t="str">
        <f t="shared" si="2"/>
        <v>Outlier</v>
      </c>
      <c r="V21" s="370" t="str">
        <f t="shared" si="3"/>
        <v>Normal</v>
      </c>
      <c r="W21" s="407">
        <f t="shared" si="0"/>
        <v>-0.27950310559006208</v>
      </c>
      <c r="X21" s="407">
        <f t="shared" si="1"/>
        <v>-0.20279720279720279</v>
      </c>
      <c r="AO21" s="411">
        <v>13</v>
      </c>
      <c r="AP21" s="412">
        <v>1773</v>
      </c>
      <c r="AQ21" s="412">
        <v>1675</v>
      </c>
      <c r="AR21" s="413">
        <v>0.75285714285714278</v>
      </c>
      <c r="AS21" s="413">
        <v>0.49571428571428572</v>
      </c>
    </row>
    <row r="22" spans="1:45">
      <c r="A22" s="21">
        <v>45403</v>
      </c>
      <c r="B22" s="16">
        <f>IF(YEAR(Table6[[#This Row],[Date]]) = 2024, WEEKNUM(Table6[[#This Row],[Date]])-13, WEEKNUM(Table6[[#This Row],[Date]])+40)</f>
        <v>4</v>
      </c>
      <c r="C22" s="32" t="s">
        <v>54</v>
      </c>
      <c r="D22" s="301" t="s">
        <v>48</v>
      </c>
      <c r="E22" s="28">
        <v>0</v>
      </c>
      <c r="F22" s="28">
        <v>0</v>
      </c>
      <c r="G22" s="61">
        <v>0</v>
      </c>
      <c r="H22" s="61">
        <v>0</v>
      </c>
      <c r="I22" s="1">
        <v>0</v>
      </c>
      <c r="J22" s="1">
        <v>0</v>
      </c>
      <c r="K22" s="1">
        <v>0</v>
      </c>
      <c r="L22" s="1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28">
        <v>0</v>
      </c>
      <c r="S22" s="28">
        <v>0</v>
      </c>
      <c r="T22" s="371">
        <v>0</v>
      </c>
      <c r="U22" s="370" t="str">
        <f t="shared" si="2"/>
        <v>Normal</v>
      </c>
      <c r="V22" s="370" t="str">
        <f t="shared" si="3"/>
        <v>Normal</v>
      </c>
      <c r="W22" s="407">
        <f t="shared" si="0"/>
        <v>0</v>
      </c>
      <c r="X22" s="407">
        <f t="shared" si="1"/>
        <v>0</v>
      </c>
      <c r="AO22" s="411">
        <v>14</v>
      </c>
      <c r="AP22" s="412">
        <v>1340</v>
      </c>
      <c r="AQ22" s="412">
        <v>1269</v>
      </c>
      <c r="AR22" s="413">
        <v>0.62571428571428567</v>
      </c>
      <c r="AS22" s="413">
        <v>0.35142857142857142</v>
      </c>
    </row>
    <row r="23" spans="1:45">
      <c r="A23" s="21">
        <v>45404</v>
      </c>
      <c r="B23" s="16">
        <f>IF(YEAR(Table6[[#This Row],[Date]]) = 2024, WEEKNUM(Table6[[#This Row],[Date]])-13, WEEKNUM(Table6[[#This Row],[Date]])+40)</f>
        <v>4</v>
      </c>
      <c r="C23" s="9" t="s">
        <v>55</v>
      </c>
      <c r="D23" s="301" t="s">
        <v>48</v>
      </c>
      <c r="E23" s="1">
        <v>413</v>
      </c>
      <c r="F23" s="1">
        <v>392</v>
      </c>
      <c r="G23" s="61">
        <f>(E23-E16)/E16</f>
        <v>9.7799511002444987E-3</v>
      </c>
      <c r="H23" s="61">
        <f>(F23-F16)/F16</f>
        <v>7.7120822622107968E-3</v>
      </c>
      <c r="I23" s="1">
        <f>I21+Table2[[#This Row],[Calls Off]]</f>
        <v>6185</v>
      </c>
      <c r="J23" s="1">
        <f>J21+Table2[[#This Row],[Calls Ans]]</f>
        <v>5804</v>
      </c>
      <c r="K23" s="1">
        <f>K21+Table2[[#This Row],[Calls Off]]</f>
        <v>6185</v>
      </c>
      <c r="L23" s="1">
        <f>L21+Table2[[#This Row],[Calls Ans]]</f>
        <v>5804</v>
      </c>
      <c r="M23" s="17">
        <v>0.87</v>
      </c>
      <c r="N23" s="17">
        <v>0.05</v>
      </c>
      <c r="O23" s="17">
        <v>0.95</v>
      </c>
      <c r="P23" s="17">
        <v>0.56000000000000005</v>
      </c>
      <c r="Q23" s="17">
        <v>1</v>
      </c>
      <c r="R23" s="1">
        <v>169</v>
      </c>
      <c r="S23" s="1">
        <v>0</v>
      </c>
      <c r="T23" s="371">
        <v>4</v>
      </c>
      <c r="U23" s="370" t="str">
        <f t="shared" si="2"/>
        <v>Outlier</v>
      </c>
      <c r="V23" s="370" t="str">
        <f t="shared" si="3"/>
        <v>Normal</v>
      </c>
      <c r="W23" s="407">
        <f t="shared" si="0"/>
        <v>9.7799511002444987E-3</v>
      </c>
      <c r="X23" s="407">
        <f t="shared" si="1"/>
        <v>7.7120822622107968E-3</v>
      </c>
      <c r="AO23" s="411">
        <v>15</v>
      </c>
      <c r="AP23" s="412">
        <v>1603</v>
      </c>
      <c r="AQ23" s="412">
        <v>1525</v>
      </c>
      <c r="AR23" s="413">
        <v>0.76999999999999991</v>
      </c>
      <c r="AS23" s="413">
        <v>0.45</v>
      </c>
    </row>
    <row r="24" spans="1:45">
      <c r="A24" s="21">
        <v>45405</v>
      </c>
      <c r="B24" s="16">
        <f>IF(YEAR(Table6[[#This Row],[Date]]) = 2024, WEEKNUM(Table6[[#This Row],[Date]])-13, WEEKNUM(Table6[[#This Row],[Date]])+40)</f>
        <v>4</v>
      </c>
      <c r="C24" s="32" t="s">
        <v>49</v>
      </c>
      <c r="D24" s="301" t="s">
        <v>48</v>
      </c>
      <c r="E24" s="28">
        <v>319</v>
      </c>
      <c r="F24" s="28">
        <v>305</v>
      </c>
      <c r="G24" s="61">
        <f t="shared" ref="G24:G28" si="15">(E24-E17)/E17</f>
        <v>-0.20250000000000001</v>
      </c>
      <c r="H24" s="61">
        <f t="shared" ref="H24:H28" si="16">(F24-F17)/F17</f>
        <v>-0.17789757412398921</v>
      </c>
      <c r="I24" s="1">
        <f>I23+E24</f>
        <v>6504</v>
      </c>
      <c r="J24" s="1">
        <f>J23+F24</f>
        <v>6109</v>
      </c>
      <c r="K24" s="1">
        <f>K23+Table2[[#This Row],[Calls Off]]</f>
        <v>6504</v>
      </c>
      <c r="L24" s="1">
        <f>L23+Table2[[#This Row],[Calls Ans]]</f>
        <v>6109</v>
      </c>
      <c r="M24" s="33">
        <v>0.89</v>
      </c>
      <c r="N24" s="33">
        <v>0.04</v>
      </c>
      <c r="O24" s="33">
        <v>0.96</v>
      </c>
      <c r="P24" s="33">
        <v>0.55000000000000004</v>
      </c>
      <c r="Q24" s="33">
        <v>1</v>
      </c>
      <c r="R24" s="28">
        <v>192</v>
      </c>
      <c r="S24" s="28">
        <v>0</v>
      </c>
      <c r="T24" s="371">
        <v>4</v>
      </c>
      <c r="U24" s="370" t="str">
        <f t="shared" si="2"/>
        <v>Outlier</v>
      </c>
      <c r="V24" s="370" t="str">
        <f t="shared" si="3"/>
        <v>Normal</v>
      </c>
      <c r="W24" s="407">
        <f t="shared" si="0"/>
        <v>-0.20250000000000001</v>
      </c>
      <c r="X24" s="407">
        <f t="shared" si="1"/>
        <v>-0.17789757412398921</v>
      </c>
      <c r="AO24" s="411">
        <v>16</v>
      </c>
      <c r="AP24" s="412">
        <v>1711</v>
      </c>
      <c r="AQ24" s="412">
        <v>1566</v>
      </c>
      <c r="AR24" s="413">
        <v>0.71571428571428564</v>
      </c>
      <c r="AS24" s="413">
        <v>0.49285714285714288</v>
      </c>
    </row>
    <row r="25" spans="1:45">
      <c r="A25" s="21">
        <v>45406</v>
      </c>
      <c r="B25" s="16">
        <f>IF(YEAR(Table6[[#This Row],[Date]]) = 2024, WEEKNUM(Table6[[#This Row],[Date]])-13, WEEKNUM(Table6[[#This Row],[Date]])+40)</f>
        <v>4</v>
      </c>
      <c r="C25" s="9" t="s">
        <v>50</v>
      </c>
      <c r="D25" s="301" t="s">
        <v>48</v>
      </c>
      <c r="E25" s="1">
        <v>296</v>
      </c>
      <c r="F25" s="1">
        <v>289</v>
      </c>
      <c r="G25" s="61">
        <f t="shared" si="15"/>
        <v>-0.12684365781710916</v>
      </c>
      <c r="H25" s="61">
        <f t="shared" si="16"/>
        <v>-0.11620795107033639</v>
      </c>
      <c r="I25" s="1">
        <f t="shared" ref="I25:I28" si="17">I24+E25</f>
        <v>6800</v>
      </c>
      <c r="J25" s="1">
        <f t="shared" ref="J25:J28" si="18">J24+F25</f>
        <v>6398</v>
      </c>
      <c r="K25" s="1">
        <f>K24+Table2[[#This Row],[Calls Off]]</f>
        <v>6800</v>
      </c>
      <c r="L25" s="1">
        <f>L24+Table2[[#This Row],[Calls Ans]]</f>
        <v>6398</v>
      </c>
      <c r="M25" s="17">
        <v>0.94</v>
      </c>
      <c r="N25" s="17">
        <v>0.02</v>
      </c>
      <c r="O25" s="17">
        <v>0.98</v>
      </c>
      <c r="P25" s="17">
        <v>0.5</v>
      </c>
      <c r="Q25" s="17">
        <v>1</v>
      </c>
      <c r="R25" s="1">
        <v>181</v>
      </c>
      <c r="S25" s="1">
        <v>0</v>
      </c>
      <c r="T25" s="371">
        <v>4</v>
      </c>
      <c r="U25" s="370" t="str">
        <f t="shared" si="2"/>
        <v>Outlier</v>
      </c>
      <c r="V25" s="370" t="str">
        <f t="shared" si="3"/>
        <v>Normal</v>
      </c>
      <c r="W25" s="407">
        <f t="shared" si="0"/>
        <v>-0.12684365781710916</v>
      </c>
      <c r="X25" s="407">
        <f t="shared" si="1"/>
        <v>-0.11620795107033639</v>
      </c>
      <c r="AO25" s="411">
        <v>17</v>
      </c>
      <c r="AP25" s="412">
        <v>1896</v>
      </c>
      <c r="AQ25" s="412">
        <v>1723</v>
      </c>
      <c r="AR25" s="413">
        <v>0.70428571428571429</v>
      </c>
      <c r="AS25" s="413">
        <v>0.50142857142857145</v>
      </c>
    </row>
    <row r="26" spans="1:45">
      <c r="A26" s="21">
        <v>45407</v>
      </c>
      <c r="B26" s="16">
        <f>IF(YEAR(Table6[[#This Row],[Date]]) = 2024, WEEKNUM(Table6[[#This Row],[Date]])-13, WEEKNUM(Table6[[#This Row],[Date]])+40)</f>
        <v>4</v>
      </c>
      <c r="C26" s="32" t="s">
        <v>51</v>
      </c>
      <c r="D26" s="301" t="s">
        <v>48</v>
      </c>
      <c r="E26" s="28">
        <v>330</v>
      </c>
      <c r="F26" s="28">
        <v>320</v>
      </c>
      <c r="G26" s="61">
        <f t="shared" si="15"/>
        <v>-0.11051212938005391</v>
      </c>
      <c r="H26" s="61">
        <f t="shared" si="16"/>
        <v>-5.6047197640117993E-2</v>
      </c>
      <c r="I26" s="1">
        <f t="shared" si="17"/>
        <v>7130</v>
      </c>
      <c r="J26" s="1">
        <f t="shared" si="18"/>
        <v>6718</v>
      </c>
      <c r="K26" s="1">
        <f>K25+Table2[[#This Row],[Calls Off]]</f>
        <v>7130</v>
      </c>
      <c r="L26" s="1">
        <f>L25+Table2[[#This Row],[Calls Ans]]</f>
        <v>6718</v>
      </c>
      <c r="M26" s="33">
        <v>0.9</v>
      </c>
      <c r="N26" s="33">
        <v>0.03</v>
      </c>
      <c r="O26" s="33">
        <v>0.97</v>
      </c>
      <c r="P26" s="33">
        <v>0.56999999999999995</v>
      </c>
      <c r="Q26" s="33">
        <v>1</v>
      </c>
      <c r="R26" s="28">
        <v>191</v>
      </c>
      <c r="S26" s="28">
        <v>0</v>
      </c>
      <c r="T26" s="371">
        <v>4</v>
      </c>
      <c r="U26" s="370" t="str">
        <f t="shared" si="2"/>
        <v>Outlier</v>
      </c>
      <c r="V26" s="370" t="str">
        <f t="shared" si="3"/>
        <v>Normal</v>
      </c>
      <c r="W26" s="407">
        <f t="shared" si="0"/>
        <v>-0.11051212938005391</v>
      </c>
      <c r="X26" s="407">
        <f t="shared" si="1"/>
        <v>-5.6047197640117993E-2</v>
      </c>
      <c r="AO26" s="411">
        <v>18</v>
      </c>
      <c r="AP26" s="412">
        <v>1913</v>
      </c>
      <c r="AQ26" s="412">
        <v>1700</v>
      </c>
      <c r="AR26" s="413">
        <v>0.65714285714285725</v>
      </c>
      <c r="AS26" s="413">
        <v>0.62571428571428567</v>
      </c>
    </row>
    <row r="27" spans="1:45">
      <c r="A27" s="21">
        <v>45408</v>
      </c>
      <c r="B27" s="16">
        <f>IF(YEAR(Table6[[#This Row],[Date]]) = 2024, WEEKNUM(Table6[[#This Row],[Date]])-13, WEEKNUM(Table6[[#This Row],[Date]])+40)</f>
        <v>4</v>
      </c>
      <c r="C27" s="9" t="s">
        <v>52</v>
      </c>
      <c r="D27" s="301" t="s">
        <v>48</v>
      </c>
      <c r="E27" s="1">
        <v>387</v>
      </c>
      <c r="F27" s="1">
        <v>374</v>
      </c>
      <c r="G27" s="61">
        <f t="shared" si="15"/>
        <v>0.10571428571428572</v>
      </c>
      <c r="H27" s="61">
        <f t="shared" si="16"/>
        <v>0.1</v>
      </c>
      <c r="I27" s="1">
        <f t="shared" si="17"/>
        <v>7517</v>
      </c>
      <c r="J27" s="1">
        <f t="shared" si="18"/>
        <v>7092</v>
      </c>
      <c r="K27" s="1">
        <f>K26+Table2[[#This Row],[Calls Off]]</f>
        <v>7517</v>
      </c>
      <c r="L27" s="1">
        <f>L26+Table2[[#This Row],[Calls Ans]]</f>
        <v>7092</v>
      </c>
      <c r="M27" s="17">
        <v>0.89</v>
      </c>
      <c r="N27" s="17">
        <v>0.03</v>
      </c>
      <c r="O27" s="17">
        <v>0.97</v>
      </c>
      <c r="P27" s="17">
        <v>0.65</v>
      </c>
      <c r="Q27" s="17">
        <v>1</v>
      </c>
      <c r="R27" s="1">
        <v>183</v>
      </c>
      <c r="S27" s="1">
        <v>0</v>
      </c>
      <c r="T27" s="371">
        <v>4</v>
      </c>
      <c r="U27" s="370" t="str">
        <f t="shared" si="2"/>
        <v>Outlier</v>
      </c>
      <c r="V27" s="370" t="str">
        <f t="shared" si="3"/>
        <v>Normal</v>
      </c>
      <c r="W27" s="407">
        <f t="shared" si="0"/>
        <v>0.10571428571428572</v>
      </c>
      <c r="X27" s="407">
        <f t="shared" si="1"/>
        <v>0.1</v>
      </c>
      <c r="AO27" s="411">
        <v>19</v>
      </c>
      <c r="AP27" s="412">
        <v>1621</v>
      </c>
      <c r="AQ27" s="412">
        <v>1446</v>
      </c>
      <c r="AR27" s="413">
        <v>0.65428571428571414</v>
      </c>
      <c r="AS27" s="413">
        <v>0.5485714285714286</v>
      </c>
    </row>
    <row r="28" spans="1:45">
      <c r="A28" s="21">
        <v>45409</v>
      </c>
      <c r="B28" s="16">
        <f>IF(YEAR(Table6[[#This Row],[Date]]) = 2024, WEEKNUM(Table6[[#This Row],[Date]])-13, WEEKNUM(Table6[[#This Row],[Date]])+40)</f>
        <v>4</v>
      </c>
      <c r="C28" s="32" t="s">
        <v>53</v>
      </c>
      <c r="D28" s="301" t="s">
        <v>48</v>
      </c>
      <c r="E28" s="28">
        <v>141</v>
      </c>
      <c r="F28" s="28">
        <v>133</v>
      </c>
      <c r="G28" s="61">
        <f t="shared" si="15"/>
        <v>0.21551724137931033</v>
      </c>
      <c r="H28" s="61">
        <f t="shared" si="16"/>
        <v>0.16666666666666666</v>
      </c>
      <c r="I28" s="1">
        <f t="shared" si="17"/>
        <v>7658</v>
      </c>
      <c r="J28" s="1">
        <f t="shared" si="18"/>
        <v>7225</v>
      </c>
      <c r="K28" s="1">
        <f>K27+Table2[[#This Row],[Calls Off]]</f>
        <v>7658</v>
      </c>
      <c r="L28" s="1">
        <f>L27+Table2[[#This Row],[Calls Ans]]</f>
        <v>7225</v>
      </c>
      <c r="M28" s="33">
        <v>0.89</v>
      </c>
      <c r="N28" s="33">
        <v>0.06</v>
      </c>
      <c r="O28" s="33">
        <v>0.94</v>
      </c>
      <c r="P28" s="33">
        <v>0.42</v>
      </c>
      <c r="Q28" s="33">
        <v>1</v>
      </c>
      <c r="R28" s="28">
        <v>205</v>
      </c>
      <c r="S28" s="28">
        <v>0</v>
      </c>
      <c r="T28" s="371">
        <v>4</v>
      </c>
      <c r="U28" s="370" t="str">
        <f t="shared" si="2"/>
        <v>Outlier</v>
      </c>
      <c r="V28" s="370" t="str">
        <f t="shared" si="3"/>
        <v>Normal</v>
      </c>
      <c r="W28" s="407">
        <f t="shared" si="0"/>
        <v>0.21551724137931033</v>
      </c>
      <c r="X28" s="407">
        <f t="shared" si="1"/>
        <v>0.16666666666666666</v>
      </c>
      <c r="AO28" s="411" t="s">
        <v>174</v>
      </c>
      <c r="AP28" s="412">
        <v>34041</v>
      </c>
      <c r="AQ28" s="412">
        <v>31263</v>
      </c>
      <c r="AR28" s="413">
        <v>0.69946969696969685</v>
      </c>
      <c r="AS28" s="413">
        <v>0.48613636363636364</v>
      </c>
    </row>
    <row r="29" spans="1:45">
      <c r="A29" s="21">
        <v>45410</v>
      </c>
      <c r="B29" s="16">
        <f>IF(YEAR(Table6[[#This Row],[Date]]) = 2024, WEEKNUM(Table6[[#This Row],[Date]])-13, WEEKNUM(Table6[[#This Row],[Date]])+40)</f>
        <v>5</v>
      </c>
      <c r="C29" s="9" t="s">
        <v>54</v>
      </c>
      <c r="D29" s="301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v>0</v>
      </c>
      <c r="L29" s="1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">
        <v>0</v>
      </c>
      <c r="S29" s="1">
        <v>0</v>
      </c>
      <c r="T29" s="371">
        <v>0</v>
      </c>
      <c r="U29" s="370" t="str">
        <f t="shared" si="2"/>
        <v>Normal</v>
      </c>
      <c r="V29" s="370" t="str">
        <f t="shared" si="3"/>
        <v>Normal</v>
      </c>
      <c r="W29" s="407">
        <f t="shared" si="0"/>
        <v>0</v>
      </c>
      <c r="X29" s="407">
        <f t="shared" si="1"/>
        <v>0</v>
      </c>
    </row>
    <row r="30" spans="1:45">
      <c r="A30" s="21">
        <v>45411</v>
      </c>
      <c r="B30" s="16">
        <f>IF(YEAR(Table6[[#This Row],[Date]]) = 2024, WEEKNUM(Table6[[#This Row],[Date]])-13, WEEKNUM(Table6[[#This Row],[Date]])+40)</f>
        <v>5</v>
      </c>
      <c r="C30" s="32" t="s">
        <v>55</v>
      </c>
      <c r="D30" s="301" t="s">
        <v>48</v>
      </c>
      <c r="E30" s="28">
        <v>497</v>
      </c>
      <c r="F30" s="28">
        <v>458</v>
      </c>
      <c r="G30" s="61">
        <f>(E30-E23)/E23</f>
        <v>0.20338983050847459</v>
      </c>
      <c r="H30" s="61">
        <f>(F30-F23)/F23</f>
        <v>0.1683673469387755</v>
      </c>
      <c r="I30" s="1">
        <f>I28+Table2[[#This Row],[Calls Off]]</f>
        <v>8155</v>
      </c>
      <c r="J30" s="1">
        <f>J28+Table2[[#This Row],[Calls Ans]]</f>
        <v>7683</v>
      </c>
      <c r="K30" s="1">
        <f>K28+Table2[[#This Row],[Calls Off]]</f>
        <v>8155</v>
      </c>
      <c r="L30" s="1">
        <f>L28+Table2[[#This Row],[Calls Ans]]</f>
        <v>7683</v>
      </c>
      <c r="M30" s="33">
        <v>0.8</v>
      </c>
      <c r="N30" s="33">
        <v>0.08</v>
      </c>
      <c r="O30" s="33">
        <v>0.92</v>
      </c>
      <c r="P30" s="33">
        <v>0.83</v>
      </c>
      <c r="Q30" s="33">
        <v>1</v>
      </c>
      <c r="R30" s="28">
        <v>194</v>
      </c>
      <c r="S30" s="28">
        <v>0</v>
      </c>
      <c r="T30" s="371">
        <v>4</v>
      </c>
      <c r="U30" s="370" t="str">
        <f t="shared" si="2"/>
        <v>Outlier</v>
      </c>
      <c r="V30" s="370" t="str">
        <f t="shared" si="3"/>
        <v>Normal</v>
      </c>
      <c r="W30" s="407">
        <f t="shared" si="0"/>
        <v>0.20338983050847459</v>
      </c>
      <c r="X30" s="407">
        <f t="shared" si="1"/>
        <v>0.1683673469387755</v>
      </c>
    </row>
    <row r="31" spans="1:45">
      <c r="A31" s="21">
        <v>45412</v>
      </c>
      <c r="B31" s="16">
        <f>IF(YEAR(Table6[[#This Row],[Date]]) = 2024, WEEKNUM(Table6[[#This Row],[Date]])-13, WEEKNUM(Table6[[#This Row],[Date]])+40)</f>
        <v>5</v>
      </c>
      <c r="C31" s="9" t="s">
        <v>49</v>
      </c>
      <c r="D31" s="301" t="s">
        <v>48</v>
      </c>
      <c r="E31" s="1">
        <v>411</v>
      </c>
      <c r="F31" s="1">
        <v>398</v>
      </c>
      <c r="G31" s="61">
        <f t="shared" ref="G31:G35" si="19">(E31-E24)/E24</f>
        <v>0.2884012539184953</v>
      </c>
      <c r="H31" s="61">
        <f t="shared" ref="H31:H35" si="20">(F31-F24)/F24</f>
        <v>0.30491803278688523</v>
      </c>
      <c r="I31" s="1">
        <f>I30+E31</f>
        <v>8566</v>
      </c>
      <c r="J31" s="1">
        <f>J30+F31</f>
        <v>8081</v>
      </c>
      <c r="K31" s="1">
        <f>K30+Table2[[#This Row],[Calls Off]]</f>
        <v>8566</v>
      </c>
      <c r="L31" s="1">
        <f>L30+Table2[[#This Row],[Calls Ans]]</f>
        <v>8081</v>
      </c>
      <c r="M31" s="17">
        <v>0.88</v>
      </c>
      <c r="N31" s="17">
        <v>0.03</v>
      </c>
      <c r="O31" s="17">
        <v>0.97</v>
      </c>
      <c r="P31" s="17">
        <v>0.56999999999999995</v>
      </c>
      <c r="Q31" s="17">
        <v>1</v>
      </c>
      <c r="R31" s="1">
        <v>169</v>
      </c>
      <c r="S31" s="1">
        <v>0</v>
      </c>
      <c r="T31" s="371">
        <v>4</v>
      </c>
      <c r="U31" s="370" t="str">
        <f t="shared" si="2"/>
        <v>Outlier</v>
      </c>
      <c r="V31" s="370" t="str">
        <f t="shared" si="3"/>
        <v>Normal</v>
      </c>
      <c r="W31" s="407">
        <f t="shared" si="0"/>
        <v>0.2884012539184953</v>
      </c>
      <c r="X31" s="407">
        <f t="shared" si="1"/>
        <v>0.30491803278688523</v>
      </c>
    </row>
    <row r="32" spans="1:45">
      <c r="A32" s="21">
        <v>45413</v>
      </c>
      <c r="B32" s="16">
        <f>IF(YEAR(Table6[[#This Row],[Date]]) = 2024, WEEKNUM(Table6[[#This Row],[Date]])-13, WEEKNUM(Table6[[#This Row],[Date]])+40)</f>
        <v>5</v>
      </c>
      <c r="C32" s="32" t="s">
        <v>50</v>
      </c>
      <c r="D32" s="301" t="s">
        <v>48</v>
      </c>
      <c r="E32" s="28">
        <v>191</v>
      </c>
      <c r="F32" s="28">
        <v>187</v>
      </c>
      <c r="G32" s="60">
        <f t="shared" si="19"/>
        <v>-0.35472972972972971</v>
      </c>
      <c r="H32" s="60">
        <f t="shared" si="20"/>
        <v>-0.35294117647058826</v>
      </c>
      <c r="I32" s="28">
        <f t="shared" ref="I32:I35" si="21">I31+E32</f>
        <v>8757</v>
      </c>
      <c r="J32" s="28">
        <f t="shared" ref="J32:J35" si="22">J31+F32</f>
        <v>8268</v>
      </c>
      <c r="K32" s="28">
        <f>K31+Table2[[#This Row],[Calls Off]]</f>
        <v>8757</v>
      </c>
      <c r="L32" s="28">
        <f>L31+Table2[[#This Row],[Calls Ans]]</f>
        <v>8268</v>
      </c>
      <c r="M32" s="33">
        <v>0.93</v>
      </c>
      <c r="N32" s="33">
        <v>0.02</v>
      </c>
      <c r="O32" s="33">
        <v>0.98</v>
      </c>
      <c r="P32" s="33">
        <v>0.23</v>
      </c>
      <c r="Q32" s="33">
        <v>1</v>
      </c>
      <c r="R32" s="28">
        <v>138</v>
      </c>
      <c r="S32" s="28">
        <v>0</v>
      </c>
      <c r="T32" s="371">
        <v>4</v>
      </c>
      <c r="U32" s="370" t="str">
        <f t="shared" si="2"/>
        <v>Outlier</v>
      </c>
      <c r="V32" s="370" t="str">
        <f t="shared" si="3"/>
        <v>Normal</v>
      </c>
      <c r="W32" s="407">
        <f t="shared" si="0"/>
        <v>-0.35472972972972971</v>
      </c>
      <c r="X32" s="407">
        <f t="shared" si="1"/>
        <v>-0.35294117647058826</v>
      </c>
    </row>
    <row r="33" spans="1:25">
      <c r="A33" s="21">
        <v>45414</v>
      </c>
      <c r="B33" s="16">
        <f>IF(YEAR(Table6[[#This Row],[Date]]) = 2024, WEEKNUM(Table6[[#This Row],[Date]])-13, WEEKNUM(Table6[[#This Row],[Date]])+40)</f>
        <v>5</v>
      </c>
      <c r="C33" s="9" t="s">
        <v>51</v>
      </c>
      <c r="D33" s="301" t="s">
        <v>48</v>
      </c>
      <c r="E33" s="1">
        <v>466</v>
      </c>
      <c r="F33" s="1">
        <v>421</v>
      </c>
      <c r="G33" s="61">
        <f t="shared" si="19"/>
        <v>0.41212121212121211</v>
      </c>
      <c r="H33" s="61">
        <f t="shared" si="20"/>
        <v>0.31562499999999999</v>
      </c>
      <c r="I33" s="1">
        <f t="shared" si="21"/>
        <v>9223</v>
      </c>
      <c r="J33" s="1">
        <f t="shared" si="22"/>
        <v>8689</v>
      </c>
      <c r="K33" s="1">
        <f>K32+Table2[[#This Row],[Calls Off]]</f>
        <v>9223</v>
      </c>
      <c r="L33" s="1">
        <f>L32+Table2[[#This Row],[Calls Ans]]</f>
        <v>8689</v>
      </c>
      <c r="M33" s="17">
        <v>0.71</v>
      </c>
      <c r="N33" s="17">
        <v>0.1</v>
      </c>
      <c r="O33" s="17">
        <v>0.9</v>
      </c>
      <c r="P33" s="17">
        <v>0.78</v>
      </c>
      <c r="Q33" s="17">
        <v>1</v>
      </c>
      <c r="R33" s="1">
        <v>202</v>
      </c>
      <c r="S33" s="1">
        <v>0</v>
      </c>
      <c r="T33" s="371">
        <v>4</v>
      </c>
      <c r="U33" s="370" t="str">
        <f t="shared" si="2"/>
        <v>Outlier</v>
      </c>
      <c r="V33" s="370" t="str">
        <f t="shared" si="3"/>
        <v>Outlier</v>
      </c>
      <c r="W33" s="407">
        <f t="shared" si="0"/>
        <v>0.41212121212121211</v>
      </c>
      <c r="X33" s="407">
        <f t="shared" si="1"/>
        <v>0.31562499999999999</v>
      </c>
    </row>
    <row r="34" spans="1:25">
      <c r="A34" s="21">
        <v>45415</v>
      </c>
      <c r="B34" s="16">
        <f>IF(YEAR(Table6[[#This Row],[Date]]) = 2024, WEEKNUM(Table6[[#This Row],[Date]])-13, WEEKNUM(Table6[[#This Row],[Date]])+40)</f>
        <v>5</v>
      </c>
      <c r="C34" s="32" t="s">
        <v>52</v>
      </c>
      <c r="D34" s="301" t="s">
        <v>48</v>
      </c>
      <c r="E34" s="28">
        <v>393</v>
      </c>
      <c r="F34" s="28">
        <v>365</v>
      </c>
      <c r="G34" s="61">
        <f t="shared" si="19"/>
        <v>1.5503875968992248E-2</v>
      </c>
      <c r="H34" s="61">
        <f t="shared" si="20"/>
        <v>-2.4064171122994651E-2</v>
      </c>
      <c r="I34" s="1">
        <f t="shared" si="21"/>
        <v>9616</v>
      </c>
      <c r="J34" s="1">
        <f t="shared" si="22"/>
        <v>9054</v>
      </c>
      <c r="K34" s="1">
        <f>K33+Table2[[#This Row],[Calls Off]]</f>
        <v>9616</v>
      </c>
      <c r="L34" s="1">
        <f>L33+Table2[[#This Row],[Calls Ans]]</f>
        <v>9054</v>
      </c>
      <c r="M34" s="33">
        <v>0.84</v>
      </c>
      <c r="N34" s="33">
        <v>7.0000000000000007E-2</v>
      </c>
      <c r="O34" s="33">
        <v>0.93</v>
      </c>
      <c r="P34" s="33">
        <v>0.64</v>
      </c>
      <c r="Q34" s="33">
        <v>1</v>
      </c>
      <c r="R34" s="28">
        <v>183</v>
      </c>
      <c r="S34" s="28">
        <v>0</v>
      </c>
      <c r="T34" s="371">
        <v>4</v>
      </c>
      <c r="U34" s="370" t="str">
        <f t="shared" si="2"/>
        <v>Outlier</v>
      </c>
      <c r="V34" s="370" t="str">
        <f t="shared" si="3"/>
        <v>Normal</v>
      </c>
      <c r="W34" s="407">
        <f t="shared" si="0"/>
        <v>1.5503875968992248E-2</v>
      </c>
      <c r="X34" s="407">
        <f t="shared" si="1"/>
        <v>-2.4064171122994651E-2</v>
      </c>
    </row>
    <row r="35" spans="1:25">
      <c r="A35" s="21">
        <v>45416</v>
      </c>
      <c r="B35" s="16">
        <f>IF(YEAR(Table6[[#This Row],[Date]]) = 2024, WEEKNUM(Table6[[#This Row],[Date]])-13, WEEKNUM(Table6[[#This Row],[Date]])+40)</f>
        <v>5</v>
      </c>
      <c r="C35" s="9" t="s">
        <v>53</v>
      </c>
      <c r="D35" s="301" t="s">
        <v>48</v>
      </c>
      <c r="E35" s="1">
        <v>123</v>
      </c>
      <c r="F35" s="1">
        <v>121</v>
      </c>
      <c r="G35" s="61">
        <f t="shared" si="19"/>
        <v>-0.1276595744680851</v>
      </c>
      <c r="H35" s="61">
        <f t="shared" si="20"/>
        <v>-9.0225563909774431E-2</v>
      </c>
      <c r="I35" s="1">
        <f t="shared" si="21"/>
        <v>9739</v>
      </c>
      <c r="J35" s="1">
        <f t="shared" si="22"/>
        <v>9175</v>
      </c>
      <c r="K35" s="1">
        <f>K34+Table2[[#This Row],[Calls Off]]</f>
        <v>9739</v>
      </c>
      <c r="L35" s="1">
        <f>L34+Table2[[#This Row],[Calls Ans]]</f>
        <v>9175</v>
      </c>
      <c r="M35" s="17">
        <v>0.95</v>
      </c>
      <c r="N35" s="17">
        <v>0.02</v>
      </c>
      <c r="O35" s="17">
        <v>0.98</v>
      </c>
      <c r="P35" s="17">
        <v>0.38</v>
      </c>
      <c r="Q35" s="17">
        <v>1</v>
      </c>
      <c r="R35" s="1">
        <v>204</v>
      </c>
      <c r="S35" s="1">
        <v>0</v>
      </c>
      <c r="T35" s="371">
        <v>4</v>
      </c>
      <c r="U35" s="370" t="str">
        <f t="shared" si="2"/>
        <v>Outlier</v>
      </c>
      <c r="V35" s="370" t="str">
        <f t="shared" si="3"/>
        <v>Normal</v>
      </c>
      <c r="W35" s="407">
        <f t="shared" si="0"/>
        <v>-0.1276595744680851</v>
      </c>
      <c r="X35" s="407">
        <f t="shared" si="1"/>
        <v>-9.0225563909774431E-2</v>
      </c>
    </row>
    <row r="36" spans="1:25">
      <c r="A36" s="21">
        <v>45417</v>
      </c>
      <c r="B36" s="16">
        <f>IF(YEAR(Table6[[#This Row],[Date]]) = 2024, WEEKNUM(Table6[[#This Row],[Date]])-13, WEEKNUM(Table6[[#This Row],[Date]])+40)</f>
        <v>6</v>
      </c>
      <c r="C36" s="32" t="s">
        <v>54</v>
      </c>
      <c r="D36" s="301" t="s">
        <v>48</v>
      </c>
      <c r="E36" s="28">
        <v>0</v>
      </c>
      <c r="F36" s="28">
        <v>0</v>
      </c>
      <c r="G36" s="61">
        <v>0</v>
      </c>
      <c r="H36" s="61">
        <v>0</v>
      </c>
      <c r="I36" s="1">
        <v>0</v>
      </c>
      <c r="J36" s="1">
        <v>0</v>
      </c>
      <c r="K36" s="1">
        <v>0</v>
      </c>
      <c r="L36" s="1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28">
        <v>0</v>
      </c>
      <c r="S36" s="28">
        <v>0</v>
      </c>
      <c r="T36" s="371">
        <v>0</v>
      </c>
      <c r="U36" s="370" t="str">
        <f t="shared" si="2"/>
        <v>Normal</v>
      </c>
      <c r="V36" s="370" t="str">
        <f t="shared" si="3"/>
        <v>Normal</v>
      </c>
      <c r="W36" s="407">
        <f t="shared" si="0"/>
        <v>0</v>
      </c>
      <c r="X36" s="407">
        <f t="shared" si="1"/>
        <v>0</v>
      </c>
    </row>
    <row r="37" spans="1:25">
      <c r="A37" s="21">
        <v>45418</v>
      </c>
      <c r="B37" s="16">
        <f>IF(YEAR(Table6[[#This Row],[Date]]) = 2024, WEEKNUM(Table6[[#This Row],[Date]])-13, WEEKNUM(Table6[[#This Row],[Date]])+40)</f>
        <v>6</v>
      </c>
      <c r="C37" s="9" t="s">
        <v>55</v>
      </c>
      <c r="D37" s="301" t="s">
        <v>48</v>
      </c>
      <c r="E37" s="1">
        <v>231</v>
      </c>
      <c r="F37" s="1">
        <v>214</v>
      </c>
      <c r="G37" s="61">
        <f>(E37-E30)/E30</f>
        <v>-0.53521126760563376</v>
      </c>
      <c r="H37" s="61">
        <f>(F37-F30)/F30</f>
        <v>-0.53275109170305679</v>
      </c>
      <c r="I37" s="1">
        <f>I35+Table2[[#This Row],[Calls Off]]</f>
        <v>9970</v>
      </c>
      <c r="J37" s="1">
        <f>J35+Table2[[#This Row],[Calls Ans]]</f>
        <v>9389</v>
      </c>
      <c r="K37" s="1">
        <f>K35+Table2[[#This Row],[Calls Off]]</f>
        <v>9970</v>
      </c>
      <c r="L37" s="1">
        <f>L35+Table2[[#This Row],[Calls Ans]]</f>
        <v>9389</v>
      </c>
      <c r="M37" s="17">
        <v>0.8</v>
      </c>
      <c r="N37" s="17">
        <v>7.0000000000000007E-2</v>
      </c>
      <c r="O37" s="17">
        <v>0.93</v>
      </c>
      <c r="P37" s="17">
        <v>0.72</v>
      </c>
      <c r="Q37" s="17">
        <v>1</v>
      </c>
      <c r="R37" s="1">
        <v>225</v>
      </c>
      <c r="S37" s="1">
        <v>0</v>
      </c>
      <c r="T37" s="371">
        <v>4</v>
      </c>
      <c r="U37" s="370" t="str">
        <f t="shared" si="2"/>
        <v>Outlier</v>
      </c>
      <c r="V37" s="370" t="str">
        <f t="shared" si="3"/>
        <v>Outlier</v>
      </c>
      <c r="W37" s="407">
        <f t="shared" si="0"/>
        <v>-0.53521126760563376</v>
      </c>
      <c r="X37" s="407">
        <f t="shared" si="1"/>
        <v>-0.53275109170305679</v>
      </c>
    </row>
    <row r="38" spans="1:25">
      <c r="A38" s="21">
        <v>45419</v>
      </c>
      <c r="B38" s="16">
        <f>IF(YEAR(Table6[[#This Row],[Date]]) = 2024, WEEKNUM(Table6[[#This Row],[Date]])-13, WEEKNUM(Table6[[#This Row],[Date]])+40)</f>
        <v>6</v>
      </c>
      <c r="C38" s="32" t="s">
        <v>49</v>
      </c>
      <c r="D38" s="301" t="s">
        <v>48</v>
      </c>
      <c r="E38" s="28">
        <v>488</v>
      </c>
      <c r="F38" s="28">
        <v>386</v>
      </c>
      <c r="G38" s="60">
        <f t="shared" ref="G38:G42" si="23">(E38-E31)/E31</f>
        <v>0.18734793187347931</v>
      </c>
      <c r="H38" s="60">
        <f t="shared" ref="H38:H42" si="24">(F38-F31)/F31</f>
        <v>-3.015075376884422E-2</v>
      </c>
      <c r="I38" s="28">
        <f>I37+E38</f>
        <v>10458</v>
      </c>
      <c r="J38" s="28">
        <f>J37+F38</f>
        <v>9775</v>
      </c>
      <c r="K38" s="28">
        <f>K37+Table2[[#This Row],[Calls Off]]</f>
        <v>10458</v>
      </c>
      <c r="L38" s="28">
        <f>L37+Table2[[#This Row],[Calls Ans]]</f>
        <v>9775</v>
      </c>
      <c r="M38" s="33">
        <v>0.61</v>
      </c>
      <c r="N38" s="33">
        <v>0.21</v>
      </c>
      <c r="O38" s="33">
        <v>0.79</v>
      </c>
      <c r="P38" s="33">
        <v>0.72</v>
      </c>
      <c r="Q38" s="33">
        <v>1</v>
      </c>
      <c r="R38" s="28">
        <v>203</v>
      </c>
      <c r="S38" s="28">
        <v>0</v>
      </c>
      <c r="T38" s="371">
        <v>3</v>
      </c>
      <c r="U38" s="370" t="str">
        <f t="shared" si="2"/>
        <v>Outlier</v>
      </c>
      <c r="V38" s="370" t="str">
        <f t="shared" si="3"/>
        <v>Normal</v>
      </c>
      <c r="W38" s="407">
        <f t="shared" si="0"/>
        <v>0.18734793187347931</v>
      </c>
      <c r="X38" s="407">
        <f t="shared" si="1"/>
        <v>-3.015075376884422E-2</v>
      </c>
    </row>
    <row r="39" spans="1:25">
      <c r="A39" s="21">
        <v>45420</v>
      </c>
      <c r="B39" s="16">
        <f>IF(YEAR(Table6[[#This Row],[Date]]) = 2024, WEEKNUM(Table6[[#This Row],[Date]])-13, WEEKNUM(Table6[[#This Row],[Date]])+40)</f>
        <v>6</v>
      </c>
      <c r="C39" s="9" t="s">
        <v>50</v>
      </c>
      <c r="D39" s="301" t="s">
        <v>48</v>
      </c>
      <c r="E39" s="1">
        <v>399</v>
      </c>
      <c r="F39" s="1">
        <v>354</v>
      </c>
      <c r="G39" s="61">
        <f t="shared" si="23"/>
        <v>1.0890052356020943</v>
      </c>
      <c r="H39" s="61">
        <f t="shared" si="24"/>
        <v>0.89304812834224601</v>
      </c>
      <c r="I39" s="1">
        <f t="shared" ref="I39:I42" si="25">I38+E39</f>
        <v>10857</v>
      </c>
      <c r="J39" s="1">
        <f t="shared" ref="J39:J42" si="26">J38+F39</f>
        <v>10129</v>
      </c>
      <c r="K39" s="1">
        <f>K38+Table2[[#This Row],[Calls Off]]</f>
        <v>10857</v>
      </c>
      <c r="L39" s="1">
        <f>L38+Table2[[#This Row],[Calls Ans]]</f>
        <v>10129</v>
      </c>
      <c r="M39" s="17">
        <v>0.69</v>
      </c>
      <c r="N39" s="17">
        <v>0.11</v>
      </c>
      <c r="O39" s="17">
        <v>0.89</v>
      </c>
      <c r="P39" s="17">
        <v>0.66</v>
      </c>
      <c r="Q39" s="17">
        <v>1</v>
      </c>
      <c r="R39" s="1">
        <v>206</v>
      </c>
      <c r="S39" s="1">
        <v>0</v>
      </c>
      <c r="T39" s="371">
        <v>4</v>
      </c>
      <c r="U39" s="370" t="str">
        <f t="shared" si="2"/>
        <v>Outlier</v>
      </c>
      <c r="V39" s="370" t="str">
        <f t="shared" si="3"/>
        <v>Outlier</v>
      </c>
      <c r="W39" s="407">
        <f t="shared" si="0"/>
        <v>1.0890052356020943</v>
      </c>
      <c r="X39" s="407">
        <f t="shared" si="1"/>
        <v>0.89304812834224601</v>
      </c>
    </row>
    <row r="40" spans="1:25">
      <c r="A40" s="21">
        <v>45421</v>
      </c>
      <c r="B40" s="16">
        <f>IF(YEAR(Table6[[#This Row],[Date]]) = 2024, WEEKNUM(Table6[[#This Row],[Date]])-13, WEEKNUM(Table6[[#This Row],[Date]])+40)</f>
        <v>6</v>
      </c>
      <c r="C40" s="32" t="s">
        <v>51</v>
      </c>
      <c r="D40" s="301" t="s">
        <v>48</v>
      </c>
      <c r="E40" s="28">
        <v>375</v>
      </c>
      <c r="F40" s="28">
        <v>293</v>
      </c>
      <c r="G40" s="61">
        <f t="shared" si="23"/>
        <v>-0.19527896995708155</v>
      </c>
      <c r="H40" s="61">
        <f t="shared" si="24"/>
        <v>-0.30403800475059384</v>
      </c>
      <c r="I40" s="1">
        <f t="shared" si="25"/>
        <v>11232</v>
      </c>
      <c r="J40" s="1">
        <f t="shared" si="26"/>
        <v>10422</v>
      </c>
      <c r="K40" s="1">
        <f>K39+Table2[[#This Row],[Calls Off]]</f>
        <v>11232</v>
      </c>
      <c r="L40" s="1">
        <f>L39+Table2[[#This Row],[Calls Ans]]</f>
        <v>10422</v>
      </c>
      <c r="M40" s="33">
        <v>0.68</v>
      </c>
      <c r="N40" s="33">
        <v>0.22</v>
      </c>
      <c r="O40" s="33">
        <v>0.78</v>
      </c>
      <c r="P40" s="33">
        <v>0.52</v>
      </c>
      <c r="Q40" s="33">
        <v>1</v>
      </c>
      <c r="R40" s="28">
        <v>187</v>
      </c>
      <c r="S40" s="28">
        <v>0</v>
      </c>
      <c r="T40" s="371">
        <v>4</v>
      </c>
      <c r="U40" s="370" t="str">
        <f t="shared" si="2"/>
        <v>Outlier</v>
      </c>
      <c r="V40" s="370" t="str">
        <f t="shared" si="3"/>
        <v>Normal</v>
      </c>
      <c r="W40" s="407">
        <f t="shared" si="0"/>
        <v>-0.19527896995708155</v>
      </c>
      <c r="X40" s="407">
        <f t="shared" si="1"/>
        <v>-0.30403800475059384</v>
      </c>
      <c r="Y40" t="s">
        <v>123</v>
      </c>
    </row>
    <row r="41" spans="1:25">
      <c r="A41" s="21">
        <v>45422</v>
      </c>
      <c r="B41" s="16">
        <f>IF(YEAR(Table6[[#This Row],[Date]]) = 2024, WEEKNUM(Table6[[#This Row],[Date]])-13, WEEKNUM(Table6[[#This Row],[Date]])+40)</f>
        <v>6</v>
      </c>
      <c r="C41" s="9" t="s">
        <v>52</v>
      </c>
      <c r="D41" s="301" t="s">
        <v>48</v>
      </c>
      <c r="E41" s="1">
        <v>335</v>
      </c>
      <c r="F41" s="1">
        <v>298</v>
      </c>
      <c r="G41" s="61">
        <f t="shared" si="23"/>
        <v>-0.1475826972010178</v>
      </c>
      <c r="H41" s="61">
        <f t="shared" si="24"/>
        <v>-0.18356164383561643</v>
      </c>
      <c r="I41" s="1">
        <f t="shared" si="25"/>
        <v>11567</v>
      </c>
      <c r="J41" s="1">
        <f t="shared" si="26"/>
        <v>10720</v>
      </c>
      <c r="K41" s="1">
        <f>K40+Table2[[#This Row],[Calls Off]]</f>
        <v>11567</v>
      </c>
      <c r="L41" s="1">
        <f>L40+Table2[[#This Row],[Calls Ans]]</f>
        <v>10720</v>
      </c>
      <c r="M41" s="17">
        <v>0.81</v>
      </c>
      <c r="N41" s="17">
        <v>0.11</v>
      </c>
      <c r="O41" s="17">
        <v>0.89</v>
      </c>
      <c r="P41" s="17">
        <v>0.53</v>
      </c>
      <c r="Q41" s="17">
        <v>1</v>
      </c>
      <c r="R41" s="1">
        <v>190</v>
      </c>
      <c r="S41" s="1">
        <v>0</v>
      </c>
      <c r="T41" s="371">
        <v>4</v>
      </c>
      <c r="U41" s="370" t="str">
        <f t="shared" si="2"/>
        <v>Outlier</v>
      </c>
      <c r="V41" s="370" t="str">
        <f t="shared" si="3"/>
        <v>Normal</v>
      </c>
      <c r="W41" s="407">
        <f t="shared" si="0"/>
        <v>-0.1475826972010178</v>
      </c>
      <c r="X41" s="407">
        <f t="shared" si="1"/>
        <v>-0.18356164383561643</v>
      </c>
    </row>
    <row r="42" spans="1:25">
      <c r="A42" s="21">
        <v>45423</v>
      </c>
      <c r="B42" s="16">
        <f>IF(YEAR(Table6[[#This Row],[Date]]) = 2024, WEEKNUM(Table6[[#This Row],[Date]])-13, WEEKNUM(Table6[[#This Row],[Date]])+40)</f>
        <v>6</v>
      </c>
      <c r="C42" s="32" t="s">
        <v>53</v>
      </c>
      <c r="D42" s="301" t="s">
        <v>48</v>
      </c>
      <c r="E42" s="28">
        <v>148</v>
      </c>
      <c r="F42" s="28">
        <v>145</v>
      </c>
      <c r="G42" s="61">
        <f t="shared" si="23"/>
        <v>0.2032520325203252</v>
      </c>
      <c r="H42" s="61">
        <f t="shared" si="24"/>
        <v>0.19834710743801653</v>
      </c>
      <c r="I42" s="1">
        <f t="shared" si="25"/>
        <v>11715</v>
      </c>
      <c r="J42" s="1">
        <f t="shared" si="26"/>
        <v>10865</v>
      </c>
      <c r="K42" s="1">
        <f>K41+Table2[[#This Row],[Calls Off]]</f>
        <v>11715</v>
      </c>
      <c r="L42" s="1">
        <f>L41+Table2[[#This Row],[Calls Ans]]</f>
        <v>10865</v>
      </c>
      <c r="M42" s="33">
        <v>0.96</v>
      </c>
      <c r="N42" s="33">
        <v>0.02</v>
      </c>
      <c r="O42" s="33">
        <v>0.98</v>
      </c>
      <c r="P42" s="33">
        <v>0.62</v>
      </c>
      <c r="Q42" s="33">
        <v>1</v>
      </c>
      <c r="R42" s="28">
        <v>190</v>
      </c>
      <c r="S42" s="28">
        <v>0</v>
      </c>
      <c r="T42" s="371">
        <v>3</v>
      </c>
      <c r="U42" s="370" t="str">
        <f t="shared" si="2"/>
        <v>Outlier</v>
      </c>
      <c r="V42" s="370" t="str">
        <f t="shared" si="3"/>
        <v>Normal</v>
      </c>
      <c r="W42" s="407">
        <f t="shared" si="0"/>
        <v>0.2032520325203252</v>
      </c>
      <c r="X42" s="407">
        <f t="shared" si="1"/>
        <v>0.19834710743801653</v>
      </c>
    </row>
    <row r="43" spans="1:25">
      <c r="A43" s="21">
        <v>45424</v>
      </c>
      <c r="B43" s="16">
        <f>IF(YEAR(Table6[[#This Row],[Date]]) = 2024, WEEKNUM(Table6[[#This Row],[Date]])-13, WEEKNUM(Table6[[#This Row],[Date]])+40)</f>
        <v>7</v>
      </c>
      <c r="C43" s="9" t="s">
        <v>54</v>
      </c>
      <c r="D43" s="301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v>0</v>
      </c>
      <c r="L43" s="1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">
        <v>0</v>
      </c>
      <c r="S43" s="1">
        <v>0</v>
      </c>
      <c r="T43" s="371">
        <v>0</v>
      </c>
      <c r="U43" s="370" t="str">
        <f t="shared" si="2"/>
        <v>Normal</v>
      </c>
      <c r="V43" s="370" t="str">
        <f t="shared" si="3"/>
        <v>Normal</v>
      </c>
      <c r="W43" s="407">
        <f t="shared" si="0"/>
        <v>0</v>
      </c>
      <c r="X43" s="407">
        <f t="shared" si="1"/>
        <v>0</v>
      </c>
    </row>
    <row r="44" spans="1:25">
      <c r="A44" s="21">
        <v>45425</v>
      </c>
      <c r="B44" s="16">
        <f>IF(YEAR(Table6[[#This Row],[Date]]) = 2024, WEEKNUM(Table6[[#This Row],[Date]])-13, WEEKNUM(Table6[[#This Row],[Date]])+40)</f>
        <v>7</v>
      </c>
      <c r="C44" s="32" t="s">
        <v>55</v>
      </c>
      <c r="D44" s="301" t="s">
        <v>48</v>
      </c>
      <c r="E44" s="28">
        <v>423</v>
      </c>
      <c r="F44" s="28">
        <v>384</v>
      </c>
      <c r="G44" s="61">
        <f>(E44-E37)/E37</f>
        <v>0.83116883116883122</v>
      </c>
      <c r="H44" s="61">
        <f>(F44-F37)/F37</f>
        <v>0.79439252336448596</v>
      </c>
      <c r="I44" s="1">
        <f>I42+Table2[[#This Row],[Calls Off]]</f>
        <v>12138</v>
      </c>
      <c r="J44" s="1">
        <f>J42+Table2[[#This Row],[Calls Ans]]</f>
        <v>11249</v>
      </c>
      <c r="K44" s="1">
        <f>K42+Table2[[#This Row],[Calls Off]]</f>
        <v>12138</v>
      </c>
      <c r="L44" s="1">
        <f>L42+Table2[[#This Row],[Calls Ans]]</f>
        <v>11249</v>
      </c>
      <c r="M44" s="33">
        <v>0.82</v>
      </c>
      <c r="N44" s="33">
        <v>0.09</v>
      </c>
      <c r="O44" s="33">
        <v>0.91</v>
      </c>
      <c r="P44" s="33">
        <v>0.7</v>
      </c>
      <c r="Q44" s="33">
        <v>1</v>
      </c>
      <c r="R44" s="28">
        <v>195</v>
      </c>
      <c r="S44" s="28">
        <v>0</v>
      </c>
      <c r="T44" s="371">
        <v>4</v>
      </c>
      <c r="U44" s="370" t="str">
        <f t="shared" si="2"/>
        <v>Outlier</v>
      </c>
      <c r="V44" s="370" t="str">
        <f t="shared" si="3"/>
        <v>Outlier</v>
      </c>
      <c r="W44" s="407">
        <f t="shared" si="0"/>
        <v>0.83116883116883122</v>
      </c>
      <c r="X44" s="407">
        <f t="shared" si="1"/>
        <v>0.79439252336448596</v>
      </c>
    </row>
    <row r="45" spans="1:25">
      <c r="A45" s="21">
        <v>45426</v>
      </c>
      <c r="B45" s="16">
        <f>IF(YEAR(Table6[[#This Row],[Date]]) = 2024, WEEKNUM(Table6[[#This Row],[Date]])-13, WEEKNUM(Table6[[#This Row],[Date]])+40)</f>
        <v>7</v>
      </c>
      <c r="C45" s="9" t="s">
        <v>49</v>
      </c>
      <c r="D45" s="301" t="s">
        <v>48</v>
      </c>
      <c r="E45" s="1">
        <v>397</v>
      </c>
      <c r="F45" s="1">
        <v>367</v>
      </c>
      <c r="G45" s="61">
        <f t="shared" ref="G45:G49" si="27">(E45-E38)/E38</f>
        <v>-0.18647540983606559</v>
      </c>
      <c r="H45" s="61">
        <f t="shared" ref="H45:H49" si="28">(F45-F38)/F38</f>
        <v>-4.9222797927461141E-2</v>
      </c>
      <c r="I45" s="1">
        <f>I44+E45</f>
        <v>12535</v>
      </c>
      <c r="J45" s="1">
        <f>J44+F45</f>
        <v>11616</v>
      </c>
      <c r="K45" s="1">
        <f>K44+Table2[[#This Row],[Calls Off]]</f>
        <v>12535</v>
      </c>
      <c r="L45" s="1">
        <f>L44+Table2[[#This Row],[Calls Ans]]</f>
        <v>11616</v>
      </c>
      <c r="M45" s="17">
        <v>0.82</v>
      </c>
      <c r="N45" s="17">
        <v>0.08</v>
      </c>
      <c r="O45" s="17">
        <v>0.92</v>
      </c>
      <c r="P45" s="17">
        <v>0.64</v>
      </c>
      <c r="Q45" s="17">
        <v>1</v>
      </c>
      <c r="R45" s="1">
        <v>185</v>
      </c>
      <c r="S45" s="1">
        <v>0</v>
      </c>
      <c r="T45" s="371">
        <v>4</v>
      </c>
      <c r="U45" s="370" t="str">
        <f t="shared" si="2"/>
        <v>Outlier</v>
      </c>
      <c r="V45" s="370" t="str">
        <f t="shared" si="3"/>
        <v>Normal</v>
      </c>
      <c r="W45" s="407">
        <f t="shared" si="0"/>
        <v>-0.18647540983606559</v>
      </c>
      <c r="X45" s="407">
        <f t="shared" si="1"/>
        <v>-4.9222797927461141E-2</v>
      </c>
    </row>
    <row r="46" spans="1:25">
      <c r="A46" s="21">
        <v>45427</v>
      </c>
      <c r="B46" s="16">
        <f>IF(YEAR(Table6[[#This Row],[Date]]) = 2024, WEEKNUM(Table6[[#This Row],[Date]])-13, WEEKNUM(Table6[[#This Row],[Date]])+40)</f>
        <v>7</v>
      </c>
      <c r="C46" s="32" t="s">
        <v>50</v>
      </c>
      <c r="D46" s="301" t="s">
        <v>48</v>
      </c>
      <c r="E46" s="28">
        <v>356</v>
      </c>
      <c r="F46" s="28">
        <v>326</v>
      </c>
      <c r="G46" s="61">
        <f t="shared" si="27"/>
        <v>-0.10776942355889724</v>
      </c>
      <c r="H46" s="61">
        <f t="shared" si="28"/>
        <v>-7.909604519774012E-2</v>
      </c>
      <c r="I46" s="1">
        <f t="shared" ref="I46:I49" si="29">I45+E46</f>
        <v>12891</v>
      </c>
      <c r="J46" s="1">
        <f t="shared" ref="J46:J49" si="30">J45+F46</f>
        <v>11942</v>
      </c>
      <c r="K46" s="1">
        <f>K45+Table2[[#This Row],[Calls Off]]</f>
        <v>12891</v>
      </c>
      <c r="L46" s="1">
        <f>L45+Table2[[#This Row],[Calls Ans]]</f>
        <v>11942</v>
      </c>
      <c r="M46" s="33">
        <v>0.85</v>
      </c>
      <c r="N46" s="33">
        <v>0.08</v>
      </c>
      <c r="O46" s="33">
        <v>0.92</v>
      </c>
      <c r="P46" s="33">
        <v>0.48</v>
      </c>
      <c r="Q46" s="33">
        <v>1</v>
      </c>
      <c r="R46" s="28">
        <v>174</v>
      </c>
      <c r="S46" s="28">
        <v>0</v>
      </c>
      <c r="T46" s="371">
        <v>4</v>
      </c>
      <c r="U46" s="370" t="str">
        <f t="shared" si="2"/>
        <v>Outlier</v>
      </c>
      <c r="V46" s="370" t="str">
        <f t="shared" si="3"/>
        <v>Normal</v>
      </c>
      <c r="W46" s="407">
        <f t="shared" si="0"/>
        <v>-0.10776942355889724</v>
      </c>
      <c r="X46" s="407">
        <f t="shared" si="1"/>
        <v>-7.909604519774012E-2</v>
      </c>
    </row>
    <row r="47" spans="1:25">
      <c r="A47" s="21">
        <v>45428</v>
      </c>
      <c r="B47" s="16">
        <f>IF(YEAR(Table6[[#This Row],[Date]]) = 2024, WEEKNUM(Table6[[#This Row],[Date]])-13, WEEKNUM(Table6[[#This Row],[Date]])+40)</f>
        <v>7</v>
      </c>
      <c r="C47" s="9" t="s">
        <v>51</v>
      </c>
      <c r="D47" s="301" t="s">
        <v>48</v>
      </c>
      <c r="E47" s="1">
        <v>409</v>
      </c>
      <c r="F47" s="1">
        <v>336</v>
      </c>
      <c r="G47" s="61">
        <f t="shared" si="27"/>
        <v>9.0666666666666673E-2</v>
      </c>
      <c r="H47" s="61">
        <f t="shared" si="28"/>
        <v>0.14675767918088736</v>
      </c>
      <c r="I47" s="1">
        <f t="shared" si="29"/>
        <v>13300</v>
      </c>
      <c r="J47" s="1">
        <f t="shared" si="30"/>
        <v>12278</v>
      </c>
      <c r="K47" s="1">
        <f>K46+Table2[[#This Row],[Calls Off]]</f>
        <v>13300</v>
      </c>
      <c r="L47" s="1">
        <f>L46+Table2[[#This Row],[Calls Ans]]</f>
        <v>12278</v>
      </c>
      <c r="M47" s="17">
        <v>0.66</v>
      </c>
      <c r="N47" s="17">
        <v>0.18</v>
      </c>
      <c r="O47" s="17">
        <v>0.82</v>
      </c>
      <c r="P47" s="17">
        <v>0.63</v>
      </c>
      <c r="Q47" s="17">
        <v>1</v>
      </c>
      <c r="R47" s="1">
        <v>204</v>
      </c>
      <c r="S47" s="1">
        <v>0</v>
      </c>
      <c r="T47" s="371">
        <v>4</v>
      </c>
      <c r="U47" s="370" t="str">
        <f t="shared" si="2"/>
        <v>Outlier</v>
      </c>
      <c r="V47" s="370" t="str">
        <f t="shared" si="3"/>
        <v>Normal</v>
      </c>
      <c r="W47" s="407">
        <f t="shared" si="0"/>
        <v>9.0666666666666673E-2</v>
      </c>
      <c r="X47" s="407">
        <f t="shared" si="1"/>
        <v>0.14675767918088736</v>
      </c>
    </row>
    <row r="48" spans="1:25">
      <c r="A48" s="21">
        <v>45429</v>
      </c>
      <c r="B48" s="16">
        <f>IF(YEAR(Table6[[#This Row],[Date]]) = 2024, WEEKNUM(Table6[[#This Row],[Date]])-13, WEEKNUM(Table6[[#This Row],[Date]])+40)</f>
        <v>7</v>
      </c>
      <c r="C48" s="32" t="s">
        <v>52</v>
      </c>
      <c r="D48" s="301" t="s">
        <v>48</v>
      </c>
      <c r="E48" s="28">
        <v>335</v>
      </c>
      <c r="F48" s="28">
        <v>313</v>
      </c>
      <c r="G48" s="61">
        <f t="shared" si="27"/>
        <v>0</v>
      </c>
      <c r="H48" s="61">
        <f t="shared" si="28"/>
        <v>5.0335570469798654E-2</v>
      </c>
      <c r="I48" s="1">
        <f t="shared" si="29"/>
        <v>13635</v>
      </c>
      <c r="J48" s="1">
        <f t="shared" si="30"/>
        <v>12591</v>
      </c>
      <c r="K48" s="1">
        <f>K47+Table2[[#This Row],[Calls Off]]</f>
        <v>13635</v>
      </c>
      <c r="L48" s="1">
        <f>L47+Table2[[#This Row],[Calls Ans]]</f>
        <v>12591</v>
      </c>
      <c r="M48" s="33">
        <v>0.85</v>
      </c>
      <c r="N48" s="33">
        <v>7.0000000000000007E-2</v>
      </c>
      <c r="O48" s="33">
        <v>0.93</v>
      </c>
      <c r="P48" s="33">
        <v>0.56000000000000005</v>
      </c>
      <c r="Q48" s="33">
        <v>1</v>
      </c>
      <c r="R48" s="28">
        <v>189</v>
      </c>
      <c r="S48" s="28">
        <v>0</v>
      </c>
      <c r="T48" s="371">
        <v>4</v>
      </c>
      <c r="U48" s="370" t="str">
        <f t="shared" si="2"/>
        <v>Outlier</v>
      </c>
      <c r="V48" s="370" t="str">
        <f t="shared" si="3"/>
        <v>Normal</v>
      </c>
      <c r="W48" s="407">
        <f t="shared" si="0"/>
        <v>0</v>
      </c>
      <c r="X48" s="407">
        <f t="shared" si="1"/>
        <v>5.0335570469798654E-2</v>
      </c>
    </row>
    <row r="49" spans="1:25">
      <c r="A49" s="21">
        <v>45430</v>
      </c>
      <c r="B49" s="16">
        <f>IF(YEAR(Table6[[#This Row],[Date]]) = 2024, WEEKNUM(Table6[[#This Row],[Date]])-13, WEEKNUM(Table6[[#This Row],[Date]])+40)</f>
        <v>7</v>
      </c>
      <c r="C49" s="9" t="s">
        <v>53</v>
      </c>
      <c r="D49" s="301" t="s">
        <v>48</v>
      </c>
      <c r="E49" s="1">
        <v>136</v>
      </c>
      <c r="F49" s="1">
        <v>131</v>
      </c>
      <c r="G49" s="61">
        <f t="shared" si="27"/>
        <v>-8.1081081081081086E-2</v>
      </c>
      <c r="H49" s="61">
        <f t="shared" si="28"/>
        <v>-9.6551724137931033E-2</v>
      </c>
      <c r="I49" s="1">
        <f t="shared" si="29"/>
        <v>13771</v>
      </c>
      <c r="J49" s="1">
        <f t="shared" si="30"/>
        <v>12722</v>
      </c>
      <c r="K49" s="1">
        <f>K48+Table2[[#This Row],[Calls Off]]</f>
        <v>13771</v>
      </c>
      <c r="L49" s="1">
        <f>L48+Table2[[#This Row],[Calls Ans]]</f>
        <v>12722</v>
      </c>
      <c r="M49" s="17">
        <v>0.83</v>
      </c>
      <c r="N49" s="17">
        <v>0.04</v>
      </c>
      <c r="O49" s="17">
        <v>0.96</v>
      </c>
      <c r="P49" s="17">
        <v>0.56999999999999995</v>
      </c>
      <c r="Q49" s="17">
        <v>1</v>
      </c>
      <c r="R49" s="1">
        <v>213</v>
      </c>
      <c r="S49" s="1">
        <v>0</v>
      </c>
      <c r="T49" s="371">
        <v>3</v>
      </c>
      <c r="U49" s="370" t="str">
        <f t="shared" si="2"/>
        <v>Outlier</v>
      </c>
      <c r="V49" s="370" t="str">
        <f t="shared" si="3"/>
        <v>Normal</v>
      </c>
      <c r="W49" s="407">
        <f t="shared" si="0"/>
        <v>-8.1081081081081086E-2</v>
      </c>
      <c r="X49" s="407">
        <f t="shared" si="1"/>
        <v>-9.6551724137931033E-2</v>
      </c>
    </row>
    <row r="50" spans="1:25">
      <c r="A50" s="21">
        <v>45431</v>
      </c>
      <c r="B50" s="16">
        <f>IF(YEAR(Table6[[#This Row],[Date]]) = 2024, WEEKNUM(Table6[[#This Row],[Date]])-13, WEEKNUM(Table6[[#This Row],[Date]])+40)</f>
        <v>8</v>
      </c>
      <c r="C50" s="32" t="s">
        <v>54</v>
      </c>
      <c r="D50" s="301" t="s">
        <v>48</v>
      </c>
      <c r="E50" s="28">
        <v>0</v>
      </c>
      <c r="F50" s="28">
        <v>0</v>
      </c>
      <c r="G50" s="61">
        <v>0</v>
      </c>
      <c r="H50" s="61">
        <v>0</v>
      </c>
      <c r="I50" s="1">
        <v>0</v>
      </c>
      <c r="J50" s="1">
        <v>0</v>
      </c>
      <c r="K50" s="1">
        <v>0</v>
      </c>
      <c r="L50" s="1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28">
        <v>0</v>
      </c>
      <c r="S50" s="28">
        <v>0</v>
      </c>
      <c r="T50" s="371">
        <v>0</v>
      </c>
      <c r="U50" s="370" t="str">
        <f t="shared" si="2"/>
        <v>Normal</v>
      </c>
      <c r="V50" s="370" t="str">
        <f t="shared" si="3"/>
        <v>Normal</v>
      </c>
      <c r="W50" s="407">
        <f t="shared" si="0"/>
        <v>0</v>
      </c>
      <c r="X50" s="407">
        <f t="shared" si="1"/>
        <v>0</v>
      </c>
    </row>
    <row r="51" spans="1:25">
      <c r="A51" s="21">
        <v>45432</v>
      </c>
      <c r="B51" s="16">
        <f>IF(YEAR(Table6[[#This Row],[Date]]) = 2024, WEEKNUM(Table6[[#This Row],[Date]])-13, WEEKNUM(Table6[[#This Row],[Date]])+40)</f>
        <v>8</v>
      </c>
      <c r="C51" s="9" t="s">
        <v>55</v>
      </c>
      <c r="D51" s="301" t="s">
        <v>48</v>
      </c>
      <c r="E51" s="1">
        <v>0</v>
      </c>
      <c r="F51" s="1">
        <v>0</v>
      </c>
      <c r="G51" s="61">
        <v>0</v>
      </c>
      <c r="H51" s="61">
        <v>0</v>
      </c>
      <c r="I51" s="1">
        <v>0</v>
      </c>
      <c r="J51" s="1">
        <v>0</v>
      </c>
      <c r="K51" s="1">
        <v>0</v>
      </c>
      <c r="L51" s="1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">
        <v>0</v>
      </c>
      <c r="S51" s="1">
        <v>0</v>
      </c>
      <c r="T51" s="371">
        <v>0</v>
      </c>
      <c r="U51" s="370" t="str">
        <f t="shared" si="2"/>
        <v>Normal</v>
      </c>
      <c r="V51" s="370" t="str">
        <f t="shared" si="3"/>
        <v>Normal</v>
      </c>
      <c r="W51" s="407">
        <f t="shared" si="0"/>
        <v>0</v>
      </c>
      <c r="X51" s="407">
        <f t="shared" si="1"/>
        <v>0</v>
      </c>
    </row>
    <row r="52" spans="1:25">
      <c r="A52" s="21">
        <v>45433</v>
      </c>
      <c r="B52" s="16">
        <f>IF(YEAR(Table6[[#This Row],[Date]]) = 2024, WEEKNUM(Table6[[#This Row],[Date]])-13, WEEKNUM(Table6[[#This Row],[Date]])+40)</f>
        <v>8</v>
      </c>
      <c r="C52" s="32" t="s">
        <v>49</v>
      </c>
      <c r="D52" s="301" t="s">
        <v>48</v>
      </c>
      <c r="E52" s="28">
        <v>390</v>
      </c>
      <c r="F52" s="28">
        <v>326</v>
      </c>
      <c r="G52" s="60">
        <f t="shared" ref="G52:G56" si="31">(E52-E45)/E45</f>
        <v>-1.7632241813602016E-2</v>
      </c>
      <c r="H52" s="60">
        <f t="shared" ref="H52:H56" si="32">(F52-F45)/F45</f>
        <v>-0.11171662125340599</v>
      </c>
      <c r="I52" s="28">
        <f>I51+E52</f>
        <v>390</v>
      </c>
      <c r="J52" s="28">
        <f>J51+F52</f>
        <v>326</v>
      </c>
      <c r="K52" s="28">
        <f>K49+Table2[[#This Row],[Calls Off]]</f>
        <v>14161</v>
      </c>
      <c r="L52" s="28">
        <f>L49+Table2[[#This Row],[Calls Ans]]</f>
        <v>13048</v>
      </c>
      <c r="M52" s="33">
        <v>0.65</v>
      </c>
      <c r="N52" s="33">
        <v>0.16</v>
      </c>
      <c r="O52" s="33">
        <v>0.84</v>
      </c>
      <c r="P52" s="33">
        <v>0.61</v>
      </c>
      <c r="Q52" s="33">
        <v>1</v>
      </c>
      <c r="R52" s="28">
        <v>205</v>
      </c>
      <c r="S52" s="28">
        <v>0</v>
      </c>
      <c r="T52" s="371">
        <v>4</v>
      </c>
      <c r="U52" s="370" t="str">
        <f t="shared" si="2"/>
        <v>Outlier</v>
      </c>
      <c r="V52" s="370" t="str">
        <f t="shared" si="3"/>
        <v>Normal</v>
      </c>
      <c r="W52" s="407">
        <f t="shared" si="0"/>
        <v>-1.7632241813602016E-2</v>
      </c>
      <c r="X52" s="407">
        <f t="shared" si="1"/>
        <v>-0.11171662125340599</v>
      </c>
    </row>
    <row r="53" spans="1:25">
      <c r="A53" s="21">
        <v>45434</v>
      </c>
      <c r="B53" s="16">
        <f>IF(YEAR(Table6[[#This Row],[Date]]) = 2024, WEEKNUM(Table6[[#This Row],[Date]])-13, WEEKNUM(Table6[[#This Row],[Date]])+40)</f>
        <v>8</v>
      </c>
      <c r="C53" s="9" t="s">
        <v>50</v>
      </c>
      <c r="D53" s="301" t="s">
        <v>48</v>
      </c>
      <c r="E53" s="1">
        <v>372</v>
      </c>
      <c r="F53" s="1">
        <v>337</v>
      </c>
      <c r="G53" s="61">
        <f t="shared" si="31"/>
        <v>4.49438202247191E-2</v>
      </c>
      <c r="H53" s="61">
        <f t="shared" si="32"/>
        <v>3.3742331288343558E-2</v>
      </c>
      <c r="I53" s="1">
        <f t="shared" ref="I53:I56" si="33">I52+E53</f>
        <v>762</v>
      </c>
      <c r="J53" s="1">
        <f t="shared" ref="J53:J56" si="34">J52+F53</f>
        <v>663</v>
      </c>
      <c r="K53" s="1">
        <f>K52+Table2[[#This Row],[Calls Off]]</f>
        <v>14533</v>
      </c>
      <c r="L53" s="1">
        <f>L52+Table2[[#This Row],[Calls Ans]]</f>
        <v>13385</v>
      </c>
      <c r="M53" s="17">
        <v>0.77</v>
      </c>
      <c r="N53" s="17">
        <v>0.09</v>
      </c>
      <c r="O53" s="17">
        <v>0.91</v>
      </c>
      <c r="P53" s="17">
        <v>0.67</v>
      </c>
      <c r="Q53" s="17">
        <v>1</v>
      </c>
      <c r="R53" s="1">
        <v>224</v>
      </c>
      <c r="S53" s="1">
        <v>0</v>
      </c>
      <c r="T53" s="371">
        <v>4</v>
      </c>
      <c r="U53" s="370" t="str">
        <f t="shared" si="2"/>
        <v>Outlier</v>
      </c>
      <c r="V53" s="370" t="str">
        <f t="shared" si="3"/>
        <v>Normal</v>
      </c>
      <c r="W53" s="407">
        <f t="shared" si="0"/>
        <v>4.49438202247191E-2</v>
      </c>
      <c r="X53" s="407">
        <f t="shared" si="1"/>
        <v>3.3742331288343558E-2</v>
      </c>
    </row>
    <row r="54" spans="1:25">
      <c r="A54" s="21">
        <v>45435</v>
      </c>
      <c r="B54" s="16">
        <f>IF(YEAR(Table6[[#This Row],[Date]]) = 2024, WEEKNUM(Table6[[#This Row],[Date]])-13, WEEKNUM(Table6[[#This Row],[Date]])+40)</f>
        <v>8</v>
      </c>
      <c r="C54" s="32" t="s">
        <v>51</v>
      </c>
      <c r="D54" s="301" t="s">
        <v>48</v>
      </c>
      <c r="E54" s="28">
        <v>352</v>
      </c>
      <c r="F54" s="28">
        <v>271</v>
      </c>
      <c r="G54" s="61">
        <f t="shared" si="31"/>
        <v>-0.13936430317848411</v>
      </c>
      <c r="H54" s="61">
        <f t="shared" si="32"/>
        <v>-0.19345238095238096</v>
      </c>
      <c r="I54" s="1">
        <f t="shared" si="33"/>
        <v>1114</v>
      </c>
      <c r="J54" s="1">
        <f t="shared" si="34"/>
        <v>934</v>
      </c>
      <c r="K54" s="1">
        <f>K53+Table2[[#This Row],[Calls Off]]</f>
        <v>14885</v>
      </c>
      <c r="L54" s="1">
        <f>L53+Table2[[#This Row],[Calls Ans]]</f>
        <v>13656</v>
      </c>
      <c r="M54" s="33">
        <v>0.59</v>
      </c>
      <c r="N54" s="33">
        <v>0.23</v>
      </c>
      <c r="O54" s="33">
        <v>0.77</v>
      </c>
      <c r="P54" s="33">
        <v>0.68</v>
      </c>
      <c r="Q54" s="33">
        <v>1</v>
      </c>
      <c r="R54" s="28">
        <v>209</v>
      </c>
      <c r="S54" s="28">
        <v>0</v>
      </c>
      <c r="T54" s="371">
        <v>3</v>
      </c>
      <c r="U54" s="370" t="str">
        <f t="shared" si="2"/>
        <v>Outlier</v>
      </c>
      <c r="V54" s="370" t="str">
        <f t="shared" si="3"/>
        <v>Normal</v>
      </c>
      <c r="W54" s="407">
        <f t="shared" si="0"/>
        <v>-0.13936430317848411</v>
      </c>
      <c r="X54" s="407">
        <f t="shared" si="1"/>
        <v>-0.19345238095238096</v>
      </c>
      <c r="Y54" t="s">
        <v>127</v>
      </c>
    </row>
    <row r="55" spans="1:25">
      <c r="A55" s="21">
        <v>45436</v>
      </c>
      <c r="B55" s="16">
        <f>IF(YEAR(Table6[[#This Row],[Date]]) = 2024, WEEKNUM(Table6[[#This Row],[Date]])-13, WEEKNUM(Table6[[#This Row],[Date]])+40)</f>
        <v>8</v>
      </c>
      <c r="C55" s="9" t="s">
        <v>52</v>
      </c>
      <c r="D55" s="301" t="s">
        <v>48</v>
      </c>
      <c r="E55" s="1">
        <v>349</v>
      </c>
      <c r="F55" s="1">
        <v>306</v>
      </c>
      <c r="G55" s="61">
        <f t="shared" si="31"/>
        <v>4.1791044776119404E-2</v>
      </c>
      <c r="H55" s="61">
        <f t="shared" si="32"/>
        <v>-2.2364217252396165E-2</v>
      </c>
      <c r="I55" s="1">
        <f t="shared" si="33"/>
        <v>1463</v>
      </c>
      <c r="J55" s="1">
        <f t="shared" si="34"/>
        <v>1240</v>
      </c>
      <c r="K55" s="1">
        <f>K54+Table2[[#This Row],[Calls Off]]</f>
        <v>15234</v>
      </c>
      <c r="L55" s="1">
        <f>L54+Table2[[#This Row],[Calls Ans]]</f>
        <v>13962</v>
      </c>
      <c r="M55" s="17">
        <v>0.74</v>
      </c>
      <c r="N55" s="17">
        <v>0.12</v>
      </c>
      <c r="O55" s="17">
        <v>0.88</v>
      </c>
      <c r="P55" s="17">
        <v>0.56999999999999995</v>
      </c>
      <c r="Q55" s="17">
        <v>1</v>
      </c>
      <c r="R55" s="1">
        <v>202</v>
      </c>
      <c r="S55" s="1">
        <v>0</v>
      </c>
      <c r="T55" s="371">
        <v>3</v>
      </c>
      <c r="U55" s="370" t="str">
        <f t="shared" si="2"/>
        <v>Outlier</v>
      </c>
      <c r="V55" s="370" t="str">
        <f t="shared" si="3"/>
        <v>Normal</v>
      </c>
      <c r="W55" s="407">
        <f t="shared" si="0"/>
        <v>4.1791044776119404E-2</v>
      </c>
      <c r="X55" s="407">
        <f t="shared" si="1"/>
        <v>-2.2364217252396165E-2</v>
      </c>
      <c r="Y55" t="s">
        <v>127</v>
      </c>
    </row>
    <row r="56" spans="1:25">
      <c r="A56" s="21">
        <v>45437</v>
      </c>
      <c r="B56" s="16">
        <f>IF(YEAR(Table6[[#This Row],[Date]]) = 2024, WEEKNUM(Table6[[#This Row],[Date]])-13, WEEKNUM(Table6[[#This Row],[Date]])+40)</f>
        <v>8</v>
      </c>
      <c r="C56" s="32" t="s">
        <v>53</v>
      </c>
      <c r="D56" s="301" t="s">
        <v>48</v>
      </c>
      <c r="E56" s="28">
        <v>128</v>
      </c>
      <c r="F56" s="28">
        <v>116</v>
      </c>
      <c r="G56" s="61">
        <f t="shared" si="31"/>
        <v>-5.8823529411764705E-2</v>
      </c>
      <c r="H56" s="61">
        <f t="shared" si="32"/>
        <v>-0.11450381679389313</v>
      </c>
      <c r="I56" s="1">
        <f t="shared" si="33"/>
        <v>1591</v>
      </c>
      <c r="J56" s="1">
        <f t="shared" si="34"/>
        <v>1356</v>
      </c>
      <c r="K56" s="1">
        <f>K55+Table2[[#This Row],[Calls Off]]</f>
        <v>15362</v>
      </c>
      <c r="L56" s="1">
        <f>L55+Table2[[#This Row],[Calls Ans]]</f>
        <v>14078</v>
      </c>
      <c r="M56" s="33">
        <v>0.79</v>
      </c>
      <c r="N56" s="33">
        <v>0.09</v>
      </c>
      <c r="O56" s="33">
        <v>0.91</v>
      </c>
      <c r="P56" s="33">
        <v>0.56999999999999995</v>
      </c>
      <c r="Q56" s="33">
        <v>1</v>
      </c>
      <c r="R56" s="28">
        <v>125</v>
      </c>
      <c r="S56" s="28">
        <v>0</v>
      </c>
      <c r="T56" s="371">
        <v>2</v>
      </c>
      <c r="U56" s="370" t="str">
        <f t="shared" si="2"/>
        <v>Outlier</v>
      </c>
      <c r="V56" s="370" t="str">
        <f t="shared" si="3"/>
        <v>Normal</v>
      </c>
      <c r="W56" s="407">
        <f t="shared" si="0"/>
        <v>-5.8823529411764705E-2</v>
      </c>
      <c r="X56" s="407">
        <f t="shared" si="1"/>
        <v>-0.11450381679389313</v>
      </c>
      <c r="Y56" t="s">
        <v>127</v>
      </c>
    </row>
    <row r="57" spans="1:25">
      <c r="A57" s="21">
        <v>45438</v>
      </c>
      <c r="B57" s="16">
        <f>IF(YEAR(Table6[[#This Row],[Date]]) = 2024, WEEKNUM(Table6[[#This Row],[Date]])-13, WEEKNUM(Table6[[#This Row],[Date]])+40)</f>
        <v>9</v>
      </c>
      <c r="C57" s="9" t="s">
        <v>54</v>
      </c>
      <c r="D57" s="301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v>0</v>
      </c>
      <c r="L57" s="1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">
        <v>0</v>
      </c>
      <c r="S57" s="1">
        <v>0</v>
      </c>
      <c r="T57" s="371">
        <v>0</v>
      </c>
      <c r="U57" s="370" t="str">
        <f t="shared" si="2"/>
        <v>Normal</v>
      </c>
      <c r="V57" s="370" t="str">
        <f t="shared" si="3"/>
        <v>Normal</v>
      </c>
      <c r="W57" s="407">
        <f t="shared" si="0"/>
        <v>0</v>
      </c>
      <c r="X57" s="407">
        <f t="shared" si="1"/>
        <v>0</v>
      </c>
    </row>
    <row r="58" spans="1:25">
      <c r="A58" s="21">
        <v>45439</v>
      </c>
      <c r="B58" s="16">
        <f>IF(YEAR(Table6[[#This Row],[Date]]) = 2024, WEEKNUM(Table6[[#This Row],[Date]])-13, WEEKNUM(Table6[[#This Row],[Date]])+40)</f>
        <v>9</v>
      </c>
      <c r="C58" s="32" t="s">
        <v>55</v>
      </c>
      <c r="D58" s="301" t="s">
        <v>48</v>
      </c>
      <c r="E58" s="28">
        <v>361</v>
      </c>
      <c r="F58" s="28">
        <v>332</v>
      </c>
      <c r="G58" s="61">
        <v>0</v>
      </c>
      <c r="H58" s="61">
        <v>0</v>
      </c>
      <c r="I58" s="1">
        <f>I56+Table2[[#This Row],[Calls Off]]</f>
        <v>1952</v>
      </c>
      <c r="J58" s="1">
        <f>J56+Table2[[#This Row],[Calls Ans]]</f>
        <v>1688</v>
      </c>
      <c r="K58" s="1">
        <f>K56+Table2[[#This Row],[Calls Off]]</f>
        <v>15723</v>
      </c>
      <c r="L58" s="1">
        <f>L56+Table2[[#This Row],[Calls Ans]]</f>
        <v>14410</v>
      </c>
      <c r="M58" s="33">
        <v>0.83</v>
      </c>
      <c r="N58" s="33">
        <v>0.08</v>
      </c>
      <c r="O58" s="33">
        <v>0.92</v>
      </c>
      <c r="P58" s="33">
        <v>0.66</v>
      </c>
      <c r="Q58" s="33">
        <v>1</v>
      </c>
      <c r="R58" s="28">
        <v>224</v>
      </c>
      <c r="S58" s="28">
        <v>0</v>
      </c>
      <c r="T58" s="371">
        <v>4</v>
      </c>
      <c r="U58" s="370" t="str">
        <f t="shared" si="2"/>
        <v>Outlier</v>
      </c>
      <c r="V58" s="370" t="str">
        <f t="shared" si="3"/>
        <v>Normal</v>
      </c>
      <c r="W58" s="407">
        <f t="shared" si="0"/>
        <v>0</v>
      </c>
      <c r="X58" s="407">
        <f t="shared" si="1"/>
        <v>0</v>
      </c>
    </row>
    <row r="59" spans="1:25">
      <c r="A59" s="21">
        <v>45440</v>
      </c>
      <c r="B59" s="16">
        <f>IF(YEAR(Table6[[#This Row],[Date]]) = 2024, WEEKNUM(Table6[[#This Row],[Date]])-13, WEEKNUM(Table6[[#This Row],[Date]])+40)</f>
        <v>9</v>
      </c>
      <c r="C59" s="9" t="s">
        <v>49</v>
      </c>
      <c r="D59" s="301" t="s">
        <v>48</v>
      </c>
      <c r="E59" s="1">
        <v>332</v>
      </c>
      <c r="F59" s="1">
        <v>296</v>
      </c>
      <c r="G59" s="61">
        <f t="shared" ref="G59:G63" si="35">(E59-E52)/E52</f>
        <v>-0.14871794871794872</v>
      </c>
      <c r="H59" s="61">
        <f t="shared" ref="H59:H63" si="36">(F59-F52)/F52</f>
        <v>-9.202453987730061E-2</v>
      </c>
      <c r="I59" s="1">
        <f>I58+E59</f>
        <v>2284</v>
      </c>
      <c r="J59" s="1">
        <f>J58+F59</f>
        <v>1984</v>
      </c>
      <c r="K59" s="1">
        <f>K58+Table2[[#This Row],[Calls Off]]</f>
        <v>16055</v>
      </c>
      <c r="L59" s="1">
        <f>L58+Table2[[#This Row],[Calls Ans]]</f>
        <v>14706</v>
      </c>
      <c r="M59" s="17">
        <v>0.72</v>
      </c>
      <c r="N59" s="17">
        <v>0.11</v>
      </c>
      <c r="O59" s="17">
        <v>0.89</v>
      </c>
      <c r="P59" s="17">
        <v>0.56000000000000005</v>
      </c>
      <c r="Q59" s="17">
        <v>1</v>
      </c>
      <c r="R59" s="1">
        <v>209</v>
      </c>
      <c r="S59" s="1">
        <v>0</v>
      </c>
      <c r="T59" s="371">
        <v>4</v>
      </c>
      <c r="U59" s="370" t="str">
        <f t="shared" si="2"/>
        <v>Outlier</v>
      </c>
      <c r="V59" s="370" t="str">
        <f t="shared" si="3"/>
        <v>Normal</v>
      </c>
      <c r="W59" s="407">
        <f t="shared" si="0"/>
        <v>-0.14871794871794872</v>
      </c>
      <c r="X59" s="407">
        <f t="shared" si="1"/>
        <v>-9.202453987730061E-2</v>
      </c>
    </row>
    <row r="60" spans="1:25">
      <c r="A60" s="21">
        <v>45441</v>
      </c>
      <c r="B60" s="16">
        <f>IF(YEAR(Table6[[#This Row],[Date]]) = 2024, WEEKNUM(Table6[[#This Row],[Date]])-13, WEEKNUM(Table6[[#This Row],[Date]])+40)</f>
        <v>9</v>
      </c>
      <c r="C60" s="32" t="s">
        <v>50</v>
      </c>
      <c r="D60" s="301" t="s">
        <v>48</v>
      </c>
      <c r="E60" s="28">
        <v>324</v>
      </c>
      <c r="F60" s="28">
        <v>301</v>
      </c>
      <c r="G60" s="61">
        <f t="shared" si="35"/>
        <v>-0.12903225806451613</v>
      </c>
      <c r="H60" s="61">
        <f t="shared" si="36"/>
        <v>-0.10682492581602374</v>
      </c>
      <c r="I60" s="1">
        <f t="shared" ref="I60:I62" si="37">I59+E60</f>
        <v>2608</v>
      </c>
      <c r="J60" s="1">
        <f t="shared" ref="J60:J62" si="38">J59+F60</f>
        <v>2285</v>
      </c>
      <c r="K60" s="1">
        <f>K59+Table2[[#This Row],[Calls Off]]</f>
        <v>16379</v>
      </c>
      <c r="L60" s="1">
        <f>L59+Table2[[#This Row],[Calls Ans]]</f>
        <v>15007</v>
      </c>
      <c r="M60" s="33">
        <v>0.88</v>
      </c>
      <c r="N60" s="33">
        <v>7.0000000000000007E-2</v>
      </c>
      <c r="O60" s="33">
        <v>0.93</v>
      </c>
      <c r="P60" s="33">
        <v>0.56999999999999995</v>
      </c>
      <c r="Q60" s="33">
        <v>1</v>
      </c>
      <c r="R60" s="28">
        <v>210</v>
      </c>
      <c r="S60" s="28">
        <v>0</v>
      </c>
      <c r="T60" s="371">
        <v>4</v>
      </c>
      <c r="U60" s="370" t="str">
        <f t="shared" si="2"/>
        <v>Outlier</v>
      </c>
      <c r="V60" s="370" t="str">
        <f t="shared" si="3"/>
        <v>Normal</v>
      </c>
      <c r="W60" s="407">
        <f t="shared" si="0"/>
        <v>-0.12903225806451613</v>
      </c>
      <c r="X60" s="407">
        <f t="shared" si="1"/>
        <v>-0.10682492581602374</v>
      </c>
    </row>
    <row r="61" spans="1:25">
      <c r="A61" s="21">
        <v>45442</v>
      </c>
      <c r="B61" s="16">
        <f>IF(YEAR(Table6[[#This Row],[Date]]) = 2024, WEEKNUM(Table6[[#This Row],[Date]])-13, WEEKNUM(Table6[[#This Row],[Date]])+40)</f>
        <v>9</v>
      </c>
      <c r="C61" s="9" t="s">
        <v>51</v>
      </c>
      <c r="D61" s="301" t="s">
        <v>48</v>
      </c>
      <c r="E61" s="1">
        <v>209</v>
      </c>
      <c r="F61" s="1">
        <v>199</v>
      </c>
      <c r="G61" s="61">
        <f t="shared" si="35"/>
        <v>-0.40625</v>
      </c>
      <c r="H61" s="61">
        <f t="shared" si="36"/>
        <v>-0.26568265682656828</v>
      </c>
      <c r="I61" s="1">
        <f t="shared" si="37"/>
        <v>2817</v>
      </c>
      <c r="J61" s="1">
        <f t="shared" si="38"/>
        <v>2484</v>
      </c>
      <c r="K61" s="1">
        <f>K60+Table2[[#This Row],[Calls Off]]</f>
        <v>16588</v>
      </c>
      <c r="L61" s="1">
        <f>L60+Table2[[#This Row],[Calls Ans]]</f>
        <v>15206</v>
      </c>
      <c r="M61" s="17">
        <v>0.91</v>
      </c>
      <c r="N61" s="17">
        <v>0.05</v>
      </c>
      <c r="O61" s="17">
        <v>0.95</v>
      </c>
      <c r="P61" s="17">
        <v>0.49</v>
      </c>
      <c r="Q61" s="17">
        <v>1</v>
      </c>
      <c r="R61" s="1">
        <v>203</v>
      </c>
      <c r="S61" s="1">
        <v>0</v>
      </c>
      <c r="T61" s="371">
        <v>3</v>
      </c>
      <c r="U61" s="370" t="str">
        <f t="shared" si="2"/>
        <v>Outlier</v>
      </c>
      <c r="V61" s="370" t="str">
        <f t="shared" si="3"/>
        <v>Outlier</v>
      </c>
      <c r="W61" s="407">
        <f t="shared" si="0"/>
        <v>-0.40625</v>
      </c>
      <c r="X61" s="407">
        <f t="shared" si="1"/>
        <v>-0.26568265682656828</v>
      </c>
    </row>
    <row r="62" spans="1:25">
      <c r="A62" s="21">
        <v>45443</v>
      </c>
      <c r="B62" s="16">
        <f>IF(YEAR(Table6[[#This Row],[Date]]) = 2024, WEEKNUM(Table6[[#This Row],[Date]])-13, WEEKNUM(Table6[[#This Row],[Date]])+40)</f>
        <v>9</v>
      </c>
      <c r="C62" s="32" t="s">
        <v>52</v>
      </c>
      <c r="D62" s="301" t="s">
        <v>48</v>
      </c>
      <c r="E62" s="28">
        <v>349</v>
      </c>
      <c r="F62" s="28">
        <v>336</v>
      </c>
      <c r="G62" s="61">
        <f t="shared" si="35"/>
        <v>0</v>
      </c>
      <c r="H62" s="61">
        <f t="shared" si="36"/>
        <v>9.8039215686274508E-2</v>
      </c>
      <c r="I62" s="1">
        <f t="shared" si="37"/>
        <v>3166</v>
      </c>
      <c r="J62" s="1">
        <f t="shared" si="38"/>
        <v>2820</v>
      </c>
      <c r="K62" s="1">
        <f>K61+Table2[[#This Row],[Calls Off]]</f>
        <v>16937</v>
      </c>
      <c r="L62" s="1">
        <f>L61+Table2[[#This Row],[Calls Ans]]</f>
        <v>15542</v>
      </c>
      <c r="M62" s="33">
        <v>0.9</v>
      </c>
      <c r="N62" s="33">
        <v>0.04</v>
      </c>
      <c r="O62" s="33">
        <v>0.96</v>
      </c>
      <c r="P62" s="33">
        <v>0.57999999999999996</v>
      </c>
      <c r="Q62" s="33">
        <v>1</v>
      </c>
      <c r="R62" s="28">
        <v>182</v>
      </c>
      <c r="S62" s="28">
        <v>0</v>
      </c>
      <c r="T62" s="371">
        <v>4</v>
      </c>
      <c r="U62" s="370" t="str">
        <f t="shared" si="2"/>
        <v>Outlier</v>
      </c>
      <c r="V62" s="370" t="str">
        <f t="shared" si="3"/>
        <v>Normal</v>
      </c>
      <c r="W62" s="407">
        <f t="shared" si="0"/>
        <v>0</v>
      </c>
      <c r="X62" s="407">
        <f t="shared" si="1"/>
        <v>9.8039215686274508E-2</v>
      </c>
    </row>
    <row r="63" spans="1:25">
      <c r="A63" s="21">
        <v>45444</v>
      </c>
      <c r="B63" s="16">
        <f>IF(YEAR(Table6[[#This Row],[Date]]) = 2024, WEEKNUM(Table6[[#This Row],[Date]])-13, WEEKNUM(Table6[[#This Row],[Date]])+40)</f>
        <v>9</v>
      </c>
      <c r="C63" s="9" t="s">
        <v>53</v>
      </c>
      <c r="D63" s="301" t="s">
        <v>48</v>
      </c>
      <c r="E63" s="1">
        <v>132</v>
      </c>
      <c r="F63" s="1">
        <v>122</v>
      </c>
      <c r="G63" s="61">
        <f t="shared" si="35"/>
        <v>3.125E-2</v>
      </c>
      <c r="H63" s="61">
        <f t="shared" si="36"/>
        <v>5.1724137931034482E-2</v>
      </c>
      <c r="I63" s="1">
        <v>132</v>
      </c>
      <c r="J63" s="1">
        <v>122</v>
      </c>
      <c r="K63" s="1">
        <f>K62+Table2[[#This Row],[Calls Off]]</f>
        <v>17069</v>
      </c>
      <c r="L63" s="1">
        <f>L62+Table2[[#This Row],[Calls Ans]]</f>
        <v>15664</v>
      </c>
      <c r="M63" s="17">
        <v>0.87</v>
      </c>
      <c r="N63" s="17">
        <v>0.08</v>
      </c>
      <c r="O63" s="17">
        <v>0.92</v>
      </c>
      <c r="P63" s="17">
        <v>0.32</v>
      </c>
      <c r="Q63" s="17">
        <v>1</v>
      </c>
      <c r="R63" s="1">
        <v>219</v>
      </c>
      <c r="S63" s="1">
        <v>0</v>
      </c>
      <c r="T63" s="371">
        <v>3</v>
      </c>
      <c r="U63" s="370" t="str">
        <f t="shared" si="2"/>
        <v>Outlier</v>
      </c>
      <c r="V63" s="370" t="str">
        <f t="shared" si="3"/>
        <v>Normal</v>
      </c>
      <c r="W63" s="407">
        <f t="shared" si="0"/>
        <v>3.125E-2</v>
      </c>
      <c r="X63" s="407">
        <f t="shared" si="1"/>
        <v>5.1724137931034482E-2</v>
      </c>
    </row>
    <row r="64" spans="1:25">
      <c r="A64" s="21">
        <v>45445</v>
      </c>
      <c r="B64" s="16">
        <f>IF(YEAR(Table6[[#This Row],[Date]]) = 2024, WEEKNUM(Table6[[#This Row],[Date]])-13, WEEKNUM(Table6[[#This Row],[Date]])+40)</f>
        <v>10</v>
      </c>
      <c r="C64" s="32" t="s">
        <v>54</v>
      </c>
      <c r="D64" s="301" t="s">
        <v>48</v>
      </c>
      <c r="E64" s="28">
        <v>0</v>
      </c>
      <c r="F64" s="28">
        <v>0</v>
      </c>
      <c r="G64" s="61">
        <v>0</v>
      </c>
      <c r="H64" s="61">
        <v>0</v>
      </c>
      <c r="I64" s="1">
        <v>0</v>
      </c>
      <c r="J64" s="1">
        <v>0</v>
      </c>
      <c r="K64" s="1">
        <v>0</v>
      </c>
      <c r="L64" s="1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28">
        <v>0</v>
      </c>
      <c r="S64" s="28">
        <v>0</v>
      </c>
      <c r="T64" s="371">
        <v>0</v>
      </c>
      <c r="U64" s="370" t="str">
        <f t="shared" si="2"/>
        <v>Normal</v>
      </c>
      <c r="V64" s="370" t="str">
        <f t="shared" si="3"/>
        <v>Normal</v>
      </c>
      <c r="W64" s="407">
        <f t="shared" si="0"/>
        <v>0</v>
      </c>
      <c r="X64" s="407">
        <f t="shared" si="1"/>
        <v>0</v>
      </c>
    </row>
    <row r="65" spans="1:25">
      <c r="A65" s="21">
        <v>45446</v>
      </c>
      <c r="B65" s="16">
        <f>IF(YEAR(Table6[[#This Row],[Date]]) = 2024, WEEKNUM(Table6[[#This Row],[Date]])-13, WEEKNUM(Table6[[#This Row],[Date]])+40)</f>
        <v>10</v>
      </c>
      <c r="C65" s="9" t="s">
        <v>55</v>
      </c>
      <c r="D65" s="301" t="s">
        <v>48</v>
      </c>
      <c r="E65" s="1">
        <v>427</v>
      </c>
      <c r="F65" s="1">
        <v>369</v>
      </c>
      <c r="G65" s="61">
        <f>(E65-E58)/E58</f>
        <v>0.18282548476454294</v>
      </c>
      <c r="H65" s="61">
        <f>(F65-F58)/F58</f>
        <v>0.11144578313253012</v>
      </c>
      <c r="I65" s="1">
        <f>I63+Table2[[#This Row],[Calls Off]]</f>
        <v>559</v>
      </c>
      <c r="J65" s="1">
        <f>J63+Table2[[#This Row],[Calls Ans]]</f>
        <v>491</v>
      </c>
      <c r="K65" s="1">
        <f>K63+Table2[[#This Row],[Calls Off]]</f>
        <v>17496</v>
      </c>
      <c r="L65" s="1">
        <f>L63+Table2[[#This Row],[Calls Ans]]</f>
        <v>16033</v>
      </c>
      <c r="M65" s="17">
        <v>0.69</v>
      </c>
      <c r="N65" s="17">
        <v>0.14000000000000001</v>
      </c>
      <c r="O65" s="17">
        <v>0.86</v>
      </c>
      <c r="P65" s="17">
        <v>0.72</v>
      </c>
      <c r="Q65" s="17">
        <v>1</v>
      </c>
      <c r="R65" s="1">
        <v>218</v>
      </c>
      <c r="S65" s="1">
        <v>0</v>
      </c>
      <c r="T65" s="371">
        <v>4</v>
      </c>
      <c r="U65" s="370" t="str">
        <f t="shared" si="2"/>
        <v>Outlier</v>
      </c>
      <c r="V65" s="370" t="str">
        <f t="shared" si="3"/>
        <v>Normal</v>
      </c>
      <c r="W65" s="407">
        <f t="shared" si="0"/>
        <v>0.18282548476454294</v>
      </c>
      <c r="X65" s="407">
        <f t="shared" si="1"/>
        <v>0.11144578313253012</v>
      </c>
      <c r="Y65" t="s">
        <v>132</v>
      </c>
    </row>
    <row r="66" spans="1:25">
      <c r="A66" s="21">
        <v>45447</v>
      </c>
      <c r="B66" s="16">
        <f>IF(YEAR(Table6[[#This Row],[Date]]) = 2024, WEEKNUM(Table6[[#This Row],[Date]])-13, WEEKNUM(Table6[[#This Row],[Date]])+40)</f>
        <v>10</v>
      </c>
      <c r="C66" s="32" t="s">
        <v>49</v>
      </c>
      <c r="D66" s="301" t="s">
        <v>48</v>
      </c>
      <c r="E66" s="28">
        <v>339</v>
      </c>
      <c r="F66" s="28">
        <v>325</v>
      </c>
      <c r="G66" s="61">
        <f t="shared" ref="G66:G70" si="39">(E66-E59)/E59</f>
        <v>2.1084337349397589E-2</v>
      </c>
      <c r="H66" s="61">
        <f t="shared" ref="H66:H70" si="40">(F66-F59)/F59</f>
        <v>9.7972972972972971E-2</v>
      </c>
      <c r="I66" s="28">
        <f>I65+E66</f>
        <v>898</v>
      </c>
      <c r="J66" s="28">
        <f>J65+F66</f>
        <v>816</v>
      </c>
      <c r="K66" s="28">
        <f>K65+Table2[[#This Row],[Calls Off]]</f>
        <v>17835</v>
      </c>
      <c r="L66" s="28">
        <f>L65+Table2[[#This Row],[Calls Ans]]</f>
        <v>16358</v>
      </c>
      <c r="M66" s="33">
        <v>0.9</v>
      </c>
      <c r="N66" s="33">
        <v>0.04</v>
      </c>
      <c r="O66" s="33">
        <v>0.96</v>
      </c>
      <c r="P66" s="33">
        <v>0.8</v>
      </c>
      <c r="Q66" s="33">
        <v>1</v>
      </c>
      <c r="R66" s="28">
        <v>171</v>
      </c>
      <c r="S66" s="28">
        <v>0</v>
      </c>
      <c r="T66" s="371">
        <v>4</v>
      </c>
      <c r="U66" s="370" t="str">
        <f t="shared" si="2"/>
        <v>Outlier</v>
      </c>
      <c r="V66" s="370" t="str">
        <f t="shared" si="3"/>
        <v>Normal</v>
      </c>
      <c r="W66" s="407">
        <f t="shared" si="0"/>
        <v>2.1084337349397589E-2</v>
      </c>
      <c r="X66" s="407">
        <f t="shared" si="1"/>
        <v>9.7972972972972971E-2</v>
      </c>
      <c r="Y66" t="s">
        <v>132</v>
      </c>
    </row>
    <row r="67" spans="1:25">
      <c r="A67" s="21">
        <v>45448</v>
      </c>
      <c r="B67" s="16">
        <f>IF(YEAR(Table6[[#This Row],[Date]]) = 2024, WEEKNUM(Table6[[#This Row],[Date]])-13, WEEKNUM(Table6[[#This Row],[Date]])+40)</f>
        <v>10</v>
      </c>
      <c r="C67" s="9" t="s">
        <v>50</v>
      </c>
      <c r="D67" s="301" t="s">
        <v>48</v>
      </c>
      <c r="E67" s="1">
        <v>315</v>
      </c>
      <c r="F67" s="1">
        <v>281</v>
      </c>
      <c r="G67" s="61">
        <f t="shared" si="39"/>
        <v>-2.7777777777777776E-2</v>
      </c>
      <c r="H67" s="61">
        <f t="shared" si="40"/>
        <v>-6.6445182724252497E-2</v>
      </c>
      <c r="I67" s="1">
        <f t="shared" ref="I67:I70" si="41">I66+E67</f>
        <v>1213</v>
      </c>
      <c r="J67" s="1">
        <f t="shared" ref="J67:J70" si="42">J66+F67</f>
        <v>1097</v>
      </c>
      <c r="K67" s="1">
        <f>K66+Table2[[#This Row],[Calls Off]]</f>
        <v>18150</v>
      </c>
      <c r="L67" s="1">
        <f>L66+Table2[[#This Row],[Calls Ans]]</f>
        <v>16639</v>
      </c>
      <c r="M67" s="17">
        <v>0.72</v>
      </c>
      <c r="N67" s="17">
        <v>0.11</v>
      </c>
      <c r="O67" s="17">
        <v>0.89</v>
      </c>
      <c r="P67" s="17">
        <v>0.52</v>
      </c>
      <c r="Q67" s="17">
        <v>1</v>
      </c>
      <c r="R67" s="1">
        <v>201</v>
      </c>
      <c r="S67" s="1">
        <v>0</v>
      </c>
      <c r="T67" s="371">
        <v>4</v>
      </c>
      <c r="U67" s="370" t="str">
        <f t="shared" ref="U67:U123" si="43">IF(OR(F67&lt;$AC$5,F67&gt;$AD$5), "Outlier", "Normal")</f>
        <v>Outlier</v>
      </c>
      <c r="V67" s="370" t="str">
        <f t="shared" ref="V67:V123" si="44">IF(OR(G67&lt;$AC$5,G67&gt;$AD$5), "Outlier", "Normal")</f>
        <v>Normal</v>
      </c>
      <c r="W67" s="407">
        <f t="shared" ref="W67:W123" si="45">IF(U67="Normal",$G67,IF($G67&lt;150%, $G67, $AC$9))</f>
        <v>-2.7777777777777776E-2</v>
      </c>
      <c r="X67" s="407">
        <f t="shared" ref="X67:X123" si="46">IF(V67="Normal",$H67,IF($H67&lt;150%, $H67, $AG$9))</f>
        <v>-6.6445182724252497E-2</v>
      </c>
      <c r="Y67" t="s">
        <v>133</v>
      </c>
    </row>
    <row r="68" spans="1:25">
      <c r="A68" s="21">
        <v>45449</v>
      </c>
      <c r="B68" s="16">
        <f>IF(YEAR(Table6[[#This Row],[Date]]) = 2024, WEEKNUM(Table6[[#This Row],[Date]])-13, WEEKNUM(Table6[[#This Row],[Date]])+40)</f>
        <v>10</v>
      </c>
      <c r="C68" s="32" t="s">
        <v>51</v>
      </c>
      <c r="D68" s="301" t="s">
        <v>48</v>
      </c>
      <c r="E68" s="28">
        <v>368</v>
      </c>
      <c r="F68" s="28">
        <v>326</v>
      </c>
      <c r="G68" s="61">
        <f t="shared" si="39"/>
        <v>0.76076555023923442</v>
      </c>
      <c r="H68" s="61">
        <f t="shared" si="40"/>
        <v>0.63819095477386933</v>
      </c>
      <c r="I68" s="28">
        <f t="shared" si="41"/>
        <v>1581</v>
      </c>
      <c r="J68" s="28">
        <f t="shared" si="42"/>
        <v>1423</v>
      </c>
      <c r="K68" s="28">
        <f>K67+Table2[[#This Row],[Calls Off]]</f>
        <v>18518</v>
      </c>
      <c r="L68" s="28">
        <f>L67+Table2[[#This Row],[Calls Ans]]</f>
        <v>16965</v>
      </c>
      <c r="M68" s="33">
        <v>0.8</v>
      </c>
      <c r="N68" s="33">
        <v>0.11</v>
      </c>
      <c r="O68" s="33">
        <v>0.89</v>
      </c>
      <c r="P68" s="33">
        <v>0.57999999999999996</v>
      </c>
      <c r="Q68" s="33">
        <v>1</v>
      </c>
      <c r="R68" s="28">
        <v>189</v>
      </c>
      <c r="S68" s="28">
        <v>0</v>
      </c>
      <c r="T68" s="371">
        <v>4</v>
      </c>
      <c r="U68" s="370" t="str">
        <f t="shared" si="43"/>
        <v>Outlier</v>
      </c>
      <c r="V68" s="370" t="str">
        <f t="shared" si="44"/>
        <v>Outlier</v>
      </c>
      <c r="W68" s="407">
        <f t="shared" si="45"/>
        <v>0.76076555023923442</v>
      </c>
      <c r="X68" s="407">
        <f t="shared" si="46"/>
        <v>0.63819095477386933</v>
      </c>
      <c r="Y68" t="s">
        <v>133</v>
      </c>
    </row>
    <row r="69" spans="1:25">
      <c r="A69" s="21">
        <v>45450</v>
      </c>
      <c r="B69" s="16">
        <f>IF(YEAR(Table6[[#This Row],[Date]]) = 2024, WEEKNUM(Table6[[#This Row],[Date]])-13, WEEKNUM(Table6[[#This Row],[Date]])+40)</f>
        <v>10</v>
      </c>
      <c r="C69" s="9" t="s">
        <v>52</v>
      </c>
      <c r="D69" s="301" t="s">
        <v>48</v>
      </c>
      <c r="E69" s="1">
        <v>304</v>
      </c>
      <c r="F69" s="1">
        <v>283</v>
      </c>
      <c r="G69" s="61">
        <f t="shared" si="39"/>
        <v>-0.12893982808022922</v>
      </c>
      <c r="H69" s="61">
        <f t="shared" si="40"/>
        <v>-0.15773809523809523</v>
      </c>
      <c r="I69" s="1">
        <f t="shared" si="41"/>
        <v>1885</v>
      </c>
      <c r="J69" s="1">
        <f t="shared" si="42"/>
        <v>1706</v>
      </c>
      <c r="K69" s="1">
        <f>K68+Table2[[#This Row],[Calls Off]]</f>
        <v>18822</v>
      </c>
      <c r="L69" s="1">
        <f>L68+Table2[[#This Row],[Calls Ans]]</f>
        <v>17248</v>
      </c>
      <c r="M69" s="17">
        <v>0.86</v>
      </c>
      <c r="N69" s="17">
        <v>0.06</v>
      </c>
      <c r="O69" s="17">
        <v>0.94</v>
      </c>
      <c r="P69" s="17">
        <v>0.52</v>
      </c>
      <c r="Q69" s="17">
        <v>1</v>
      </c>
      <c r="R69" s="1">
        <v>197</v>
      </c>
      <c r="S69" s="1">
        <v>0</v>
      </c>
      <c r="T69" s="371">
        <v>4</v>
      </c>
      <c r="U69" s="370" t="str">
        <f t="shared" si="43"/>
        <v>Outlier</v>
      </c>
      <c r="V69" s="370" t="str">
        <f t="shared" si="44"/>
        <v>Normal</v>
      </c>
      <c r="W69" s="407">
        <f t="shared" si="45"/>
        <v>-0.12893982808022922</v>
      </c>
      <c r="X69" s="407">
        <f t="shared" si="46"/>
        <v>-0.15773809523809523</v>
      </c>
    </row>
    <row r="70" spans="1:25">
      <c r="A70" s="21">
        <v>45451</v>
      </c>
      <c r="B70" s="16">
        <f>IF(YEAR(Table6[[#This Row],[Date]]) = 2024, WEEKNUM(Table6[[#This Row],[Date]])-13, WEEKNUM(Table6[[#This Row],[Date]])+40)</f>
        <v>10</v>
      </c>
      <c r="C70" s="32" t="s">
        <v>53</v>
      </c>
      <c r="D70" s="301" t="s">
        <v>48</v>
      </c>
      <c r="E70" s="28">
        <v>123</v>
      </c>
      <c r="F70" s="28">
        <v>119</v>
      </c>
      <c r="G70" s="61">
        <f t="shared" si="39"/>
        <v>-6.8181818181818177E-2</v>
      </c>
      <c r="H70" s="61">
        <f t="shared" si="40"/>
        <v>-2.4590163934426229E-2</v>
      </c>
      <c r="I70" s="28">
        <f t="shared" si="41"/>
        <v>2008</v>
      </c>
      <c r="J70" s="28">
        <f t="shared" si="42"/>
        <v>1825</v>
      </c>
      <c r="K70" s="28">
        <f>K69+Table2[[#This Row],[Calls Off]]</f>
        <v>18945</v>
      </c>
      <c r="L70" s="28">
        <f>L69+Table2[[#This Row],[Calls Ans]]</f>
        <v>17367</v>
      </c>
      <c r="M70" s="33">
        <v>0.93</v>
      </c>
      <c r="N70" s="33">
        <v>0.03</v>
      </c>
      <c r="O70" s="33">
        <v>0.97</v>
      </c>
      <c r="P70" s="33">
        <v>0.25</v>
      </c>
      <c r="Q70" s="33">
        <v>1</v>
      </c>
      <c r="R70" s="28">
        <v>136</v>
      </c>
      <c r="S70" s="28">
        <v>0</v>
      </c>
      <c r="T70" s="371">
        <v>4</v>
      </c>
      <c r="U70" s="370" t="str">
        <f t="shared" si="43"/>
        <v>Outlier</v>
      </c>
      <c r="V70" s="370" t="str">
        <f t="shared" si="44"/>
        <v>Normal</v>
      </c>
      <c r="W70" s="407">
        <f t="shared" si="45"/>
        <v>-6.8181818181818177E-2</v>
      </c>
      <c r="X70" s="407">
        <f t="shared" si="46"/>
        <v>-2.4590163934426229E-2</v>
      </c>
    </row>
    <row r="71" spans="1:25">
      <c r="A71" s="21">
        <v>45452</v>
      </c>
      <c r="B71" s="16">
        <f>IF(YEAR(Table6[[#This Row],[Date]]) = 2024, WEEKNUM(Table6[[#This Row],[Date]])-13, WEEKNUM(Table6[[#This Row],[Date]])+40)</f>
        <v>11</v>
      </c>
      <c r="C71" s="9" t="s">
        <v>54</v>
      </c>
      <c r="D71" s="301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v>0</v>
      </c>
      <c r="L71" s="1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">
        <v>0</v>
      </c>
      <c r="S71" s="1">
        <v>0</v>
      </c>
      <c r="T71" s="371">
        <v>0</v>
      </c>
      <c r="U71" s="370" t="str">
        <f t="shared" si="43"/>
        <v>Normal</v>
      </c>
      <c r="V71" s="370" t="str">
        <f t="shared" si="44"/>
        <v>Normal</v>
      </c>
      <c r="W71" s="407">
        <f t="shared" si="45"/>
        <v>0</v>
      </c>
      <c r="X71" s="407">
        <f t="shared" si="46"/>
        <v>0</v>
      </c>
    </row>
    <row r="72" spans="1:25">
      <c r="A72" s="21">
        <v>45453</v>
      </c>
      <c r="B72" s="16">
        <f>IF(YEAR(Table6[[#This Row],[Date]]) = 2024, WEEKNUM(Table6[[#This Row],[Date]])-13, WEEKNUM(Table6[[#This Row],[Date]])+40)</f>
        <v>11</v>
      </c>
      <c r="C72" s="32" t="s">
        <v>55</v>
      </c>
      <c r="D72" s="301" t="s">
        <v>48</v>
      </c>
      <c r="E72" s="28">
        <v>335</v>
      </c>
      <c r="F72" s="28">
        <v>323</v>
      </c>
      <c r="G72" s="61">
        <f>(E72-E65)/E65</f>
        <v>-0.21545667447306791</v>
      </c>
      <c r="H72" s="61">
        <f>(F72-F65)/F65</f>
        <v>-0.12466124661246612</v>
      </c>
      <c r="I72" s="28">
        <f>I70+Table2[[#This Row],[Calls Off]]</f>
        <v>2343</v>
      </c>
      <c r="J72" s="28">
        <f>J70+Table2[[#This Row],[Calls Ans]]</f>
        <v>2148</v>
      </c>
      <c r="K72" s="28">
        <f>K70+Table2[[#This Row],[Calls Off]]</f>
        <v>19280</v>
      </c>
      <c r="L72" s="28">
        <f>L70+Table2[[#This Row],[Calls Ans]]</f>
        <v>17690</v>
      </c>
      <c r="M72" s="33">
        <v>0.87</v>
      </c>
      <c r="N72" s="33">
        <v>0.03</v>
      </c>
      <c r="O72" s="33">
        <v>0.97</v>
      </c>
      <c r="P72" s="33">
        <v>0.56000000000000005</v>
      </c>
      <c r="Q72" s="33">
        <v>1</v>
      </c>
      <c r="R72" s="28">
        <v>181</v>
      </c>
      <c r="S72" s="28">
        <v>0</v>
      </c>
      <c r="T72" s="371">
        <v>4</v>
      </c>
      <c r="U72" s="370" t="str">
        <f t="shared" si="43"/>
        <v>Outlier</v>
      </c>
      <c r="V72" s="370" t="str">
        <f t="shared" si="44"/>
        <v>Normal</v>
      </c>
      <c r="W72" s="407">
        <f t="shared" si="45"/>
        <v>-0.21545667447306791</v>
      </c>
      <c r="X72" s="407">
        <f t="shared" si="46"/>
        <v>-0.12466124661246612</v>
      </c>
    </row>
    <row r="73" spans="1:25">
      <c r="A73" s="21">
        <v>45454</v>
      </c>
      <c r="B73" s="16">
        <f>IF(YEAR(Table6[[#This Row],[Date]]) = 2024, WEEKNUM(Table6[[#This Row],[Date]])-13, WEEKNUM(Table6[[#This Row],[Date]])+40)</f>
        <v>11</v>
      </c>
      <c r="C73" s="9" t="s">
        <v>49</v>
      </c>
      <c r="D73" s="301" t="s">
        <v>48</v>
      </c>
      <c r="E73" s="1">
        <v>288</v>
      </c>
      <c r="F73" s="1">
        <v>270</v>
      </c>
      <c r="G73" s="61">
        <f t="shared" ref="G73:G77" si="47">(E73-E66)/E66</f>
        <v>-0.15044247787610621</v>
      </c>
      <c r="H73" s="61">
        <f t="shared" ref="H73:H77" si="48">(F73-F66)/F66</f>
        <v>-0.16923076923076924</v>
      </c>
      <c r="I73" s="1">
        <f>I72+E73</f>
        <v>2631</v>
      </c>
      <c r="J73" s="1">
        <f>J72+F73</f>
        <v>2418</v>
      </c>
      <c r="K73" s="1">
        <f>K72+Table2[[#This Row],[Calls Off]]</f>
        <v>19568</v>
      </c>
      <c r="L73" s="1">
        <f>L72+Table2[[#This Row],[Calls Ans]]</f>
        <v>17960</v>
      </c>
      <c r="M73" s="17">
        <v>0.81</v>
      </c>
      <c r="N73" s="17">
        <v>0.06</v>
      </c>
      <c r="O73" s="17">
        <v>0.94</v>
      </c>
      <c r="P73" s="17">
        <v>0.5</v>
      </c>
      <c r="Q73" s="17">
        <v>1</v>
      </c>
      <c r="R73" s="1">
        <v>199</v>
      </c>
      <c r="S73" s="1">
        <v>0</v>
      </c>
      <c r="T73" s="371">
        <v>4</v>
      </c>
      <c r="U73" s="370" t="str">
        <f t="shared" si="43"/>
        <v>Outlier</v>
      </c>
      <c r="V73" s="370" t="str">
        <f t="shared" si="44"/>
        <v>Normal</v>
      </c>
      <c r="W73" s="407">
        <f t="shared" si="45"/>
        <v>-0.15044247787610621</v>
      </c>
      <c r="X73" s="407">
        <f t="shared" si="46"/>
        <v>-0.16923076923076924</v>
      </c>
    </row>
    <row r="74" spans="1:25">
      <c r="A74" s="21">
        <v>45455</v>
      </c>
      <c r="B74" s="16">
        <f>IF(YEAR(Table6[[#This Row],[Date]]) = 2024, WEEKNUM(Table6[[#This Row],[Date]])-13, WEEKNUM(Table6[[#This Row],[Date]])+40)</f>
        <v>11</v>
      </c>
      <c r="C74" s="32" t="s">
        <v>50</v>
      </c>
      <c r="D74" s="301" t="s">
        <v>48</v>
      </c>
      <c r="E74" s="28">
        <v>300</v>
      </c>
      <c r="F74" s="28">
        <v>286</v>
      </c>
      <c r="G74" s="61">
        <f t="shared" si="47"/>
        <v>-4.7619047619047616E-2</v>
      </c>
      <c r="H74" s="61">
        <f t="shared" si="48"/>
        <v>1.7793594306049824E-2</v>
      </c>
      <c r="I74" s="28">
        <f t="shared" ref="I74:I77" si="49">I73+E74</f>
        <v>2931</v>
      </c>
      <c r="J74" s="28">
        <f t="shared" ref="J74:J77" si="50">J73+F74</f>
        <v>2704</v>
      </c>
      <c r="K74" s="28">
        <f>K73+Table2[[#This Row],[Calls Off]]</f>
        <v>19868</v>
      </c>
      <c r="L74" s="28">
        <f>L73+Table2[[#This Row],[Calls Ans]]</f>
        <v>18246</v>
      </c>
      <c r="M74" s="33">
        <v>0.89</v>
      </c>
      <c r="N74" s="33">
        <v>0.05</v>
      </c>
      <c r="O74" s="33">
        <v>0.95</v>
      </c>
      <c r="P74" s="33">
        <v>0.51</v>
      </c>
      <c r="Q74" s="33">
        <v>1</v>
      </c>
      <c r="R74" s="28">
        <v>192</v>
      </c>
      <c r="S74" s="28">
        <v>0</v>
      </c>
      <c r="T74" s="371">
        <v>4</v>
      </c>
      <c r="U74" s="370" t="str">
        <f t="shared" si="43"/>
        <v>Outlier</v>
      </c>
      <c r="V74" s="370" t="str">
        <f t="shared" si="44"/>
        <v>Normal</v>
      </c>
      <c r="W74" s="407">
        <f t="shared" si="45"/>
        <v>-4.7619047619047616E-2</v>
      </c>
      <c r="X74" s="407">
        <f t="shared" si="46"/>
        <v>1.7793594306049824E-2</v>
      </c>
    </row>
    <row r="75" spans="1:25">
      <c r="A75" s="21">
        <v>45456</v>
      </c>
      <c r="B75" s="16">
        <f>IF(YEAR(Table6[[#This Row],[Date]]) = 2024, WEEKNUM(Table6[[#This Row],[Date]])-13, WEEKNUM(Table6[[#This Row],[Date]])+40)</f>
        <v>11</v>
      </c>
      <c r="C75" s="9" t="s">
        <v>51</v>
      </c>
      <c r="D75" s="301" t="s">
        <v>48</v>
      </c>
      <c r="E75" s="1">
        <v>273</v>
      </c>
      <c r="F75" s="1">
        <v>249</v>
      </c>
      <c r="G75" s="61">
        <f t="shared" si="47"/>
        <v>-0.25815217391304346</v>
      </c>
      <c r="H75" s="61">
        <f t="shared" si="48"/>
        <v>-0.2361963190184049</v>
      </c>
      <c r="I75" s="1">
        <f t="shared" si="49"/>
        <v>3204</v>
      </c>
      <c r="J75" s="1">
        <f t="shared" si="50"/>
        <v>2953</v>
      </c>
      <c r="K75" s="1">
        <f>K74+Table2[[#This Row],[Calls Off]]</f>
        <v>20141</v>
      </c>
      <c r="L75" s="1">
        <f>L74+Table2[[#This Row],[Calls Ans]]</f>
        <v>18495</v>
      </c>
      <c r="M75" s="17">
        <v>0.85</v>
      </c>
      <c r="N75" s="17">
        <v>0.09</v>
      </c>
      <c r="O75" s="17">
        <v>0.91</v>
      </c>
      <c r="P75" s="17">
        <v>0.47</v>
      </c>
      <c r="Q75" s="17">
        <v>1</v>
      </c>
      <c r="R75" s="1">
        <v>208</v>
      </c>
      <c r="S75" s="1">
        <v>0</v>
      </c>
      <c r="T75" s="371">
        <v>4</v>
      </c>
      <c r="U75" s="370" t="str">
        <f t="shared" si="43"/>
        <v>Outlier</v>
      </c>
      <c r="V75" s="370" t="str">
        <f t="shared" si="44"/>
        <v>Normal</v>
      </c>
      <c r="W75" s="407">
        <f t="shared" si="45"/>
        <v>-0.25815217391304346</v>
      </c>
      <c r="X75" s="407">
        <f t="shared" si="46"/>
        <v>-0.2361963190184049</v>
      </c>
      <c r="Y75" t="s">
        <v>136</v>
      </c>
    </row>
    <row r="76" spans="1:25">
      <c r="A76" s="21">
        <v>45457</v>
      </c>
      <c r="B76" s="16">
        <f>IF(YEAR(Table6[[#This Row],[Date]]) = 2024, WEEKNUM(Table6[[#This Row],[Date]])-13, WEEKNUM(Table6[[#This Row],[Date]])+40)</f>
        <v>11</v>
      </c>
      <c r="C76" s="32" t="s">
        <v>52</v>
      </c>
      <c r="D76" s="301" t="s">
        <v>48</v>
      </c>
      <c r="E76" s="28">
        <v>345</v>
      </c>
      <c r="F76" s="28">
        <v>286</v>
      </c>
      <c r="G76" s="61">
        <f t="shared" si="47"/>
        <v>0.13486842105263158</v>
      </c>
      <c r="H76" s="61">
        <f t="shared" si="48"/>
        <v>1.0600706713780919E-2</v>
      </c>
      <c r="I76" s="28">
        <f t="shared" si="49"/>
        <v>3549</v>
      </c>
      <c r="J76" s="28">
        <f t="shared" si="50"/>
        <v>3239</v>
      </c>
      <c r="K76" s="28">
        <f>K75+Table2[[#This Row],[Calls Off]]</f>
        <v>20486</v>
      </c>
      <c r="L76" s="28">
        <f>L75+Table2[[#This Row],[Calls Ans]]</f>
        <v>18781</v>
      </c>
      <c r="M76" s="33">
        <v>0.72</v>
      </c>
      <c r="N76" s="33">
        <v>0.17</v>
      </c>
      <c r="O76" s="33">
        <v>0.83</v>
      </c>
      <c r="P76" s="33">
        <v>0.5</v>
      </c>
      <c r="Q76" s="33">
        <v>1</v>
      </c>
      <c r="R76" s="28">
        <v>187</v>
      </c>
      <c r="S76" s="28">
        <v>0</v>
      </c>
      <c r="T76" s="371">
        <v>4</v>
      </c>
      <c r="U76" s="370" t="str">
        <f t="shared" si="43"/>
        <v>Outlier</v>
      </c>
      <c r="V76" s="370" t="str">
        <f t="shared" si="44"/>
        <v>Normal</v>
      </c>
      <c r="W76" s="407">
        <f t="shared" si="45"/>
        <v>0.13486842105263158</v>
      </c>
      <c r="X76" s="407">
        <f t="shared" si="46"/>
        <v>1.0600706713780919E-2</v>
      </c>
    </row>
    <row r="77" spans="1:25">
      <c r="A77" s="21">
        <v>45458</v>
      </c>
      <c r="B77" s="16">
        <f>IF(YEAR(Table6[[#This Row],[Date]]) = 2024, WEEKNUM(Table6[[#This Row],[Date]])-13, WEEKNUM(Table6[[#This Row],[Date]])+40)</f>
        <v>11</v>
      </c>
      <c r="C77" s="9" t="s">
        <v>53</v>
      </c>
      <c r="D77" s="301" t="s">
        <v>48</v>
      </c>
      <c r="E77" s="1">
        <v>97</v>
      </c>
      <c r="F77" s="1">
        <v>96</v>
      </c>
      <c r="G77" s="61">
        <f t="shared" si="47"/>
        <v>-0.21138211382113822</v>
      </c>
      <c r="H77" s="61">
        <f t="shared" si="48"/>
        <v>-0.19327731092436976</v>
      </c>
      <c r="I77" s="1">
        <f t="shared" si="49"/>
        <v>3646</v>
      </c>
      <c r="J77" s="1">
        <f t="shared" si="50"/>
        <v>3335</v>
      </c>
      <c r="K77" s="1">
        <f>K76+Table2[[#This Row],[Calls Off]]</f>
        <v>20583</v>
      </c>
      <c r="L77" s="1">
        <f>L76+Table2[[#This Row],[Calls Ans]]</f>
        <v>18877</v>
      </c>
      <c r="M77" s="17">
        <v>0.97</v>
      </c>
      <c r="N77" s="17">
        <v>0.01</v>
      </c>
      <c r="O77" s="17">
        <v>0.99</v>
      </c>
      <c r="P77" s="17">
        <v>0.44</v>
      </c>
      <c r="Q77" s="17">
        <v>1</v>
      </c>
      <c r="R77" s="1">
        <v>231</v>
      </c>
      <c r="S77" s="1">
        <v>0</v>
      </c>
      <c r="T77" s="371">
        <v>4</v>
      </c>
      <c r="U77" s="370" t="str">
        <f t="shared" si="43"/>
        <v>Outlier</v>
      </c>
      <c r="V77" s="370" t="str">
        <f t="shared" si="44"/>
        <v>Normal</v>
      </c>
      <c r="W77" s="407">
        <f t="shared" si="45"/>
        <v>-0.21138211382113822</v>
      </c>
      <c r="X77" s="407">
        <f t="shared" si="46"/>
        <v>-0.19327731092436976</v>
      </c>
    </row>
    <row r="78" spans="1:25">
      <c r="A78" s="21">
        <v>45459</v>
      </c>
      <c r="B78" s="16">
        <f>IF(YEAR(Table6[[#This Row],[Date]]) = 2024, WEEKNUM(Table6[[#This Row],[Date]])-13, WEEKNUM(Table6[[#This Row],[Date]])+40)</f>
        <v>12</v>
      </c>
      <c r="C78" s="32" t="s">
        <v>54</v>
      </c>
      <c r="D78" s="301" t="s">
        <v>48</v>
      </c>
      <c r="E78" s="28">
        <v>0</v>
      </c>
      <c r="F78" s="28">
        <v>0</v>
      </c>
      <c r="G78" s="61">
        <v>0</v>
      </c>
      <c r="H78" s="61">
        <v>0</v>
      </c>
      <c r="I78" s="28">
        <v>0</v>
      </c>
      <c r="J78" s="28">
        <v>0</v>
      </c>
      <c r="K78" s="28">
        <v>0</v>
      </c>
      <c r="L78" s="28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28">
        <v>0</v>
      </c>
      <c r="S78" s="28">
        <v>0</v>
      </c>
      <c r="T78" s="371">
        <v>0</v>
      </c>
      <c r="U78" s="370" t="str">
        <f t="shared" si="43"/>
        <v>Normal</v>
      </c>
      <c r="V78" s="370" t="str">
        <f t="shared" si="44"/>
        <v>Normal</v>
      </c>
      <c r="W78" s="407">
        <f t="shared" si="45"/>
        <v>0</v>
      </c>
      <c r="X78" s="407">
        <f t="shared" si="46"/>
        <v>0</v>
      </c>
    </row>
    <row r="79" spans="1:25">
      <c r="A79" s="21">
        <v>45460</v>
      </c>
      <c r="B79" s="16">
        <f>IF(YEAR(Table6[[#This Row],[Date]]) = 2024, WEEKNUM(Table6[[#This Row],[Date]])-13, WEEKNUM(Table6[[#This Row],[Date]])+40)</f>
        <v>12</v>
      </c>
      <c r="C79" s="9" t="s">
        <v>55</v>
      </c>
      <c r="D79" s="301" t="s">
        <v>48</v>
      </c>
      <c r="E79" s="1">
        <v>317</v>
      </c>
      <c r="F79" s="1">
        <v>313</v>
      </c>
      <c r="G79" s="61">
        <f>(E79-E72)/E72</f>
        <v>-5.3731343283582089E-2</v>
      </c>
      <c r="H79" s="61">
        <f>(F79-F72)/F72</f>
        <v>-3.0959752321981424E-2</v>
      </c>
      <c r="I79" s="1">
        <f>I77+Table2[[#This Row],[Calls Off]]</f>
        <v>3963</v>
      </c>
      <c r="J79" s="1">
        <f>J77+Table2[[#This Row],[Calls Ans]]</f>
        <v>3648</v>
      </c>
      <c r="K79" s="1">
        <f>K77+Table2[[#This Row],[Calls Off]]</f>
        <v>20900</v>
      </c>
      <c r="L79" s="1">
        <f>L77+Table2[[#This Row],[Calls Ans]]</f>
        <v>19190</v>
      </c>
      <c r="M79" s="17">
        <v>0.74</v>
      </c>
      <c r="N79" s="17">
        <v>0.15</v>
      </c>
      <c r="O79" s="17">
        <v>0.85</v>
      </c>
      <c r="P79" s="17">
        <v>0.6</v>
      </c>
      <c r="Q79" s="17">
        <v>1</v>
      </c>
      <c r="R79" s="1">
        <v>215</v>
      </c>
      <c r="S79" s="1">
        <v>0</v>
      </c>
      <c r="T79" s="371">
        <v>4</v>
      </c>
      <c r="U79" s="370" t="str">
        <f t="shared" si="43"/>
        <v>Outlier</v>
      </c>
      <c r="V79" s="370" t="str">
        <f t="shared" si="44"/>
        <v>Normal</v>
      </c>
      <c r="W79" s="407">
        <f t="shared" si="45"/>
        <v>-5.3731343283582089E-2</v>
      </c>
      <c r="X79" s="407">
        <f t="shared" si="46"/>
        <v>-3.0959752321981424E-2</v>
      </c>
      <c r="Y79" t="s">
        <v>137</v>
      </c>
    </row>
    <row r="80" spans="1:25">
      <c r="A80" s="21">
        <v>45461</v>
      </c>
      <c r="B80" s="16">
        <f>IF(YEAR(Table6[[#This Row],[Date]]) = 2024, WEEKNUM(Table6[[#This Row],[Date]])-13, WEEKNUM(Table6[[#This Row],[Date]])+40)</f>
        <v>12</v>
      </c>
      <c r="C80" s="32" t="s">
        <v>49</v>
      </c>
      <c r="D80" s="301" t="s">
        <v>48</v>
      </c>
      <c r="E80" s="28">
        <v>290</v>
      </c>
      <c r="F80" s="28">
        <v>274</v>
      </c>
      <c r="G80" s="61">
        <f t="shared" ref="G80:G84" si="51">(E80-E73)/E73</f>
        <v>6.9444444444444441E-3</v>
      </c>
      <c r="H80" s="61">
        <f t="shared" ref="H80:H84" si="52">(F80-F73)/F73</f>
        <v>1.4814814814814815E-2</v>
      </c>
      <c r="I80" s="28">
        <f>I79+E80</f>
        <v>4253</v>
      </c>
      <c r="J80" s="28">
        <f>J79+F80</f>
        <v>3922</v>
      </c>
      <c r="K80" s="28">
        <f>K79+Table2[[#This Row],[Calls Off]]</f>
        <v>21190</v>
      </c>
      <c r="L80" s="28">
        <f>L79+Table2[[#This Row],[Calls Ans]]</f>
        <v>19464</v>
      </c>
      <c r="M80" s="33">
        <v>0.85</v>
      </c>
      <c r="N80" s="33">
        <v>0.06</v>
      </c>
      <c r="O80" s="33">
        <v>0.94</v>
      </c>
      <c r="P80" s="33">
        <v>0.5</v>
      </c>
      <c r="Q80" s="33">
        <v>1</v>
      </c>
      <c r="R80" s="28">
        <v>199</v>
      </c>
      <c r="S80" s="28">
        <v>0</v>
      </c>
      <c r="T80" s="371">
        <v>4</v>
      </c>
      <c r="U80" s="370" t="str">
        <f t="shared" si="43"/>
        <v>Outlier</v>
      </c>
      <c r="V80" s="370" t="str">
        <f t="shared" si="44"/>
        <v>Normal</v>
      </c>
      <c r="W80" s="407">
        <f t="shared" si="45"/>
        <v>6.9444444444444441E-3</v>
      </c>
      <c r="X80" s="407">
        <f t="shared" si="46"/>
        <v>1.4814814814814815E-2</v>
      </c>
      <c r="Y80" t="s">
        <v>136</v>
      </c>
    </row>
    <row r="81" spans="1:25">
      <c r="A81" s="21">
        <v>45462</v>
      </c>
      <c r="B81" s="16">
        <f>IF(YEAR(Table6[[#This Row],[Date]]) = 2024, WEEKNUM(Table6[[#This Row],[Date]])-13, WEEKNUM(Table6[[#This Row],[Date]])+40)</f>
        <v>12</v>
      </c>
      <c r="C81" s="9" t="s">
        <v>50</v>
      </c>
      <c r="D81" s="301" t="s">
        <v>48</v>
      </c>
      <c r="E81" s="1">
        <v>348</v>
      </c>
      <c r="F81" s="1">
        <v>275</v>
      </c>
      <c r="G81" s="61">
        <f t="shared" si="51"/>
        <v>0.16</v>
      </c>
      <c r="H81" s="61">
        <f t="shared" si="52"/>
        <v>-3.8461538461538464E-2</v>
      </c>
      <c r="I81" s="1">
        <f t="shared" ref="I81:I84" si="53">I80+E81</f>
        <v>4601</v>
      </c>
      <c r="J81" s="1">
        <f t="shared" ref="J81:J84" si="54">J80+F81</f>
        <v>4197</v>
      </c>
      <c r="K81" s="1">
        <f>K80+Table2[[#This Row],[Calls Off]]</f>
        <v>21538</v>
      </c>
      <c r="L81" s="1">
        <f>L80+Table2[[#This Row],[Calls Ans]]</f>
        <v>19739</v>
      </c>
      <c r="M81" s="17">
        <v>0.68</v>
      </c>
      <c r="N81" s="17">
        <v>0.21</v>
      </c>
      <c r="O81" s="17">
        <v>0.79</v>
      </c>
      <c r="P81" s="17">
        <v>0.52</v>
      </c>
      <c r="Q81" s="17">
        <v>1</v>
      </c>
      <c r="R81" s="1">
        <v>208</v>
      </c>
      <c r="S81" s="1">
        <v>0</v>
      </c>
      <c r="T81" s="371">
        <v>4</v>
      </c>
      <c r="U81" s="370" t="str">
        <f t="shared" si="43"/>
        <v>Outlier</v>
      </c>
      <c r="V81" s="370" t="str">
        <f t="shared" si="44"/>
        <v>Normal</v>
      </c>
      <c r="W81" s="407">
        <f t="shared" si="45"/>
        <v>0.16</v>
      </c>
      <c r="X81" s="407">
        <f t="shared" si="46"/>
        <v>-3.8461538461538464E-2</v>
      </c>
    </row>
    <row r="82" spans="1:25">
      <c r="A82" s="21">
        <v>45463</v>
      </c>
      <c r="B82" s="16">
        <f>IF(YEAR(Table6[[#This Row],[Date]]) = 2024, WEEKNUM(Table6[[#This Row],[Date]])-13, WEEKNUM(Table6[[#This Row],[Date]])+40)</f>
        <v>12</v>
      </c>
      <c r="C82" s="32" t="s">
        <v>51</v>
      </c>
      <c r="D82" s="301" t="s">
        <v>48</v>
      </c>
      <c r="E82" s="28">
        <v>285</v>
      </c>
      <c r="F82" s="28">
        <v>270</v>
      </c>
      <c r="G82" s="61">
        <f t="shared" si="51"/>
        <v>4.3956043956043959E-2</v>
      </c>
      <c r="H82" s="61">
        <f t="shared" si="52"/>
        <v>8.4337349397590355E-2</v>
      </c>
      <c r="I82" s="28">
        <f t="shared" si="53"/>
        <v>4886</v>
      </c>
      <c r="J82" s="28">
        <f t="shared" si="54"/>
        <v>4467</v>
      </c>
      <c r="K82" s="28">
        <f>K81+Table2[[#This Row],[Calls Off]]</f>
        <v>21823</v>
      </c>
      <c r="L82" s="28">
        <f>L81+Table2[[#This Row],[Calls Ans]]</f>
        <v>20009</v>
      </c>
      <c r="M82" s="33">
        <v>0.85</v>
      </c>
      <c r="N82" s="33">
        <v>0.05</v>
      </c>
      <c r="O82" s="33">
        <v>0.95</v>
      </c>
      <c r="P82" s="33">
        <v>0.53</v>
      </c>
      <c r="Q82" s="33">
        <v>1</v>
      </c>
      <c r="R82" s="28">
        <v>223</v>
      </c>
      <c r="S82" s="28">
        <v>0</v>
      </c>
      <c r="T82" s="371">
        <v>4</v>
      </c>
      <c r="U82" s="370" t="str">
        <f t="shared" si="43"/>
        <v>Outlier</v>
      </c>
      <c r="V82" s="370" t="str">
        <f t="shared" si="44"/>
        <v>Normal</v>
      </c>
      <c r="W82" s="407">
        <f t="shared" si="45"/>
        <v>4.3956043956043959E-2</v>
      </c>
      <c r="X82" s="407">
        <f t="shared" si="46"/>
        <v>8.4337349397590355E-2</v>
      </c>
    </row>
    <row r="83" spans="1:25">
      <c r="A83" s="21">
        <v>45464</v>
      </c>
      <c r="B83" s="16">
        <f>IF(YEAR(Table6[[#This Row],[Date]]) = 2024, WEEKNUM(Table6[[#This Row],[Date]])-13, WEEKNUM(Table6[[#This Row],[Date]])+40)</f>
        <v>12</v>
      </c>
      <c r="C83" s="9" t="s">
        <v>52</v>
      </c>
      <c r="D83" s="301" t="s">
        <v>48</v>
      </c>
      <c r="E83" s="1">
        <v>270</v>
      </c>
      <c r="F83" s="1">
        <v>261</v>
      </c>
      <c r="G83" s="61">
        <f t="shared" si="51"/>
        <v>-0.21739130434782608</v>
      </c>
      <c r="H83" s="61">
        <f t="shared" si="52"/>
        <v>-8.7412587412587409E-2</v>
      </c>
      <c r="I83" s="1">
        <f t="shared" si="53"/>
        <v>5156</v>
      </c>
      <c r="J83" s="1">
        <f t="shared" si="54"/>
        <v>4728</v>
      </c>
      <c r="K83" s="1">
        <f>K82+Table2[[#This Row],[Calls Off]]</f>
        <v>22093</v>
      </c>
      <c r="L83" s="1">
        <f>L82+Table2[[#This Row],[Calls Ans]]</f>
        <v>20270</v>
      </c>
      <c r="M83" s="17">
        <v>0.91</v>
      </c>
      <c r="N83" s="17">
        <v>0.03</v>
      </c>
      <c r="O83" s="17">
        <v>0.97</v>
      </c>
      <c r="P83" s="17">
        <v>0.46</v>
      </c>
      <c r="Q83" s="17">
        <v>1</v>
      </c>
      <c r="R83" s="1">
        <v>189</v>
      </c>
      <c r="S83" s="1">
        <v>0</v>
      </c>
      <c r="T83" s="371">
        <v>4</v>
      </c>
      <c r="U83" s="370" t="str">
        <f t="shared" si="43"/>
        <v>Outlier</v>
      </c>
      <c r="V83" s="370" t="str">
        <f t="shared" si="44"/>
        <v>Normal</v>
      </c>
      <c r="W83" s="407">
        <f t="shared" si="45"/>
        <v>-0.21739130434782608</v>
      </c>
      <c r="X83" s="407">
        <f t="shared" si="46"/>
        <v>-8.7412587412587409E-2</v>
      </c>
    </row>
    <row r="84" spans="1:25">
      <c r="A84" s="21">
        <v>45465</v>
      </c>
      <c r="B84" s="16">
        <f>IF(YEAR(Table6[[#This Row],[Date]]) = 2024, WEEKNUM(Table6[[#This Row],[Date]])-13, WEEKNUM(Table6[[#This Row],[Date]])+40)</f>
        <v>12</v>
      </c>
      <c r="C84" s="32" t="s">
        <v>53</v>
      </c>
      <c r="D84" s="301" t="s">
        <v>48</v>
      </c>
      <c r="E84" s="28">
        <v>91</v>
      </c>
      <c r="F84" s="28">
        <v>89</v>
      </c>
      <c r="G84" s="61">
        <f t="shared" si="51"/>
        <v>-6.1855670103092786E-2</v>
      </c>
      <c r="H84" s="61">
        <f t="shared" si="52"/>
        <v>-7.2916666666666671E-2</v>
      </c>
      <c r="I84" s="28">
        <f t="shared" si="53"/>
        <v>5247</v>
      </c>
      <c r="J84" s="28">
        <f t="shared" si="54"/>
        <v>4817</v>
      </c>
      <c r="K84" s="28">
        <f>K83+Table2[[#This Row],[Calls Off]]</f>
        <v>22184</v>
      </c>
      <c r="L84" s="28">
        <f>L83+Table2[[#This Row],[Calls Ans]]</f>
        <v>20359</v>
      </c>
      <c r="M84" s="33">
        <v>0.91</v>
      </c>
      <c r="N84" s="33">
        <v>0.06</v>
      </c>
      <c r="O84" s="33">
        <v>0.94</v>
      </c>
      <c r="P84" s="33">
        <v>0.27</v>
      </c>
      <c r="Q84" s="33">
        <v>1</v>
      </c>
      <c r="R84" s="28">
        <v>148</v>
      </c>
      <c r="S84" s="28">
        <v>0</v>
      </c>
      <c r="T84" s="371">
        <v>3</v>
      </c>
      <c r="U84" s="370" t="str">
        <f t="shared" si="43"/>
        <v>Outlier</v>
      </c>
      <c r="V84" s="370" t="str">
        <f t="shared" si="44"/>
        <v>Normal</v>
      </c>
      <c r="W84" s="407">
        <f t="shared" si="45"/>
        <v>-6.1855670103092786E-2</v>
      </c>
      <c r="X84" s="407">
        <f t="shared" si="46"/>
        <v>-7.2916666666666671E-2</v>
      </c>
    </row>
    <row r="85" spans="1:25">
      <c r="A85" s="21">
        <v>45466</v>
      </c>
      <c r="B85" s="16">
        <f>IF(YEAR(Table6[[#This Row],[Date]]) = 2024, WEEKNUM(Table6[[#This Row],[Date]])-13, WEEKNUM(Table6[[#This Row],[Date]])+40)</f>
        <v>13</v>
      </c>
      <c r="C85" s="9" t="s">
        <v>54</v>
      </c>
      <c r="D85" s="301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v>0</v>
      </c>
      <c r="L85" s="1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">
        <v>0</v>
      </c>
      <c r="S85" s="1">
        <v>0</v>
      </c>
      <c r="T85" s="371">
        <v>0</v>
      </c>
      <c r="U85" s="370" t="str">
        <f t="shared" si="43"/>
        <v>Normal</v>
      </c>
      <c r="V85" s="370" t="str">
        <f t="shared" si="44"/>
        <v>Normal</v>
      </c>
      <c r="W85" s="407">
        <f t="shared" si="45"/>
        <v>0</v>
      </c>
      <c r="X85" s="407">
        <f t="shared" si="46"/>
        <v>0</v>
      </c>
    </row>
    <row r="86" spans="1:25">
      <c r="A86" s="21">
        <v>45467</v>
      </c>
      <c r="B86" s="16">
        <f>IF(YEAR(Table6[[#This Row],[Date]]) = 2024, WEEKNUM(Table6[[#This Row],[Date]])-13, WEEKNUM(Table6[[#This Row],[Date]])+40)</f>
        <v>13</v>
      </c>
      <c r="C86" s="32" t="s">
        <v>55</v>
      </c>
      <c r="D86" s="301" t="s">
        <v>48</v>
      </c>
      <c r="E86" s="28">
        <v>315</v>
      </c>
      <c r="F86" s="28">
        <v>295</v>
      </c>
      <c r="G86" s="61">
        <f>(E86-E79)/E79</f>
        <v>-6.3091482649842269E-3</v>
      </c>
      <c r="H86" s="61">
        <f>(F86-F79)/F79</f>
        <v>-5.7507987220447282E-2</v>
      </c>
      <c r="I86" s="28">
        <f>I84+Table2[[#This Row],[Calls Off]]</f>
        <v>5562</v>
      </c>
      <c r="J86" s="28">
        <f>J84+Table2[[#This Row],[Calls Ans]]</f>
        <v>5112</v>
      </c>
      <c r="K86" s="28">
        <f>K84+Table2[[#This Row],[Calls Off]]</f>
        <v>22499</v>
      </c>
      <c r="L86" s="28">
        <f>L84+Table2[[#This Row],[Calls Ans]]</f>
        <v>20654</v>
      </c>
      <c r="M86" s="33">
        <v>0.84</v>
      </c>
      <c r="N86" s="33">
        <v>0.06</v>
      </c>
      <c r="O86" s="33">
        <v>0.94</v>
      </c>
      <c r="P86" s="33">
        <v>0.54</v>
      </c>
      <c r="Q86" s="33">
        <v>1</v>
      </c>
      <c r="R86" s="28">
        <v>200</v>
      </c>
      <c r="S86" s="28">
        <v>0</v>
      </c>
      <c r="T86" s="371">
        <v>4</v>
      </c>
      <c r="U86" s="370" t="str">
        <f t="shared" si="43"/>
        <v>Outlier</v>
      </c>
      <c r="V86" s="370" t="str">
        <f t="shared" si="44"/>
        <v>Normal</v>
      </c>
      <c r="W86" s="407">
        <f t="shared" si="45"/>
        <v>-6.3091482649842269E-3</v>
      </c>
      <c r="X86" s="407">
        <f t="shared" si="46"/>
        <v>-5.7507987220447282E-2</v>
      </c>
    </row>
    <row r="87" spans="1:25">
      <c r="A87" s="21">
        <v>45468</v>
      </c>
      <c r="B87" s="16">
        <f>IF(YEAR(Table6[[#This Row],[Date]]) = 2024, WEEKNUM(Table6[[#This Row],[Date]])-13, WEEKNUM(Table6[[#This Row],[Date]])+40)</f>
        <v>13</v>
      </c>
      <c r="C87" s="9" t="s">
        <v>49</v>
      </c>
      <c r="D87" s="301" t="s">
        <v>48</v>
      </c>
      <c r="E87" s="1">
        <v>324</v>
      </c>
      <c r="F87" s="1">
        <v>302</v>
      </c>
      <c r="G87" s="61">
        <f t="shared" ref="G87:G91" si="55">(E87-E80)/E80</f>
        <v>0.11724137931034483</v>
      </c>
      <c r="H87" s="61">
        <f t="shared" ref="H87:H91" si="56">(F87-F80)/F80</f>
        <v>0.10218978102189781</v>
      </c>
      <c r="I87" s="1">
        <f>I86+E87</f>
        <v>5886</v>
      </c>
      <c r="J87" s="1">
        <f>J86+F87</f>
        <v>5414</v>
      </c>
      <c r="K87" s="1">
        <f>K86+Table2[[#This Row],[Calls Off]]</f>
        <v>22823</v>
      </c>
      <c r="L87" s="1">
        <f>L86+Table2[[#This Row],[Calls Ans]]</f>
        <v>20956</v>
      </c>
      <c r="M87" s="17">
        <v>0.83</v>
      </c>
      <c r="N87" s="17">
        <v>0.06</v>
      </c>
      <c r="O87" s="17">
        <v>0.94</v>
      </c>
      <c r="P87" s="17">
        <v>0.56999999999999995</v>
      </c>
      <c r="Q87" s="17">
        <v>1</v>
      </c>
      <c r="R87" s="1">
        <v>207</v>
      </c>
      <c r="S87" s="1">
        <v>0</v>
      </c>
      <c r="T87" s="371">
        <v>4</v>
      </c>
      <c r="U87" s="370" t="str">
        <f t="shared" si="43"/>
        <v>Outlier</v>
      </c>
      <c r="V87" s="370" t="str">
        <f t="shared" si="44"/>
        <v>Normal</v>
      </c>
      <c r="W87" s="407">
        <f t="shared" si="45"/>
        <v>0.11724137931034483</v>
      </c>
      <c r="X87" s="407">
        <f t="shared" si="46"/>
        <v>0.10218978102189781</v>
      </c>
    </row>
    <row r="88" spans="1:25">
      <c r="A88" s="21">
        <v>45469</v>
      </c>
      <c r="B88" s="16">
        <f>IF(YEAR(Table6[[#This Row],[Date]]) = 2024, WEEKNUM(Table6[[#This Row],[Date]])-13, WEEKNUM(Table6[[#This Row],[Date]])+40)</f>
        <v>13</v>
      </c>
      <c r="C88" s="32" t="s">
        <v>50</v>
      </c>
      <c r="D88" s="301" t="s">
        <v>48</v>
      </c>
      <c r="E88" s="28">
        <v>353</v>
      </c>
      <c r="F88" s="28">
        <v>338</v>
      </c>
      <c r="G88" s="61">
        <f t="shared" si="55"/>
        <v>1.4367816091954023E-2</v>
      </c>
      <c r="H88" s="61">
        <f t="shared" si="56"/>
        <v>0.2290909090909091</v>
      </c>
      <c r="I88" s="28">
        <f t="shared" ref="I88:I91" si="57">I87+E88</f>
        <v>6239</v>
      </c>
      <c r="J88" s="28">
        <f t="shared" ref="J88:J91" si="58">J87+F88</f>
        <v>5752</v>
      </c>
      <c r="K88" s="28">
        <f>K87+Table2[[#This Row],[Calls Off]]</f>
        <v>23176</v>
      </c>
      <c r="L88" s="28">
        <f>L87+Table2[[#This Row],[Calls Ans]]</f>
        <v>21294</v>
      </c>
      <c r="M88" s="33">
        <v>0.88</v>
      </c>
      <c r="N88" s="33">
        <v>0.04</v>
      </c>
      <c r="O88" s="33">
        <v>0.96</v>
      </c>
      <c r="P88" s="33">
        <v>0.6</v>
      </c>
      <c r="Q88" s="33">
        <v>1</v>
      </c>
      <c r="R88" s="28">
        <v>210</v>
      </c>
      <c r="S88" s="28">
        <v>0</v>
      </c>
      <c r="T88" s="371">
        <v>4</v>
      </c>
      <c r="U88" s="370" t="str">
        <f t="shared" si="43"/>
        <v>Outlier</v>
      </c>
      <c r="V88" s="370" t="str">
        <f t="shared" si="44"/>
        <v>Normal</v>
      </c>
      <c r="W88" s="407">
        <f t="shared" si="45"/>
        <v>1.4367816091954023E-2</v>
      </c>
      <c r="X88" s="407">
        <f t="shared" si="46"/>
        <v>0.2290909090909091</v>
      </c>
    </row>
    <row r="89" spans="1:25">
      <c r="A89" s="21">
        <v>45470</v>
      </c>
      <c r="B89" s="16">
        <f>IF(YEAR(Table6[[#This Row],[Date]]) = 2024, WEEKNUM(Table6[[#This Row],[Date]])-13, WEEKNUM(Table6[[#This Row],[Date]])+40)</f>
        <v>13</v>
      </c>
      <c r="C89" s="9" t="s">
        <v>51</v>
      </c>
      <c r="D89" s="301" t="s">
        <v>48</v>
      </c>
      <c r="E89" s="1">
        <v>309</v>
      </c>
      <c r="F89" s="1">
        <v>294</v>
      </c>
      <c r="G89" s="61">
        <f t="shared" si="55"/>
        <v>8.4210526315789472E-2</v>
      </c>
      <c r="H89" s="61">
        <f t="shared" si="56"/>
        <v>8.8888888888888892E-2</v>
      </c>
      <c r="I89" s="1">
        <f t="shared" si="57"/>
        <v>6548</v>
      </c>
      <c r="J89" s="1">
        <f t="shared" si="58"/>
        <v>6046</v>
      </c>
      <c r="K89" s="1">
        <f>K88+Table2[[#This Row],[Calls Off]]</f>
        <v>23485</v>
      </c>
      <c r="L89" s="1">
        <f>L88+Table2[[#This Row],[Calls Ans]]</f>
        <v>21588</v>
      </c>
      <c r="M89" s="17">
        <v>0.88</v>
      </c>
      <c r="N89" s="17">
        <v>0.05</v>
      </c>
      <c r="O89" s="17">
        <v>0.95</v>
      </c>
      <c r="P89" s="17">
        <v>0.53</v>
      </c>
      <c r="Q89" s="17">
        <v>1</v>
      </c>
      <c r="R89" s="1">
        <v>191</v>
      </c>
      <c r="S89" s="1">
        <v>0</v>
      </c>
      <c r="T89" s="371">
        <v>4</v>
      </c>
      <c r="U89" s="370" t="str">
        <f t="shared" si="43"/>
        <v>Outlier</v>
      </c>
      <c r="V89" s="370" t="str">
        <f t="shared" si="44"/>
        <v>Normal</v>
      </c>
      <c r="W89" s="407">
        <f t="shared" si="45"/>
        <v>8.4210526315789472E-2</v>
      </c>
      <c r="X89" s="407">
        <f t="shared" si="46"/>
        <v>8.8888888888888892E-2</v>
      </c>
    </row>
    <row r="90" spans="1:25">
      <c r="A90" s="21">
        <v>45471</v>
      </c>
      <c r="B90" s="16">
        <f>IF(YEAR(Table6[[#This Row],[Date]]) = 2024, WEEKNUM(Table6[[#This Row],[Date]])-13, WEEKNUM(Table6[[#This Row],[Date]])+40)</f>
        <v>13</v>
      </c>
      <c r="C90" s="32" t="s">
        <v>52</v>
      </c>
      <c r="D90" s="301" t="s">
        <v>48</v>
      </c>
      <c r="E90" s="28">
        <v>359</v>
      </c>
      <c r="F90" s="28">
        <v>336</v>
      </c>
      <c r="G90" s="61">
        <f t="shared" si="55"/>
        <v>0.32962962962962961</v>
      </c>
      <c r="H90" s="61">
        <f t="shared" si="56"/>
        <v>0.28735632183908044</v>
      </c>
      <c r="I90" s="28">
        <f t="shared" si="57"/>
        <v>6907</v>
      </c>
      <c r="J90" s="28">
        <f t="shared" si="58"/>
        <v>6382</v>
      </c>
      <c r="K90" s="28">
        <f>K89+Table2[[#This Row],[Calls Off]]</f>
        <v>23844</v>
      </c>
      <c r="L90" s="28">
        <f>L89+Table2[[#This Row],[Calls Ans]]</f>
        <v>21924</v>
      </c>
      <c r="M90" s="33">
        <v>0.88</v>
      </c>
      <c r="N90" s="33">
        <v>0.06</v>
      </c>
      <c r="O90" s="33">
        <v>0.94</v>
      </c>
      <c r="P90" s="33">
        <v>0.64</v>
      </c>
      <c r="Q90" s="33">
        <v>1</v>
      </c>
      <c r="R90" s="28">
        <v>213</v>
      </c>
      <c r="S90" s="28">
        <v>0</v>
      </c>
      <c r="T90" s="371">
        <v>4</v>
      </c>
      <c r="U90" s="370" t="str">
        <f t="shared" si="43"/>
        <v>Outlier</v>
      </c>
      <c r="V90" s="370" t="str">
        <f t="shared" si="44"/>
        <v>Normal</v>
      </c>
      <c r="W90" s="407">
        <f t="shared" si="45"/>
        <v>0.32962962962962961</v>
      </c>
      <c r="X90" s="407">
        <f t="shared" si="46"/>
        <v>0.28735632183908044</v>
      </c>
    </row>
    <row r="91" spans="1:25">
      <c r="A91" s="21">
        <v>45472</v>
      </c>
      <c r="B91" s="16">
        <f>IF(YEAR(Table6[[#This Row],[Date]]) = 2024, WEEKNUM(Table6[[#This Row],[Date]])-13, WEEKNUM(Table6[[#This Row],[Date]])+40)</f>
        <v>13</v>
      </c>
      <c r="C91" s="9" t="s">
        <v>53</v>
      </c>
      <c r="D91" s="301" t="s">
        <v>48</v>
      </c>
      <c r="E91" s="1">
        <v>113</v>
      </c>
      <c r="F91" s="1">
        <v>110</v>
      </c>
      <c r="G91" s="61">
        <f t="shared" si="55"/>
        <v>0.24175824175824176</v>
      </c>
      <c r="H91" s="61">
        <f t="shared" si="56"/>
        <v>0.23595505617977527</v>
      </c>
      <c r="I91" s="1">
        <f t="shared" si="57"/>
        <v>7020</v>
      </c>
      <c r="J91" s="1">
        <f t="shared" si="58"/>
        <v>6492</v>
      </c>
      <c r="K91" s="1">
        <f>K90+Table2[[#This Row],[Calls Off]]</f>
        <v>23957</v>
      </c>
      <c r="L91" s="1">
        <f>L90+Table2[[#This Row],[Calls Ans]]</f>
        <v>22034</v>
      </c>
      <c r="M91" s="17">
        <v>0.96</v>
      </c>
      <c r="N91" s="17">
        <v>0.03</v>
      </c>
      <c r="O91" s="17">
        <v>0.97</v>
      </c>
      <c r="P91" s="17">
        <v>0.59</v>
      </c>
      <c r="Q91" s="17">
        <v>1</v>
      </c>
      <c r="R91" s="1">
        <v>251</v>
      </c>
      <c r="S91" s="1">
        <v>0</v>
      </c>
      <c r="T91" s="371">
        <v>3</v>
      </c>
      <c r="U91" s="370" t="str">
        <f t="shared" si="43"/>
        <v>Outlier</v>
      </c>
      <c r="V91" s="370" t="str">
        <f t="shared" si="44"/>
        <v>Normal</v>
      </c>
      <c r="W91" s="407">
        <f t="shared" si="45"/>
        <v>0.24175824175824176</v>
      </c>
      <c r="X91" s="407">
        <f t="shared" si="46"/>
        <v>0.23595505617977527</v>
      </c>
    </row>
    <row r="92" spans="1:25">
      <c r="A92" s="21">
        <v>45473</v>
      </c>
      <c r="B92" s="16">
        <f>IF(YEAR(Table6[[#This Row],[Date]]) = 2024, WEEKNUM(Table6[[#This Row],[Date]])-13, WEEKNUM(Table6[[#This Row],[Date]])+40)</f>
        <v>14</v>
      </c>
      <c r="C92" s="78" t="s">
        <v>54</v>
      </c>
      <c r="D92" s="301" t="s">
        <v>48</v>
      </c>
      <c r="E92" s="73">
        <v>0</v>
      </c>
      <c r="F92" s="73">
        <v>0</v>
      </c>
      <c r="G92" s="61">
        <v>0</v>
      </c>
      <c r="H92" s="61">
        <v>0</v>
      </c>
      <c r="I92" s="73">
        <v>0</v>
      </c>
      <c r="J92" s="73">
        <v>0</v>
      </c>
      <c r="K92" s="73">
        <v>0</v>
      </c>
      <c r="L92" s="73">
        <v>0</v>
      </c>
      <c r="M92" s="79">
        <v>0</v>
      </c>
      <c r="N92" s="79">
        <v>0</v>
      </c>
      <c r="O92" s="79">
        <v>0</v>
      </c>
      <c r="P92" s="79">
        <v>0</v>
      </c>
      <c r="Q92" s="79">
        <v>0</v>
      </c>
      <c r="R92" s="28">
        <v>0</v>
      </c>
      <c r="S92" s="28">
        <v>0</v>
      </c>
      <c r="T92" s="371">
        <v>0</v>
      </c>
      <c r="U92" s="370" t="str">
        <f t="shared" si="43"/>
        <v>Normal</v>
      </c>
      <c r="V92" s="370" t="str">
        <f t="shared" si="44"/>
        <v>Normal</v>
      </c>
      <c r="W92" s="407">
        <f t="shared" si="45"/>
        <v>0</v>
      </c>
      <c r="X92" s="407">
        <f t="shared" si="46"/>
        <v>0</v>
      </c>
    </row>
    <row r="93" spans="1:25">
      <c r="A93" s="21">
        <v>45474</v>
      </c>
      <c r="B93" s="16">
        <f>IF(YEAR(Table6[[#This Row],[Date]]) = 2024, WEEKNUM(Table6[[#This Row],[Date]])-13, WEEKNUM(Table6[[#This Row],[Date]])+40)</f>
        <v>14</v>
      </c>
      <c r="C93" s="9" t="s">
        <v>55</v>
      </c>
      <c r="D93" s="301" t="s">
        <v>48</v>
      </c>
      <c r="E93" s="1">
        <v>0</v>
      </c>
      <c r="F93" s="1">
        <v>0</v>
      </c>
      <c r="G93" s="61">
        <v>0</v>
      </c>
      <c r="H93" s="61">
        <v>0</v>
      </c>
      <c r="I93" s="1">
        <v>0</v>
      </c>
      <c r="J93" s="1">
        <v>0</v>
      </c>
      <c r="K93" s="1">
        <v>0</v>
      </c>
      <c r="L93" s="1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">
        <v>0</v>
      </c>
      <c r="S93" s="1">
        <v>0</v>
      </c>
      <c r="T93" s="371">
        <v>0</v>
      </c>
      <c r="U93" s="370" t="str">
        <f t="shared" si="43"/>
        <v>Normal</v>
      </c>
      <c r="V93" s="370" t="str">
        <f t="shared" si="44"/>
        <v>Normal</v>
      </c>
      <c r="W93" s="407">
        <f t="shared" si="45"/>
        <v>0</v>
      </c>
      <c r="X93" s="407">
        <f t="shared" si="46"/>
        <v>0</v>
      </c>
      <c r="Y93" t="s">
        <v>147</v>
      </c>
    </row>
    <row r="94" spans="1:25">
      <c r="A94" s="21">
        <v>45475</v>
      </c>
      <c r="B94" s="16">
        <f>IF(YEAR(Table6[[#This Row],[Date]]) = 2024, WEEKNUM(Table6[[#This Row],[Date]])-13, WEEKNUM(Table6[[#This Row],[Date]])+40)</f>
        <v>14</v>
      </c>
      <c r="C94" s="32" t="s">
        <v>49</v>
      </c>
      <c r="D94" s="301" t="s">
        <v>48</v>
      </c>
      <c r="E94" s="28">
        <v>289</v>
      </c>
      <c r="F94" s="28">
        <v>286</v>
      </c>
      <c r="G94" s="61">
        <f t="shared" ref="G94:G98" si="59">(E94-E87)/E87</f>
        <v>-0.10802469135802469</v>
      </c>
      <c r="H94" s="61">
        <f t="shared" ref="H94:H98" si="60">(F94-F87)/F87</f>
        <v>-5.2980132450331126E-2</v>
      </c>
      <c r="I94" s="28">
        <f>I93+E94</f>
        <v>289</v>
      </c>
      <c r="J94" s="28">
        <f>J93+F94</f>
        <v>286</v>
      </c>
      <c r="K94" s="28">
        <f>K91+Table2[[#This Row],[Calls Off]]</f>
        <v>24246</v>
      </c>
      <c r="L94" s="28">
        <f>L91+Table2[[#This Row],[Calls Ans]]</f>
        <v>22320</v>
      </c>
      <c r="M94" s="33">
        <v>0.94</v>
      </c>
      <c r="N94" s="33">
        <v>0.01</v>
      </c>
      <c r="O94" s="33">
        <v>0.99</v>
      </c>
      <c r="P94" s="33">
        <v>0.52</v>
      </c>
      <c r="Q94" s="33">
        <v>1</v>
      </c>
      <c r="R94" s="28">
        <v>199</v>
      </c>
      <c r="S94" s="28">
        <v>0</v>
      </c>
      <c r="T94" s="371">
        <v>4</v>
      </c>
      <c r="U94" s="370" t="str">
        <f t="shared" si="43"/>
        <v>Outlier</v>
      </c>
      <c r="V94" s="370" t="str">
        <f t="shared" si="44"/>
        <v>Normal</v>
      </c>
      <c r="W94" s="407">
        <f t="shared" si="45"/>
        <v>-0.10802469135802469</v>
      </c>
      <c r="X94" s="407">
        <f t="shared" si="46"/>
        <v>-5.2980132450331126E-2</v>
      </c>
    </row>
    <row r="95" spans="1:25">
      <c r="A95" s="21">
        <v>45476</v>
      </c>
      <c r="B95" s="16">
        <f>IF(YEAR(Table6[[#This Row],[Date]]) = 2024, WEEKNUM(Table6[[#This Row],[Date]])-13, WEEKNUM(Table6[[#This Row],[Date]])+40)</f>
        <v>14</v>
      </c>
      <c r="C95" s="9" t="s">
        <v>50</v>
      </c>
      <c r="D95" s="301" t="s">
        <v>48</v>
      </c>
      <c r="E95" s="1">
        <v>305</v>
      </c>
      <c r="F95" s="1">
        <v>287</v>
      </c>
      <c r="G95" s="61">
        <f t="shared" si="59"/>
        <v>-0.1359773371104816</v>
      </c>
      <c r="H95" s="61">
        <f t="shared" si="60"/>
        <v>-0.15088757396449703</v>
      </c>
      <c r="I95" s="1">
        <f t="shared" ref="I95:I98" si="61">I94+E95</f>
        <v>594</v>
      </c>
      <c r="J95" s="1">
        <f t="shared" ref="J95:J98" si="62">J94+F95</f>
        <v>573</v>
      </c>
      <c r="K95" s="1">
        <f>K94+Table2[[#This Row],[Calls Off]]</f>
        <v>24551</v>
      </c>
      <c r="L95" s="1">
        <f>L94+Table2[[#This Row],[Calls Ans]]</f>
        <v>22607</v>
      </c>
      <c r="M95" s="17">
        <v>0.88</v>
      </c>
      <c r="N95" s="17">
        <v>0.06</v>
      </c>
      <c r="O95" s="17">
        <v>0.94</v>
      </c>
      <c r="P95" s="17">
        <v>0.52</v>
      </c>
      <c r="Q95" s="17">
        <v>1</v>
      </c>
      <c r="R95" s="1">
        <v>195</v>
      </c>
      <c r="S95" s="1">
        <v>0</v>
      </c>
      <c r="T95" s="371">
        <v>4</v>
      </c>
      <c r="U95" s="370" t="str">
        <f t="shared" si="43"/>
        <v>Outlier</v>
      </c>
      <c r="V95" s="370" t="str">
        <f t="shared" si="44"/>
        <v>Normal</v>
      </c>
      <c r="W95" s="407">
        <f t="shared" si="45"/>
        <v>-0.1359773371104816</v>
      </c>
      <c r="X95" s="407">
        <f t="shared" si="46"/>
        <v>-0.15088757396449703</v>
      </c>
    </row>
    <row r="96" spans="1:25">
      <c r="A96" s="21">
        <v>45477</v>
      </c>
      <c r="B96" s="16">
        <f>IF(YEAR(Table6[[#This Row],[Date]]) = 2024, WEEKNUM(Table6[[#This Row],[Date]])-13, WEEKNUM(Table6[[#This Row],[Date]])+40)</f>
        <v>14</v>
      </c>
      <c r="C96" s="32" t="s">
        <v>51</v>
      </c>
      <c r="D96" s="301" t="s">
        <v>48</v>
      </c>
      <c r="E96" s="28">
        <v>317</v>
      </c>
      <c r="F96" s="28">
        <v>294</v>
      </c>
      <c r="G96" s="61">
        <f t="shared" si="59"/>
        <v>2.5889967637540454E-2</v>
      </c>
      <c r="H96" s="61">
        <f t="shared" si="60"/>
        <v>0</v>
      </c>
      <c r="I96" s="28">
        <f t="shared" si="61"/>
        <v>911</v>
      </c>
      <c r="J96" s="28">
        <f t="shared" si="62"/>
        <v>867</v>
      </c>
      <c r="K96" s="28">
        <f>K95+Table2[[#This Row],[Calls Off]]</f>
        <v>24868</v>
      </c>
      <c r="L96" s="28">
        <f>L95+Table2[[#This Row],[Calls Ans]]</f>
        <v>22901</v>
      </c>
      <c r="M96" s="33">
        <v>0.79</v>
      </c>
      <c r="N96" s="33">
        <v>7.0000000000000007E-2</v>
      </c>
      <c r="O96" s="33">
        <v>0.93</v>
      </c>
      <c r="P96" s="33">
        <v>0.54</v>
      </c>
      <c r="Q96" s="33">
        <v>1</v>
      </c>
      <c r="R96" s="28">
        <v>181</v>
      </c>
      <c r="S96" s="28">
        <v>0</v>
      </c>
      <c r="T96" s="371">
        <v>4</v>
      </c>
      <c r="U96" s="370" t="str">
        <f t="shared" si="43"/>
        <v>Outlier</v>
      </c>
      <c r="V96" s="370" t="str">
        <f t="shared" si="44"/>
        <v>Normal</v>
      </c>
      <c r="W96" s="407">
        <f t="shared" si="45"/>
        <v>2.5889967637540454E-2</v>
      </c>
      <c r="X96" s="407">
        <f t="shared" si="46"/>
        <v>0</v>
      </c>
    </row>
    <row r="97" spans="1:24">
      <c r="A97" s="21">
        <v>45478</v>
      </c>
      <c r="B97" s="16">
        <f>IF(YEAR(Table6[[#This Row],[Date]]) = 2024, WEEKNUM(Table6[[#This Row],[Date]])-13, WEEKNUM(Table6[[#This Row],[Date]])+40)</f>
        <v>14</v>
      </c>
      <c r="C97" s="31" t="s">
        <v>52</v>
      </c>
      <c r="D97" s="301" t="s">
        <v>48</v>
      </c>
      <c r="E97" s="39">
        <v>319</v>
      </c>
      <c r="F97" s="1">
        <v>300</v>
      </c>
      <c r="G97" s="61">
        <f t="shared" si="59"/>
        <v>-0.11142061281337047</v>
      </c>
      <c r="H97" s="61">
        <f t="shared" si="60"/>
        <v>-0.10714285714285714</v>
      </c>
      <c r="I97" s="1">
        <f t="shared" si="61"/>
        <v>1230</v>
      </c>
      <c r="J97" s="1">
        <f t="shared" si="62"/>
        <v>1167</v>
      </c>
      <c r="K97" s="1">
        <f>K96+Table2[[#This Row],[Calls Off]]</f>
        <v>25187</v>
      </c>
      <c r="L97" s="1">
        <f>L96+Table2[[#This Row],[Calls Ans]]</f>
        <v>23201</v>
      </c>
      <c r="M97" s="17">
        <v>0.88</v>
      </c>
      <c r="N97" s="17">
        <v>0.06</v>
      </c>
      <c r="O97" s="17">
        <v>0.94</v>
      </c>
      <c r="P97" s="17">
        <v>0.55000000000000004</v>
      </c>
      <c r="Q97" s="17">
        <v>1</v>
      </c>
      <c r="R97" s="1">
        <v>200</v>
      </c>
      <c r="S97" s="1">
        <v>0</v>
      </c>
      <c r="T97" s="371">
        <v>4</v>
      </c>
      <c r="U97" s="370" t="str">
        <f t="shared" si="43"/>
        <v>Outlier</v>
      </c>
      <c r="V97" s="370" t="str">
        <f t="shared" si="44"/>
        <v>Normal</v>
      </c>
      <c r="W97" s="407">
        <f t="shared" si="45"/>
        <v>-0.11142061281337047</v>
      </c>
      <c r="X97" s="407">
        <f t="shared" si="46"/>
        <v>-0.10714285714285714</v>
      </c>
    </row>
    <row r="98" spans="1:24">
      <c r="A98" s="21">
        <v>45479</v>
      </c>
      <c r="B98" s="16">
        <f>IF(YEAR(Table6[[#This Row],[Date]]) = 2024, WEEKNUM(Table6[[#This Row],[Date]])-13, WEEKNUM(Table6[[#This Row],[Date]])+40)</f>
        <v>14</v>
      </c>
      <c r="C98" s="30" t="s">
        <v>53</v>
      </c>
      <c r="D98" s="301" t="s">
        <v>48</v>
      </c>
      <c r="E98" s="38">
        <v>110</v>
      </c>
      <c r="F98" s="28">
        <v>102</v>
      </c>
      <c r="G98" s="61">
        <f t="shared" si="59"/>
        <v>-2.6548672566371681E-2</v>
      </c>
      <c r="H98" s="61">
        <f t="shared" si="60"/>
        <v>-7.2727272727272724E-2</v>
      </c>
      <c r="I98" s="28">
        <f t="shared" si="61"/>
        <v>1340</v>
      </c>
      <c r="J98" s="28">
        <f t="shared" si="62"/>
        <v>1269</v>
      </c>
      <c r="K98" s="28">
        <f>K97+Table2[[#This Row],[Calls Off]]</f>
        <v>25297</v>
      </c>
      <c r="L98" s="28">
        <f>L97+Table2[[#This Row],[Calls Ans]]</f>
        <v>23303</v>
      </c>
      <c r="M98" s="33">
        <v>0.89</v>
      </c>
      <c r="N98" s="33">
        <v>7.0000000000000007E-2</v>
      </c>
      <c r="O98" s="33">
        <v>0.93</v>
      </c>
      <c r="P98" s="33">
        <v>0.33</v>
      </c>
      <c r="Q98" s="33">
        <v>1</v>
      </c>
      <c r="R98" s="28">
        <v>166</v>
      </c>
      <c r="S98" s="28">
        <v>0</v>
      </c>
      <c r="T98" s="371">
        <v>3</v>
      </c>
      <c r="U98" s="370" t="str">
        <f t="shared" si="43"/>
        <v>Outlier</v>
      </c>
      <c r="V98" s="370" t="str">
        <f t="shared" si="44"/>
        <v>Normal</v>
      </c>
      <c r="W98" s="407">
        <f t="shared" si="45"/>
        <v>-2.6548672566371681E-2</v>
      </c>
      <c r="X98" s="407">
        <f t="shared" si="46"/>
        <v>-7.2727272727272724E-2</v>
      </c>
    </row>
    <row r="99" spans="1:24">
      <c r="A99" s="21">
        <v>45480</v>
      </c>
      <c r="B99" s="16">
        <f>IF(YEAR(Table6[[#This Row],[Date]]) = 2024, WEEKNUM(Table6[[#This Row],[Date]])-13, WEEKNUM(Table6[[#This Row],[Date]])+40)</f>
        <v>15</v>
      </c>
      <c r="C99" s="31" t="s">
        <v>54</v>
      </c>
      <c r="D99" s="301" t="s">
        <v>48</v>
      </c>
      <c r="E99" s="39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v>0</v>
      </c>
      <c r="L99" s="1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">
        <v>0</v>
      </c>
      <c r="S99" s="1">
        <v>0</v>
      </c>
      <c r="T99" s="371">
        <v>0</v>
      </c>
      <c r="U99" s="370" t="str">
        <f t="shared" si="43"/>
        <v>Normal</v>
      </c>
      <c r="V99" s="370" t="str">
        <f t="shared" si="44"/>
        <v>Normal</v>
      </c>
      <c r="W99" s="407">
        <f t="shared" si="45"/>
        <v>0</v>
      </c>
      <c r="X99" s="407">
        <f t="shared" si="46"/>
        <v>0</v>
      </c>
    </row>
    <row r="100" spans="1:24">
      <c r="A100" s="21">
        <v>45481</v>
      </c>
      <c r="B100" s="16">
        <f>IF(YEAR(Table6[[#This Row],[Date]]) = 2024, WEEKNUM(Table6[[#This Row],[Date]])-13, WEEKNUM(Table6[[#This Row],[Date]])+40)</f>
        <v>15</v>
      </c>
      <c r="C100" s="30" t="s">
        <v>55</v>
      </c>
      <c r="D100" s="301" t="s">
        <v>48</v>
      </c>
      <c r="E100" s="38">
        <v>311</v>
      </c>
      <c r="F100" s="28">
        <v>292</v>
      </c>
      <c r="G100" s="61">
        <v>0</v>
      </c>
      <c r="H100" s="61">
        <v>0</v>
      </c>
      <c r="I100" s="28">
        <f>I98+Table2[[#This Row],[Calls Off]]</f>
        <v>1651</v>
      </c>
      <c r="J100" s="28">
        <f>J98+Table2[[#This Row],[Calls Ans]]</f>
        <v>1561</v>
      </c>
      <c r="K100" s="28">
        <f>K98+Table2[[#This Row],[Calls Off]]</f>
        <v>25608</v>
      </c>
      <c r="L100" s="28">
        <f>L98+Table2[[#This Row],[Calls Ans]]</f>
        <v>23595</v>
      </c>
      <c r="M100" s="33">
        <v>0.87</v>
      </c>
      <c r="N100" s="33">
        <v>0.06</v>
      </c>
      <c r="O100" s="33">
        <v>0.94</v>
      </c>
      <c r="P100" s="33">
        <v>0.54</v>
      </c>
      <c r="Q100" s="33">
        <v>1</v>
      </c>
      <c r="R100" s="28">
        <v>202</v>
      </c>
      <c r="S100" s="28">
        <v>0</v>
      </c>
      <c r="T100" s="371">
        <v>4</v>
      </c>
      <c r="U100" s="370" t="str">
        <f t="shared" si="43"/>
        <v>Outlier</v>
      </c>
      <c r="V100" s="370" t="str">
        <f t="shared" si="44"/>
        <v>Normal</v>
      </c>
      <c r="W100" s="407">
        <f t="shared" si="45"/>
        <v>0</v>
      </c>
      <c r="X100" s="407">
        <f t="shared" si="46"/>
        <v>0</v>
      </c>
    </row>
    <row r="101" spans="1:24">
      <c r="A101" s="21">
        <v>45482</v>
      </c>
      <c r="B101" s="16">
        <f>IF(YEAR(Table6[[#This Row],[Date]]) = 2024, WEEKNUM(Table6[[#This Row],[Date]])-13, WEEKNUM(Table6[[#This Row],[Date]])+40)</f>
        <v>15</v>
      </c>
      <c r="C101" s="31" t="s">
        <v>49</v>
      </c>
      <c r="D101" s="301" t="s">
        <v>48</v>
      </c>
      <c r="E101" s="39">
        <v>278</v>
      </c>
      <c r="F101" s="1">
        <v>264</v>
      </c>
      <c r="G101" s="61">
        <f t="shared" ref="G101:G105" si="63">(E101-E94)/E94</f>
        <v>-3.8062283737024222E-2</v>
      </c>
      <c r="H101" s="61">
        <f t="shared" ref="H101:H105" si="64">(F101-F94)/F94</f>
        <v>-7.6923076923076927E-2</v>
      </c>
      <c r="I101" s="1">
        <f>I100+E101</f>
        <v>1929</v>
      </c>
      <c r="J101" s="1">
        <f>J100+F101</f>
        <v>1825</v>
      </c>
      <c r="K101" s="1">
        <f>K100+Table2[[#This Row],[Calls Off]]</f>
        <v>25886</v>
      </c>
      <c r="L101" s="1">
        <f>L100+Table2[[#This Row],[Calls Ans]]</f>
        <v>23859</v>
      </c>
      <c r="M101" s="17">
        <v>0.9</v>
      </c>
      <c r="N101" s="17">
        <v>0.05</v>
      </c>
      <c r="O101" s="17">
        <v>0.95</v>
      </c>
      <c r="P101" s="17">
        <v>0.5</v>
      </c>
      <c r="Q101" s="17">
        <v>1</v>
      </c>
      <c r="R101" s="1">
        <v>207</v>
      </c>
      <c r="S101" s="1">
        <v>0</v>
      </c>
      <c r="T101" s="371">
        <v>4</v>
      </c>
      <c r="U101" s="370" t="str">
        <f t="shared" si="43"/>
        <v>Outlier</v>
      </c>
      <c r="V101" s="370" t="str">
        <f t="shared" si="44"/>
        <v>Normal</v>
      </c>
      <c r="W101" s="407">
        <f t="shared" si="45"/>
        <v>-3.8062283737024222E-2</v>
      </c>
      <c r="X101" s="407">
        <f t="shared" si="46"/>
        <v>-7.6923076923076927E-2</v>
      </c>
    </row>
    <row r="102" spans="1:24">
      <c r="A102" s="21">
        <v>45483</v>
      </c>
      <c r="B102" s="16">
        <f>IF(YEAR(Table6[[#This Row],[Date]]) = 2024, WEEKNUM(Table6[[#This Row],[Date]])-13, WEEKNUM(Table6[[#This Row],[Date]])+40)</f>
        <v>15</v>
      </c>
      <c r="C102" s="30" t="s">
        <v>50</v>
      </c>
      <c r="D102" s="301" t="s">
        <v>48</v>
      </c>
      <c r="E102" s="38">
        <v>298</v>
      </c>
      <c r="F102" s="28">
        <v>287</v>
      </c>
      <c r="G102" s="61">
        <f t="shared" si="63"/>
        <v>-2.2950819672131147E-2</v>
      </c>
      <c r="H102" s="61">
        <f t="shared" si="64"/>
        <v>0</v>
      </c>
      <c r="I102" s="28">
        <f t="shared" ref="I102:I105" si="65">I101+E102</f>
        <v>2227</v>
      </c>
      <c r="J102" s="28">
        <f t="shared" ref="J102:J105" si="66">J101+F102</f>
        <v>2112</v>
      </c>
      <c r="K102" s="28">
        <f>K101+Table2[[#This Row],[Calls Off]]</f>
        <v>26184</v>
      </c>
      <c r="L102" s="28">
        <f>L101+Table2[[#This Row],[Calls Ans]]</f>
        <v>24146</v>
      </c>
      <c r="M102" s="33">
        <v>0.9</v>
      </c>
      <c r="N102" s="33">
        <v>0.04</v>
      </c>
      <c r="O102" s="33">
        <v>0.96</v>
      </c>
      <c r="P102" s="33">
        <v>0.57999999999999996</v>
      </c>
      <c r="Q102" s="33">
        <v>1</v>
      </c>
      <c r="R102" s="28">
        <v>229</v>
      </c>
      <c r="S102" s="28">
        <v>0</v>
      </c>
      <c r="T102" s="371">
        <v>4</v>
      </c>
      <c r="U102" s="370" t="str">
        <f t="shared" si="43"/>
        <v>Outlier</v>
      </c>
      <c r="V102" s="370" t="str">
        <f t="shared" si="44"/>
        <v>Normal</v>
      </c>
      <c r="W102" s="407">
        <f t="shared" si="45"/>
        <v>-2.2950819672131147E-2</v>
      </c>
      <c r="X102" s="407">
        <f t="shared" si="46"/>
        <v>0</v>
      </c>
    </row>
    <row r="103" spans="1:24">
      <c r="A103" s="21">
        <v>45484</v>
      </c>
      <c r="B103" s="16">
        <f>IF(YEAR(Table6[[#This Row],[Date]]) = 2024, WEEKNUM(Table6[[#This Row],[Date]])-13, WEEKNUM(Table6[[#This Row],[Date]])+40)</f>
        <v>15</v>
      </c>
      <c r="C103" s="31" t="s">
        <v>51</v>
      </c>
      <c r="D103" s="301" t="s">
        <v>48</v>
      </c>
      <c r="E103" s="39">
        <v>295</v>
      </c>
      <c r="F103" s="39">
        <v>280</v>
      </c>
      <c r="G103" s="61">
        <f t="shared" si="63"/>
        <v>-6.9400630914826497E-2</v>
      </c>
      <c r="H103" s="61">
        <f t="shared" si="64"/>
        <v>-4.7619047619047616E-2</v>
      </c>
      <c r="I103" s="1">
        <f t="shared" si="65"/>
        <v>2522</v>
      </c>
      <c r="J103" s="1">
        <f t="shared" si="66"/>
        <v>2392</v>
      </c>
      <c r="K103" s="1">
        <f>K102+Table2[[#This Row],[Calls Off]]</f>
        <v>26479</v>
      </c>
      <c r="L103" s="1">
        <f>L102+Table2[[#This Row],[Calls Ans]]</f>
        <v>24426</v>
      </c>
      <c r="M103" s="80">
        <v>0.86</v>
      </c>
      <c r="N103" s="80">
        <v>0.05</v>
      </c>
      <c r="O103" s="80">
        <v>0.95</v>
      </c>
      <c r="P103" s="80">
        <v>0.55000000000000004</v>
      </c>
      <c r="Q103" s="80">
        <v>1</v>
      </c>
      <c r="R103" s="1">
        <v>220</v>
      </c>
      <c r="S103" s="1">
        <v>0</v>
      </c>
      <c r="T103" s="371">
        <v>4</v>
      </c>
      <c r="U103" s="370" t="str">
        <f t="shared" si="43"/>
        <v>Outlier</v>
      </c>
      <c r="V103" s="370" t="str">
        <f t="shared" si="44"/>
        <v>Normal</v>
      </c>
      <c r="W103" s="407">
        <f t="shared" si="45"/>
        <v>-6.9400630914826497E-2</v>
      </c>
      <c r="X103" s="407">
        <f t="shared" si="46"/>
        <v>-4.7619047619047616E-2</v>
      </c>
    </row>
    <row r="104" spans="1:24">
      <c r="A104" s="21">
        <v>45485</v>
      </c>
      <c r="B104" s="16">
        <f>IF(YEAR(Table6[[#This Row],[Date]]) = 2024, WEEKNUM(Table6[[#This Row],[Date]])-13, WEEKNUM(Table6[[#This Row],[Date]])+40)</f>
        <v>15</v>
      </c>
      <c r="C104" s="30" t="s">
        <v>52</v>
      </c>
      <c r="D104" s="301" t="s">
        <v>48</v>
      </c>
      <c r="E104" s="38">
        <v>331</v>
      </c>
      <c r="F104" s="38">
        <v>313</v>
      </c>
      <c r="G104" s="61">
        <f t="shared" si="63"/>
        <v>3.7617554858934171E-2</v>
      </c>
      <c r="H104" s="61">
        <f t="shared" si="64"/>
        <v>4.3333333333333335E-2</v>
      </c>
      <c r="I104" s="1">
        <f t="shared" si="65"/>
        <v>2853</v>
      </c>
      <c r="J104" s="1">
        <f t="shared" si="66"/>
        <v>2705</v>
      </c>
      <c r="K104" s="1">
        <f>K103+Table2[[#This Row],[Calls Off]]</f>
        <v>26810</v>
      </c>
      <c r="L104" s="1">
        <f>L103+Table2[[#This Row],[Calls Ans]]</f>
        <v>24739</v>
      </c>
      <c r="M104" s="81">
        <v>0.9</v>
      </c>
      <c r="N104" s="81">
        <v>0.05</v>
      </c>
      <c r="O104" s="81">
        <v>0.95</v>
      </c>
      <c r="P104" s="81">
        <v>0.57999999999999996</v>
      </c>
      <c r="Q104" s="81">
        <v>1</v>
      </c>
      <c r="R104" s="28">
        <v>200</v>
      </c>
      <c r="S104" s="28">
        <v>0</v>
      </c>
      <c r="T104" s="371">
        <v>4</v>
      </c>
      <c r="U104" s="370" t="str">
        <f t="shared" si="43"/>
        <v>Outlier</v>
      </c>
      <c r="V104" s="370" t="str">
        <f t="shared" si="44"/>
        <v>Normal</v>
      </c>
      <c r="W104" s="407">
        <f t="shared" si="45"/>
        <v>3.7617554858934171E-2</v>
      </c>
      <c r="X104" s="407">
        <f t="shared" si="46"/>
        <v>4.3333333333333335E-2</v>
      </c>
    </row>
    <row r="105" spans="1:24">
      <c r="A105" s="21">
        <v>45486</v>
      </c>
      <c r="B105" s="16">
        <f>IF(YEAR(Table6[[#This Row],[Date]]) = 2024, WEEKNUM(Table6[[#This Row],[Date]])-13, WEEKNUM(Table6[[#This Row],[Date]])+40)</f>
        <v>15</v>
      </c>
      <c r="C105" s="31" t="s">
        <v>53</v>
      </c>
      <c r="D105" s="301" t="s">
        <v>48</v>
      </c>
      <c r="E105" s="39">
        <v>90</v>
      </c>
      <c r="F105" s="39">
        <v>89</v>
      </c>
      <c r="G105" s="61">
        <f t="shared" si="63"/>
        <v>-0.18181818181818182</v>
      </c>
      <c r="H105" s="61">
        <f t="shared" si="64"/>
        <v>-0.12745098039215685</v>
      </c>
      <c r="I105" s="1">
        <f t="shared" si="65"/>
        <v>2943</v>
      </c>
      <c r="J105" s="1">
        <f t="shared" si="66"/>
        <v>2794</v>
      </c>
      <c r="K105" s="1">
        <f>K104+Table2[[#This Row],[Calls Off]]</f>
        <v>26900</v>
      </c>
      <c r="L105" s="1">
        <f>L104+Table2[[#This Row],[Calls Ans]]</f>
        <v>24828</v>
      </c>
      <c r="M105" s="80">
        <v>0.96</v>
      </c>
      <c r="N105" s="80">
        <v>0.01</v>
      </c>
      <c r="O105" s="80">
        <v>0.99</v>
      </c>
      <c r="P105" s="80">
        <v>0.4</v>
      </c>
      <c r="Q105" s="80">
        <v>1</v>
      </c>
      <c r="R105" s="1">
        <v>223</v>
      </c>
      <c r="S105" s="1">
        <v>0</v>
      </c>
      <c r="T105" s="371">
        <v>3</v>
      </c>
      <c r="U105" s="370" t="str">
        <f t="shared" si="43"/>
        <v>Outlier</v>
      </c>
      <c r="V105" s="370" t="str">
        <f t="shared" si="44"/>
        <v>Normal</v>
      </c>
      <c r="W105" s="407">
        <f t="shared" si="45"/>
        <v>-0.18181818181818182</v>
      </c>
      <c r="X105" s="407">
        <f t="shared" si="46"/>
        <v>-0.12745098039215685</v>
      </c>
    </row>
    <row r="106" spans="1:24">
      <c r="A106" s="21">
        <v>45487</v>
      </c>
      <c r="B106" s="16">
        <f>IF(YEAR(Table6[[#This Row],[Date]]) = 2024, WEEKNUM(Table6[[#This Row],[Date]])-13, WEEKNUM(Table6[[#This Row],[Date]])+40)</f>
        <v>16</v>
      </c>
      <c r="C106" s="30" t="s">
        <v>54</v>
      </c>
      <c r="D106" s="301" t="s">
        <v>48</v>
      </c>
      <c r="E106" s="38">
        <v>0</v>
      </c>
      <c r="F106" s="38">
        <v>0</v>
      </c>
      <c r="G106" s="61">
        <v>0</v>
      </c>
      <c r="H106" s="61">
        <v>0</v>
      </c>
      <c r="I106" s="1">
        <v>0</v>
      </c>
      <c r="J106" s="1">
        <v>0</v>
      </c>
      <c r="K106" s="1">
        <v>0</v>
      </c>
      <c r="L106" s="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28">
        <v>0</v>
      </c>
      <c r="S106" s="28">
        <v>0</v>
      </c>
      <c r="T106" s="371">
        <v>0</v>
      </c>
      <c r="U106" s="370" t="str">
        <f t="shared" si="43"/>
        <v>Normal</v>
      </c>
      <c r="V106" s="370" t="str">
        <f t="shared" si="44"/>
        <v>Normal</v>
      </c>
      <c r="W106" s="407">
        <f t="shared" si="45"/>
        <v>0</v>
      </c>
      <c r="X106" s="407">
        <f t="shared" si="46"/>
        <v>0</v>
      </c>
    </row>
    <row r="107" spans="1:24">
      <c r="A107" s="21">
        <v>45488</v>
      </c>
      <c r="B107" s="16">
        <f>IF(YEAR(Table6[[#This Row],[Date]]) = 2024, WEEKNUM(Table6[[#This Row],[Date]])-13, WEEKNUM(Table6[[#This Row],[Date]])+40)</f>
        <v>16</v>
      </c>
      <c r="C107" s="31" t="s">
        <v>55</v>
      </c>
      <c r="D107" s="301" t="s">
        <v>48</v>
      </c>
      <c r="E107" s="39">
        <v>348</v>
      </c>
      <c r="F107" s="39">
        <v>315</v>
      </c>
      <c r="G107" s="61">
        <f>(E107-E100)/E100</f>
        <v>0.11897106109324759</v>
      </c>
      <c r="H107" s="61">
        <f>(F107-F100)/F100</f>
        <v>7.8767123287671229E-2</v>
      </c>
      <c r="I107" s="1">
        <f>I105+Table2[[#This Row],[Calls Off]]</f>
        <v>3291</v>
      </c>
      <c r="J107" s="1">
        <f>J105+Table2[[#This Row],[Calls Ans]]</f>
        <v>3109</v>
      </c>
      <c r="K107" s="1">
        <f>K105+Table2[[#This Row],[Calls Off]]</f>
        <v>27248</v>
      </c>
      <c r="L107" s="1">
        <f>L105+Table2[[#This Row],[Calls Ans]]</f>
        <v>25143</v>
      </c>
      <c r="M107" s="80">
        <v>0.94</v>
      </c>
      <c r="N107" s="80">
        <v>0.09</v>
      </c>
      <c r="O107" s="80">
        <v>0.91</v>
      </c>
      <c r="P107" s="80">
        <v>0.62</v>
      </c>
      <c r="Q107" s="80">
        <v>1</v>
      </c>
      <c r="R107" s="1">
        <v>213</v>
      </c>
      <c r="S107" s="1">
        <v>0</v>
      </c>
      <c r="T107" s="371">
        <v>3</v>
      </c>
      <c r="U107" s="370" t="str">
        <f t="shared" si="43"/>
        <v>Outlier</v>
      </c>
      <c r="V107" s="370" t="str">
        <f t="shared" si="44"/>
        <v>Normal</v>
      </c>
      <c r="W107" s="407">
        <f t="shared" si="45"/>
        <v>0.11897106109324759</v>
      </c>
      <c r="X107" s="407">
        <f t="shared" si="46"/>
        <v>7.8767123287671229E-2</v>
      </c>
    </row>
    <row r="108" spans="1:24">
      <c r="A108" s="21">
        <v>45489</v>
      </c>
      <c r="B108" s="16">
        <f>IF(YEAR(Table6[[#This Row],[Date]]) = 2024, WEEKNUM(Table6[[#This Row],[Date]])-13, WEEKNUM(Table6[[#This Row],[Date]])+40)</f>
        <v>16</v>
      </c>
      <c r="C108" s="30" t="s">
        <v>49</v>
      </c>
      <c r="D108" s="301" t="s">
        <v>48</v>
      </c>
      <c r="E108" s="38">
        <v>220</v>
      </c>
      <c r="F108" s="38">
        <v>207</v>
      </c>
      <c r="G108" s="61">
        <f t="shared" ref="G108:G112" si="67">(E108-E101)/E101</f>
        <v>-0.20863309352517986</v>
      </c>
      <c r="H108" s="61">
        <f t="shared" ref="H108:H112" si="68">(F108-F101)/F101</f>
        <v>-0.21590909090909091</v>
      </c>
      <c r="I108" s="1">
        <f>I107+E108</f>
        <v>3511</v>
      </c>
      <c r="J108" s="1">
        <f>J107+F108</f>
        <v>3316</v>
      </c>
      <c r="K108" s="1">
        <f>K107+Table2[[#This Row],[Calls Off]]</f>
        <v>27468</v>
      </c>
      <c r="L108" s="1">
        <f>L107+Table2[[#This Row],[Calls Ans]]</f>
        <v>25350</v>
      </c>
      <c r="M108" s="81">
        <v>0.83</v>
      </c>
      <c r="N108" s="81">
        <v>0.06</v>
      </c>
      <c r="O108" s="81">
        <v>0.94</v>
      </c>
      <c r="P108" s="81">
        <v>0.42</v>
      </c>
      <c r="Q108" s="81">
        <v>1</v>
      </c>
      <c r="R108" s="28">
        <v>334</v>
      </c>
      <c r="S108" s="28">
        <v>0</v>
      </c>
      <c r="T108" s="371">
        <v>4</v>
      </c>
      <c r="U108" s="370" t="str">
        <f t="shared" si="43"/>
        <v>Outlier</v>
      </c>
      <c r="V108" s="370" t="str">
        <f t="shared" si="44"/>
        <v>Normal</v>
      </c>
      <c r="W108" s="407">
        <f t="shared" si="45"/>
        <v>-0.20863309352517986</v>
      </c>
      <c r="X108" s="407">
        <f t="shared" si="46"/>
        <v>-0.21590909090909091</v>
      </c>
    </row>
    <row r="109" spans="1:24">
      <c r="A109" s="21">
        <v>45490</v>
      </c>
      <c r="B109" s="16">
        <f>IF(YEAR(Table6[[#This Row],[Date]]) = 2024, WEEKNUM(Table6[[#This Row],[Date]])-13, WEEKNUM(Table6[[#This Row],[Date]])+40)</f>
        <v>16</v>
      </c>
      <c r="C109" s="31" t="s">
        <v>50</v>
      </c>
      <c r="D109" s="301" t="s">
        <v>48</v>
      </c>
      <c r="E109" s="39">
        <v>329</v>
      </c>
      <c r="F109" s="39">
        <v>297</v>
      </c>
      <c r="G109" s="61">
        <f t="shared" si="67"/>
        <v>0.1040268456375839</v>
      </c>
      <c r="H109" s="61">
        <f t="shared" si="68"/>
        <v>3.484320557491289E-2</v>
      </c>
      <c r="I109" s="39">
        <f t="shared" ref="I109:I112" si="69">I108+E109</f>
        <v>3840</v>
      </c>
      <c r="J109" s="39">
        <f t="shared" ref="J109:J112" si="70">J108+F109</f>
        <v>3613</v>
      </c>
      <c r="K109" s="39">
        <f>K108+Table2[[#This Row],[Calls Off]]</f>
        <v>27797</v>
      </c>
      <c r="L109" s="39">
        <f>L108+Table2[[#This Row],[Calls Ans]]</f>
        <v>25647</v>
      </c>
      <c r="M109" s="80">
        <v>0.77</v>
      </c>
      <c r="N109" s="80">
        <v>0.1</v>
      </c>
      <c r="O109" s="80">
        <v>0.9</v>
      </c>
      <c r="P109" s="80">
        <v>0.61</v>
      </c>
      <c r="Q109" s="80">
        <v>1</v>
      </c>
      <c r="R109" s="1">
        <v>238</v>
      </c>
      <c r="S109" s="1">
        <v>0</v>
      </c>
      <c r="T109" s="371">
        <v>4</v>
      </c>
      <c r="U109" s="370" t="str">
        <f t="shared" si="43"/>
        <v>Outlier</v>
      </c>
      <c r="V109" s="370" t="str">
        <f t="shared" si="44"/>
        <v>Normal</v>
      </c>
      <c r="W109" s="407">
        <f t="shared" si="45"/>
        <v>0.1040268456375839</v>
      </c>
      <c r="X109" s="407">
        <f t="shared" si="46"/>
        <v>3.484320557491289E-2</v>
      </c>
    </row>
    <row r="110" spans="1:24">
      <c r="A110" s="21">
        <v>45491</v>
      </c>
      <c r="B110" s="16">
        <f>IF(YEAR(Table6[[#This Row],[Date]]) = 2024, WEEKNUM(Table6[[#This Row],[Date]])-13, WEEKNUM(Table6[[#This Row],[Date]])+40)</f>
        <v>16</v>
      </c>
      <c r="C110" s="31" t="s">
        <v>51</v>
      </c>
      <c r="D110" s="301" t="s">
        <v>48</v>
      </c>
      <c r="E110" s="39">
        <v>348</v>
      </c>
      <c r="F110" s="39">
        <v>315</v>
      </c>
      <c r="G110" s="61">
        <f t="shared" si="67"/>
        <v>0.17966101694915254</v>
      </c>
      <c r="H110" s="61">
        <f t="shared" si="68"/>
        <v>0.125</v>
      </c>
      <c r="I110" s="1">
        <f t="shared" si="69"/>
        <v>4188</v>
      </c>
      <c r="J110" s="1">
        <f t="shared" si="70"/>
        <v>3928</v>
      </c>
      <c r="K110" s="1">
        <f>K109+Table2[[#This Row],[Calls Off]]</f>
        <v>28145</v>
      </c>
      <c r="L110" s="1">
        <f>L109+Table2[[#This Row],[Calls Ans]]</f>
        <v>25962</v>
      </c>
      <c r="M110" s="80">
        <v>0.78</v>
      </c>
      <c r="N110" s="80">
        <v>0.09</v>
      </c>
      <c r="O110" s="80">
        <v>0.91</v>
      </c>
      <c r="P110" s="80">
        <v>0.62</v>
      </c>
      <c r="Q110" s="80">
        <v>1</v>
      </c>
      <c r="R110" s="28">
        <v>220</v>
      </c>
      <c r="S110" s="28">
        <v>0</v>
      </c>
      <c r="T110" s="371">
        <v>4</v>
      </c>
      <c r="U110" s="370" t="str">
        <f t="shared" si="43"/>
        <v>Outlier</v>
      </c>
      <c r="V110" s="370" t="str">
        <f t="shared" si="44"/>
        <v>Normal</v>
      </c>
      <c r="W110" s="407">
        <f t="shared" si="45"/>
        <v>0.17966101694915254</v>
      </c>
      <c r="X110" s="407">
        <f t="shared" si="46"/>
        <v>0.125</v>
      </c>
    </row>
    <row r="111" spans="1:24">
      <c r="A111" s="21">
        <v>45492</v>
      </c>
      <c r="B111" s="16">
        <f>IF(YEAR(Table6[[#This Row],[Date]]) = 2024, WEEKNUM(Table6[[#This Row],[Date]])-13, WEEKNUM(Table6[[#This Row],[Date]])+40)</f>
        <v>16</v>
      </c>
      <c r="C111" s="31" t="s">
        <v>52</v>
      </c>
      <c r="D111" s="301" t="s">
        <v>48</v>
      </c>
      <c r="E111" s="39">
        <v>359</v>
      </c>
      <c r="F111" s="39">
        <v>325</v>
      </c>
      <c r="G111" s="61">
        <f t="shared" si="67"/>
        <v>8.4592145015105744E-2</v>
      </c>
      <c r="H111" s="61">
        <f t="shared" si="68"/>
        <v>3.8338658146964855E-2</v>
      </c>
      <c r="I111" s="1">
        <f t="shared" si="69"/>
        <v>4547</v>
      </c>
      <c r="J111" s="1">
        <f t="shared" si="70"/>
        <v>4253</v>
      </c>
      <c r="K111" s="1">
        <f>K110+Table2[[#This Row],[Calls Off]]</f>
        <v>28504</v>
      </c>
      <c r="L111" s="1">
        <f>L110+Table2[[#This Row],[Calls Ans]]</f>
        <v>26287</v>
      </c>
      <c r="M111" s="80">
        <v>0.75</v>
      </c>
      <c r="N111" s="80">
        <v>0.09</v>
      </c>
      <c r="O111" s="80">
        <v>0.91</v>
      </c>
      <c r="P111" s="80">
        <v>0.76</v>
      </c>
      <c r="Q111" s="80">
        <v>1</v>
      </c>
      <c r="R111" s="1">
        <v>245</v>
      </c>
      <c r="S111" s="1">
        <v>0</v>
      </c>
      <c r="T111" s="371">
        <v>4</v>
      </c>
      <c r="U111" s="370" t="str">
        <f t="shared" si="43"/>
        <v>Outlier</v>
      </c>
      <c r="V111" s="370" t="str">
        <f t="shared" si="44"/>
        <v>Normal</v>
      </c>
      <c r="W111" s="407">
        <f t="shared" si="45"/>
        <v>8.4592145015105744E-2</v>
      </c>
      <c r="X111" s="407">
        <f t="shared" si="46"/>
        <v>3.8338658146964855E-2</v>
      </c>
    </row>
    <row r="112" spans="1:24">
      <c r="A112" s="21">
        <v>45493</v>
      </c>
      <c r="B112" s="16">
        <f>IF(YEAR(Table6[[#This Row],[Date]]) = 2024, WEEKNUM(Table6[[#This Row],[Date]])-13, WEEKNUM(Table6[[#This Row],[Date]])+40)</f>
        <v>16</v>
      </c>
      <c r="C112" s="31" t="s">
        <v>53</v>
      </c>
      <c r="D112" s="301" t="s">
        <v>48</v>
      </c>
      <c r="E112" s="39">
        <v>107</v>
      </c>
      <c r="F112" s="39">
        <v>107</v>
      </c>
      <c r="G112" s="61">
        <f t="shared" si="67"/>
        <v>0.18888888888888888</v>
      </c>
      <c r="H112" s="61">
        <f t="shared" si="68"/>
        <v>0.20224719101123595</v>
      </c>
      <c r="I112" s="1">
        <f t="shared" si="69"/>
        <v>4654</v>
      </c>
      <c r="J112" s="1">
        <f t="shared" si="70"/>
        <v>4360</v>
      </c>
      <c r="K112" s="1">
        <f>K111+Table2[[#This Row],[Calls Off]]</f>
        <v>28611</v>
      </c>
      <c r="L112" s="1">
        <f>L111+Table2[[#This Row],[Calls Ans]]</f>
        <v>26394</v>
      </c>
      <c r="M112" s="80">
        <v>0.94</v>
      </c>
      <c r="N112" s="80">
        <v>0</v>
      </c>
      <c r="O112" s="80">
        <v>1</v>
      </c>
      <c r="P112" s="80">
        <v>0.42</v>
      </c>
      <c r="Q112" s="80">
        <v>1</v>
      </c>
      <c r="R112" s="28">
        <v>180</v>
      </c>
      <c r="S112" s="28">
        <v>0</v>
      </c>
      <c r="T112" s="371">
        <v>3</v>
      </c>
      <c r="U112" s="370" t="str">
        <f t="shared" si="43"/>
        <v>Outlier</v>
      </c>
      <c r="V112" s="370" t="str">
        <f t="shared" si="44"/>
        <v>Normal</v>
      </c>
      <c r="W112" s="407">
        <f t="shared" si="45"/>
        <v>0.18888888888888888</v>
      </c>
      <c r="X112" s="407">
        <f t="shared" si="46"/>
        <v>0.20224719101123595</v>
      </c>
    </row>
    <row r="113" spans="1:24">
      <c r="A113" s="21">
        <v>45494</v>
      </c>
      <c r="B113" s="16">
        <f>IF(YEAR(Table6[[#This Row],[Date]]) = 2024, WEEKNUM(Table6[[#This Row],[Date]])-13, WEEKNUM(Table6[[#This Row],[Date]])+40)</f>
        <v>17</v>
      </c>
      <c r="C113" s="31" t="s">
        <v>54</v>
      </c>
      <c r="D113" s="301" t="s">
        <v>48</v>
      </c>
      <c r="E113" s="39">
        <v>0</v>
      </c>
      <c r="F113" s="39">
        <v>0</v>
      </c>
      <c r="G113" s="61">
        <v>0</v>
      </c>
      <c r="H113" s="61">
        <v>0</v>
      </c>
      <c r="I113" s="1">
        <v>0</v>
      </c>
      <c r="J113" s="1">
        <v>0</v>
      </c>
      <c r="K113" s="1">
        <v>0</v>
      </c>
      <c r="L113" s="1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1">
        <v>0</v>
      </c>
      <c r="S113" s="1">
        <v>0</v>
      </c>
      <c r="T113" s="371">
        <v>0</v>
      </c>
      <c r="U113" s="370" t="str">
        <f t="shared" si="43"/>
        <v>Normal</v>
      </c>
      <c r="V113" s="370" t="str">
        <f t="shared" si="44"/>
        <v>Normal</v>
      </c>
      <c r="W113" s="407">
        <f t="shared" si="45"/>
        <v>0</v>
      </c>
      <c r="X113" s="407">
        <f t="shared" si="46"/>
        <v>0</v>
      </c>
    </row>
    <row r="114" spans="1:24">
      <c r="A114" s="21">
        <v>45495</v>
      </c>
      <c r="B114" s="16">
        <f>IF(YEAR(Table6[[#This Row],[Date]]) = 2024, WEEKNUM(Table6[[#This Row],[Date]])-13, WEEKNUM(Table6[[#This Row],[Date]])+40)</f>
        <v>17</v>
      </c>
      <c r="C114" s="31" t="s">
        <v>55</v>
      </c>
      <c r="D114" s="301" t="s">
        <v>48</v>
      </c>
      <c r="E114" s="39">
        <v>450</v>
      </c>
      <c r="F114" s="39">
        <v>360</v>
      </c>
      <c r="G114" s="61">
        <f>(E114-E107)/E107</f>
        <v>0.29310344827586204</v>
      </c>
      <c r="H114" s="61">
        <f>(F114-F107)/F107</f>
        <v>0.14285714285714285</v>
      </c>
      <c r="I114" s="1">
        <f>I112+Table2[[#This Row],[Calls Off]]</f>
        <v>5104</v>
      </c>
      <c r="J114" s="1">
        <f>J112+Table2[[#This Row],[Calls Ans]]</f>
        <v>4720</v>
      </c>
      <c r="K114" s="1">
        <f>K112+Table2[[#This Row],[Calls Off]]</f>
        <v>29061</v>
      </c>
      <c r="L114" s="1">
        <f>L112+Table2[[#This Row],[Calls Ans]]</f>
        <v>26754</v>
      </c>
      <c r="M114" s="80">
        <v>0.57999999999999996</v>
      </c>
      <c r="N114" s="80">
        <v>0.2</v>
      </c>
      <c r="O114" s="80">
        <v>0.8</v>
      </c>
      <c r="P114" s="80">
        <v>0.74</v>
      </c>
      <c r="Q114" s="80">
        <v>1</v>
      </c>
      <c r="R114" s="28">
        <v>238</v>
      </c>
      <c r="S114" s="28">
        <v>0</v>
      </c>
      <c r="T114" s="371">
        <v>4</v>
      </c>
      <c r="U114" s="370" t="str">
        <f t="shared" si="43"/>
        <v>Outlier</v>
      </c>
      <c r="V114" s="370" t="str">
        <f t="shared" si="44"/>
        <v>Normal</v>
      </c>
      <c r="W114" s="407">
        <f t="shared" si="45"/>
        <v>0.29310344827586204</v>
      </c>
      <c r="X114" s="407">
        <f t="shared" si="46"/>
        <v>0.14285714285714285</v>
      </c>
    </row>
    <row r="115" spans="1:24">
      <c r="A115" s="21">
        <v>45496</v>
      </c>
      <c r="B115" s="16">
        <f>IF(YEAR(Table6[[#This Row],[Date]]) = 2024, WEEKNUM(Table6[[#This Row],[Date]])-13, WEEKNUM(Table6[[#This Row],[Date]])+40)</f>
        <v>17</v>
      </c>
      <c r="C115" s="31" t="s">
        <v>49</v>
      </c>
      <c r="D115" s="301" t="s">
        <v>48</v>
      </c>
      <c r="E115" s="39">
        <v>306</v>
      </c>
      <c r="F115" s="39">
        <v>275</v>
      </c>
      <c r="G115" s="61">
        <f t="shared" ref="G115:G119" si="71">(E115-E108)/E108</f>
        <v>0.39090909090909093</v>
      </c>
      <c r="H115" s="61">
        <f t="shared" ref="H115:H119" si="72">(F115-F108)/F108</f>
        <v>0.32850241545893721</v>
      </c>
      <c r="I115" s="1">
        <f>I114+E115</f>
        <v>5410</v>
      </c>
      <c r="J115" s="1">
        <f>J114+F115</f>
        <v>4995</v>
      </c>
      <c r="K115" s="1">
        <f>K114+Table2[[#This Row],[Calls Off]]</f>
        <v>29367</v>
      </c>
      <c r="L115" s="1">
        <f>L114+Table2[[#This Row],[Calls Ans]]</f>
        <v>27029</v>
      </c>
      <c r="M115" s="80">
        <v>0.8</v>
      </c>
      <c r="N115" s="80">
        <v>0.1</v>
      </c>
      <c r="O115" s="80">
        <v>0.9</v>
      </c>
      <c r="P115" s="80">
        <v>0.56000000000000005</v>
      </c>
      <c r="Q115" s="80">
        <v>1</v>
      </c>
      <c r="R115" s="1">
        <v>236</v>
      </c>
      <c r="S115" s="1">
        <v>0</v>
      </c>
      <c r="T115" s="371">
        <v>4</v>
      </c>
      <c r="U115" s="370" t="str">
        <f t="shared" si="43"/>
        <v>Outlier</v>
      </c>
      <c r="V115" s="370" t="str">
        <f t="shared" si="44"/>
        <v>Outlier</v>
      </c>
      <c r="W115" s="407">
        <f t="shared" si="45"/>
        <v>0.39090909090909093</v>
      </c>
      <c r="X115" s="407">
        <f t="shared" si="46"/>
        <v>0.32850241545893721</v>
      </c>
    </row>
    <row r="116" spans="1:24">
      <c r="A116" s="21">
        <v>45497</v>
      </c>
      <c r="B116" s="16">
        <f>IF(YEAR(Table6[[#This Row],[Date]]) = 2024, WEEKNUM(Table6[[#This Row],[Date]])-13, WEEKNUM(Table6[[#This Row],[Date]])+40)</f>
        <v>17</v>
      </c>
      <c r="C116" s="31" t="s">
        <v>50</v>
      </c>
      <c r="D116" s="301" t="s">
        <v>48</v>
      </c>
      <c r="E116" s="39">
        <v>334</v>
      </c>
      <c r="F116" s="39">
        <v>321</v>
      </c>
      <c r="G116" s="61">
        <f t="shared" si="71"/>
        <v>1.5197568389057751E-2</v>
      </c>
      <c r="H116" s="61">
        <f t="shared" si="72"/>
        <v>8.0808080808080815E-2</v>
      </c>
      <c r="I116" s="39">
        <f t="shared" ref="I116:I119" si="73">I115+E116</f>
        <v>5744</v>
      </c>
      <c r="J116" s="39">
        <f t="shared" ref="J116:J119" si="74">J115+F116</f>
        <v>5316</v>
      </c>
      <c r="K116" s="39">
        <f>K115+Table2[[#This Row],[Calls Off]]</f>
        <v>29701</v>
      </c>
      <c r="L116" s="39">
        <f>L115+Table2[[#This Row],[Calls Ans]]</f>
        <v>27350</v>
      </c>
      <c r="M116" s="80">
        <v>0.92</v>
      </c>
      <c r="N116" s="80">
        <v>0.04</v>
      </c>
      <c r="O116" s="80">
        <v>0.96</v>
      </c>
      <c r="P116" s="80">
        <v>0.62</v>
      </c>
      <c r="Q116" s="80">
        <v>1</v>
      </c>
      <c r="R116" s="28">
        <v>216</v>
      </c>
      <c r="S116" s="28">
        <v>0</v>
      </c>
      <c r="T116" s="371">
        <v>4</v>
      </c>
      <c r="U116" s="370" t="str">
        <f t="shared" si="43"/>
        <v>Outlier</v>
      </c>
      <c r="V116" s="370" t="str">
        <f t="shared" si="44"/>
        <v>Normal</v>
      </c>
      <c r="W116" s="407">
        <f t="shared" si="45"/>
        <v>1.5197568389057751E-2</v>
      </c>
      <c r="X116" s="407">
        <f t="shared" si="46"/>
        <v>8.0808080808080815E-2</v>
      </c>
    </row>
    <row r="117" spans="1:24">
      <c r="A117" s="21">
        <v>45498</v>
      </c>
      <c r="B117" s="16">
        <f>IF(YEAR(Table6[[#This Row],[Date]]) = 2024, WEEKNUM(Table6[[#This Row],[Date]])-13, WEEKNUM(Table6[[#This Row],[Date]])+40)</f>
        <v>17</v>
      </c>
      <c r="C117" s="31" t="s">
        <v>51</v>
      </c>
      <c r="D117" s="301" t="s">
        <v>48</v>
      </c>
      <c r="E117" s="39">
        <v>337</v>
      </c>
      <c r="F117" s="39">
        <v>313</v>
      </c>
      <c r="G117" s="61">
        <f t="shared" si="71"/>
        <v>-3.1609195402298854E-2</v>
      </c>
      <c r="H117" s="61">
        <f t="shared" si="72"/>
        <v>-6.3492063492063492E-3</v>
      </c>
      <c r="I117" s="1">
        <f t="shared" si="73"/>
        <v>6081</v>
      </c>
      <c r="J117" s="1">
        <f t="shared" si="74"/>
        <v>5629</v>
      </c>
      <c r="K117" s="1">
        <f>K116+Table2[[#This Row],[Calls Off]]</f>
        <v>30038</v>
      </c>
      <c r="L117" s="1">
        <f>L116+Table2[[#This Row],[Calls Ans]]</f>
        <v>27663</v>
      </c>
      <c r="M117" s="80">
        <v>0.85</v>
      </c>
      <c r="N117" s="80">
        <v>0.03</v>
      </c>
      <c r="O117" s="80">
        <v>0.97</v>
      </c>
      <c r="P117" s="80">
        <v>0.61</v>
      </c>
      <c r="Q117" s="80">
        <v>1</v>
      </c>
      <c r="R117" s="1">
        <v>217</v>
      </c>
      <c r="S117" s="1">
        <v>0</v>
      </c>
      <c r="T117" s="371">
        <v>4</v>
      </c>
      <c r="U117" s="370" t="str">
        <f t="shared" si="43"/>
        <v>Outlier</v>
      </c>
      <c r="V117" s="370" t="str">
        <f t="shared" si="44"/>
        <v>Normal</v>
      </c>
      <c r="W117" s="407">
        <f t="shared" si="45"/>
        <v>-3.1609195402298854E-2</v>
      </c>
      <c r="X117" s="407">
        <f t="shared" si="46"/>
        <v>-6.3492063492063492E-3</v>
      </c>
    </row>
    <row r="118" spans="1:24">
      <c r="A118" s="21">
        <v>45499</v>
      </c>
      <c r="B118" s="16">
        <f>IF(YEAR(Table6[[#This Row],[Date]]) = 2024, WEEKNUM(Table6[[#This Row],[Date]])-13, WEEKNUM(Table6[[#This Row],[Date]])+40)</f>
        <v>17</v>
      </c>
      <c r="C118" s="31" t="s">
        <v>52</v>
      </c>
      <c r="D118" s="301" t="s">
        <v>48</v>
      </c>
      <c r="E118" s="39">
        <v>340</v>
      </c>
      <c r="F118" s="39">
        <v>329</v>
      </c>
      <c r="G118" s="61">
        <f t="shared" si="71"/>
        <v>-5.2924791086350974E-2</v>
      </c>
      <c r="H118" s="61">
        <f t="shared" si="72"/>
        <v>1.2307692307692308E-2</v>
      </c>
      <c r="I118" s="1">
        <f t="shared" si="73"/>
        <v>6421</v>
      </c>
      <c r="J118" s="1">
        <f t="shared" si="74"/>
        <v>5958</v>
      </c>
      <c r="K118" s="1">
        <f>K117+Table2[[#This Row],[Calls Off]]</f>
        <v>30378</v>
      </c>
      <c r="L118" s="1">
        <f>L117+Table2[[#This Row],[Calls Ans]]</f>
        <v>27992</v>
      </c>
      <c r="M118" s="80">
        <v>0.86</v>
      </c>
      <c r="N118" s="80">
        <v>0.03</v>
      </c>
      <c r="O118" s="80">
        <v>0.97</v>
      </c>
      <c r="P118" s="80">
        <v>0.59</v>
      </c>
      <c r="Q118" s="80">
        <v>1</v>
      </c>
      <c r="R118" s="28">
        <v>290</v>
      </c>
      <c r="S118" s="28">
        <v>0</v>
      </c>
      <c r="T118" s="371">
        <v>4</v>
      </c>
      <c r="U118" s="370" t="str">
        <f t="shared" si="43"/>
        <v>Outlier</v>
      </c>
      <c r="V118" s="370" t="str">
        <f t="shared" si="44"/>
        <v>Normal</v>
      </c>
      <c r="W118" s="407">
        <f t="shared" si="45"/>
        <v>-5.2924791086350974E-2</v>
      </c>
      <c r="X118" s="407">
        <f t="shared" si="46"/>
        <v>1.2307692307692308E-2</v>
      </c>
    </row>
    <row r="119" spans="1:24">
      <c r="A119" s="21">
        <v>45500</v>
      </c>
      <c r="B119" s="16">
        <f>IF(YEAR(Table6[[#This Row],[Date]]) = 2024, WEEKNUM(Table6[[#This Row],[Date]])-13, WEEKNUM(Table6[[#This Row],[Date]])+40)</f>
        <v>17</v>
      </c>
      <c r="C119" s="31" t="s">
        <v>53</v>
      </c>
      <c r="D119" s="301" t="s">
        <v>48</v>
      </c>
      <c r="E119" s="39">
        <v>129</v>
      </c>
      <c r="F119" s="39">
        <v>125</v>
      </c>
      <c r="G119" s="61">
        <f t="shared" si="71"/>
        <v>0.20560747663551401</v>
      </c>
      <c r="H119" s="61">
        <f t="shared" si="72"/>
        <v>0.16822429906542055</v>
      </c>
      <c r="I119" s="1">
        <f t="shared" si="73"/>
        <v>6550</v>
      </c>
      <c r="J119" s="1">
        <f t="shared" si="74"/>
        <v>6083</v>
      </c>
      <c r="K119" s="1">
        <f>K118+Table2[[#This Row],[Calls Off]]</f>
        <v>30507</v>
      </c>
      <c r="L119" s="1">
        <f>L118+Table2[[#This Row],[Calls Ans]]</f>
        <v>28117</v>
      </c>
      <c r="M119" s="80">
        <v>0.92</v>
      </c>
      <c r="N119" s="80">
        <v>0.03</v>
      </c>
      <c r="O119" s="80">
        <v>0.97</v>
      </c>
      <c r="P119" s="80">
        <v>0.39</v>
      </c>
      <c r="Q119" s="80">
        <v>1</v>
      </c>
      <c r="R119" s="1">
        <v>296</v>
      </c>
      <c r="S119" s="1">
        <v>0</v>
      </c>
      <c r="T119" s="371">
        <v>4</v>
      </c>
      <c r="U119" s="370" t="str">
        <f t="shared" si="43"/>
        <v>Outlier</v>
      </c>
      <c r="V119" s="370" t="str">
        <f t="shared" si="44"/>
        <v>Normal</v>
      </c>
      <c r="W119" s="407">
        <f t="shared" si="45"/>
        <v>0.20560747663551401</v>
      </c>
      <c r="X119" s="407">
        <f t="shared" si="46"/>
        <v>0.16822429906542055</v>
      </c>
    </row>
    <row r="120" spans="1:24">
      <c r="A120" s="21">
        <v>45501</v>
      </c>
      <c r="B120" s="16">
        <f>IF(YEAR(Table6[[#This Row],[Date]]) = 2024, WEEKNUM(Table6[[#This Row],[Date]])-13, WEEKNUM(Table6[[#This Row],[Date]])+40)</f>
        <v>18</v>
      </c>
      <c r="C120" s="31" t="s">
        <v>54</v>
      </c>
      <c r="D120" s="301" t="s">
        <v>48</v>
      </c>
      <c r="E120" s="39">
        <v>0</v>
      </c>
      <c r="F120" s="39">
        <v>0</v>
      </c>
      <c r="G120" s="61">
        <v>0</v>
      </c>
      <c r="H120" s="61">
        <v>0</v>
      </c>
      <c r="I120" s="1">
        <v>0</v>
      </c>
      <c r="J120" s="1">
        <v>0</v>
      </c>
      <c r="K120" s="1">
        <v>0</v>
      </c>
      <c r="L120" s="1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28">
        <v>0</v>
      </c>
      <c r="S120" s="28">
        <v>0</v>
      </c>
      <c r="T120" s="371">
        <v>0</v>
      </c>
      <c r="U120" s="370" t="str">
        <f t="shared" si="43"/>
        <v>Normal</v>
      </c>
      <c r="V120" s="370" t="str">
        <f t="shared" si="44"/>
        <v>Normal</v>
      </c>
      <c r="W120" s="407">
        <f t="shared" si="45"/>
        <v>0</v>
      </c>
      <c r="X120" s="407">
        <f t="shared" si="46"/>
        <v>0</v>
      </c>
    </row>
    <row r="121" spans="1:24">
      <c r="A121" s="21">
        <v>45502</v>
      </c>
      <c r="B121" s="16">
        <f>IF(YEAR(Table6[[#This Row],[Date]]) = 2024, WEEKNUM(Table6[[#This Row],[Date]])-13, WEEKNUM(Table6[[#This Row],[Date]])+40)</f>
        <v>18</v>
      </c>
      <c r="C121" s="31" t="s">
        <v>55</v>
      </c>
      <c r="D121" s="301" t="s">
        <v>48</v>
      </c>
      <c r="E121" s="39">
        <v>435</v>
      </c>
      <c r="F121" s="39">
        <v>350</v>
      </c>
      <c r="G121" s="61">
        <f>(E121-E114)/E114</f>
        <v>-3.3333333333333333E-2</v>
      </c>
      <c r="H121" s="61">
        <f>(F121-F114)/F114</f>
        <v>-2.7777777777777776E-2</v>
      </c>
      <c r="I121" s="1">
        <f>I119+Table2[[#This Row],[Calls Off]]</f>
        <v>6985</v>
      </c>
      <c r="J121" s="1">
        <f>J119+Table2[[#This Row],[Calls Ans]]</f>
        <v>6433</v>
      </c>
      <c r="K121" s="1">
        <f>K119+Table2[[#This Row],[Calls Off]]</f>
        <v>30942</v>
      </c>
      <c r="L121" s="1">
        <f>L119+Table2[[#This Row],[Calls Ans]]</f>
        <v>28467</v>
      </c>
      <c r="M121" s="80">
        <v>0.56999999999999995</v>
      </c>
      <c r="N121" s="80">
        <v>0.2</v>
      </c>
      <c r="O121" s="80">
        <v>0.8</v>
      </c>
      <c r="P121" s="80">
        <v>0.9</v>
      </c>
      <c r="Q121" s="80">
        <v>1</v>
      </c>
      <c r="R121" s="1">
        <v>214</v>
      </c>
      <c r="S121" s="1">
        <v>0</v>
      </c>
      <c r="T121" s="371">
        <v>3</v>
      </c>
      <c r="U121" s="370" t="str">
        <f t="shared" si="43"/>
        <v>Outlier</v>
      </c>
      <c r="V121" s="370" t="str">
        <f t="shared" si="44"/>
        <v>Normal</v>
      </c>
      <c r="W121" s="407">
        <f t="shared" si="45"/>
        <v>-3.3333333333333333E-2</v>
      </c>
      <c r="X121" s="407">
        <f t="shared" si="46"/>
        <v>-2.7777777777777776E-2</v>
      </c>
    </row>
    <row r="122" spans="1:24">
      <c r="A122" s="21">
        <v>45503</v>
      </c>
      <c r="B122" s="16">
        <f>IF(YEAR(Table6[[#This Row],[Date]]) = 2024, WEEKNUM(Table6[[#This Row],[Date]])-13, WEEKNUM(Table6[[#This Row],[Date]])+40)</f>
        <v>18</v>
      </c>
      <c r="C122" s="31" t="s">
        <v>49</v>
      </c>
      <c r="D122" s="301" t="s">
        <v>48</v>
      </c>
      <c r="E122" s="39">
        <v>393</v>
      </c>
      <c r="F122" s="39">
        <v>344</v>
      </c>
      <c r="G122" s="61">
        <f t="shared" ref="G122:G126" si="75">(E122-E115)/E115</f>
        <v>0.28431372549019607</v>
      </c>
      <c r="H122" s="61">
        <f t="shared" ref="H122:H126" si="76">(F122-F115)/F115</f>
        <v>0.25090909090909091</v>
      </c>
      <c r="I122" s="1">
        <f>I121+E122</f>
        <v>7378</v>
      </c>
      <c r="J122" s="1">
        <f>J121+F122</f>
        <v>6777</v>
      </c>
      <c r="K122" s="1">
        <f>K121+Table2[[#This Row],[Calls Off]]</f>
        <v>31335</v>
      </c>
      <c r="L122" s="1">
        <f>L121+Table2[[#This Row],[Calls Ans]]</f>
        <v>28811</v>
      </c>
      <c r="M122" s="80">
        <v>0.68</v>
      </c>
      <c r="N122" s="80">
        <v>0.12</v>
      </c>
      <c r="O122" s="80">
        <v>0.88</v>
      </c>
      <c r="P122" s="80">
        <v>0.84</v>
      </c>
      <c r="Q122" s="80">
        <v>1</v>
      </c>
      <c r="R122" s="28">
        <v>199</v>
      </c>
      <c r="S122" s="28">
        <v>0</v>
      </c>
      <c r="T122" s="371">
        <v>3</v>
      </c>
      <c r="U122" s="370" t="str">
        <f t="shared" si="43"/>
        <v>Outlier</v>
      </c>
      <c r="V122" s="370" t="str">
        <f t="shared" si="44"/>
        <v>Normal</v>
      </c>
      <c r="W122" s="407">
        <f t="shared" si="45"/>
        <v>0.28431372549019607</v>
      </c>
      <c r="X122" s="407">
        <f t="shared" si="46"/>
        <v>0.25090909090909091</v>
      </c>
    </row>
    <row r="123" spans="1:24">
      <c r="A123" s="21">
        <v>45504</v>
      </c>
      <c r="B123" s="16">
        <f>IF(YEAR(Table6[[#This Row],[Date]]) = 2024, WEEKNUM(Table6[[#This Row],[Date]])-13, WEEKNUM(Table6[[#This Row],[Date]])+40)</f>
        <v>18</v>
      </c>
      <c r="C123" s="31" t="s">
        <v>50</v>
      </c>
      <c r="D123" s="301" t="s">
        <v>48</v>
      </c>
      <c r="E123" s="39">
        <v>345</v>
      </c>
      <c r="F123" s="39">
        <v>324</v>
      </c>
      <c r="G123" s="61">
        <f t="shared" si="75"/>
        <v>3.2934131736526949E-2</v>
      </c>
      <c r="H123" s="61">
        <f t="shared" si="76"/>
        <v>9.3457943925233638E-3</v>
      </c>
      <c r="I123" s="39">
        <f t="shared" ref="I123:I126" si="77">I122+E123</f>
        <v>7723</v>
      </c>
      <c r="J123" s="39">
        <f t="shared" ref="J123:J126" si="78">J122+F123</f>
        <v>7101</v>
      </c>
      <c r="K123" s="39">
        <f>K122+Table2[[#This Row],[Calls Off]]</f>
        <v>31680</v>
      </c>
      <c r="L123" s="39">
        <f>L122+Table2[[#This Row],[Calls Ans]]</f>
        <v>29135</v>
      </c>
      <c r="M123" s="80">
        <v>0.83</v>
      </c>
      <c r="N123" s="80">
        <v>0.06</v>
      </c>
      <c r="O123" s="80">
        <v>0.94</v>
      </c>
      <c r="P123" s="80">
        <v>0.79</v>
      </c>
      <c r="Q123" s="80">
        <v>1</v>
      </c>
      <c r="R123" s="1">
        <v>217</v>
      </c>
      <c r="S123" s="1">
        <v>0</v>
      </c>
      <c r="T123" s="371">
        <v>3</v>
      </c>
      <c r="U123" s="370" t="str">
        <f t="shared" si="43"/>
        <v>Outlier</v>
      </c>
      <c r="V123" s="370" t="str">
        <f t="shared" si="44"/>
        <v>Normal</v>
      </c>
      <c r="W123" s="407">
        <f t="shared" si="45"/>
        <v>3.2934131736526949E-2</v>
      </c>
      <c r="X123" s="407">
        <f t="shared" si="46"/>
        <v>9.3457943925233638E-3</v>
      </c>
    </row>
    <row r="124" spans="1:24">
      <c r="A124" s="21">
        <v>45505</v>
      </c>
      <c r="B124" s="16">
        <f>IF(YEAR(Table6[[#This Row],[Date]]) = 2024, WEEKNUM(Table6[[#This Row],[Date]])-13, WEEKNUM(Table6[[#This Row],[Date]])+40)</f>
        <v>18</v>
      </c>
      <c r="C124" s="46" t="s">
        <v>51</v>
      </c>
      <c r="D124" s="301" t="s">
        <v>48</v>
      </c>
      <c r="E124" s="88">
        <v>194</v>
      </c>
      <c r="F124" s="88">
        <v>190</v>
      </c>
      <c r="G124" s="408">
        <f t="shared" si="75"/>
        <v>-0.42433234421364985</v>
      </c>
      <c r="H124" s="408">
        <f t="shared" si="76"/>
        <v>-0.39297124600638977</v>
      </c>
      <c r="I124" s="47">
        <f t="shared" si="77"/>
        <v>7917</v>
      </c>
      <c r="J124" s="47">
        <f t="shared" si="78"/>
        <v>7291</v>
      </c>
      <c r="K124" s="47">
        <f>K123+Table2[[#This Row],[Calls Off]]</f>
        <v>31874</v>
      </c>
      <c r="L124" s="47">
        <f>L123+Table2[[#This Row],[Calls Ans]]</f>
        <v>29325</v>
      </c>
      <c r="M124" s="104">
        <v>0.91</v>
      </c>
      <c r="N124" s="104">
        <v>0.02</v>
      </c>
      <c r="O124" s="104">
        <v>0.98</v>
      </c>
      <c r="P124" s="104">
        <v>0.44</v>
      </c>
      <c r="Q124" s="104">
        <v>1</v>
      </c>
      <c r="R124" s="293">
        <v>184</v>
      </c>
      <c r="S124" s="293">
        <v>0</v>
      </c>
      <c r="T124" s="371">
        <v>3</v>
      </c>
      <c r="U124" s="370" t="str">
        <f t="shared" ref="U124:U133" si="79">IF(OR(F124&lt;$AC$5,F124&gt;$AD$5), "Outlier", "Normal")</f>
        <v>Outlier</v>
      </c>
      <c r="V124" s="407" t="str">
        <f t="shared" ref="V124:V133" si="80">IF(OR(G124&lt;$AC$5,G124&gt;$AD$5), "Outlier", "Normal")</f>
        <v>Outlier</v>
      </c>
      <c r="W124" s="407">
        <f t="shared" ref="W124:W133" si="81">IF(U124="Normal",$G124,IF($G124&lt;150%, $G124, $AC$9))</f>
        <v>-0.42433234421364985</v>
      </c>
      <c r="X124" s="407">
        <f t="shared" ref="X124:X133" si="82">IF(V124="Normal",$H124,IF($H124&lt;150%, $H124, $AG$9))</f>
        <v>-0.39297124600638977</v>
      </c>
    </row>
    <row r="125" spans="1:24">
      <c r="A125" s="21">
        <v>45506</v>
      </c>
      <c r="B125" s="16">
        <f>IF(YEAR(Table6[[#This Row],[Date]]) = 2024, WEEKNUM(Table6[[#This Row],[Date]])-13, WEEKNUM(Table6[[#This Row],[Date]])+40)</f>
        <v>18</v>
      </c>
      <c r="C125" s="31" t="s">
        <v>52</v>
      </c>
      <c r="D125" s="301" t="s">
        <v>48</v>
      </c>
      <c r="E125" s="39">
        <v>426</v>
      </c>
      <c r="F125" s="39">
        <v>381</v>
      </c>
      <c r="G125" s="61">
        <f t="shared" si="75"/>
        <v>0.25294117647058822</v>
      </c>
      <c r="H125" s="61">
        <f t="shared" si="76"/>
        <v>0.1580547112462006</v>
      </c>
      <c r="I125" s="1">
        <f t="shared" si="77"/>
        <v>8343</v>
      </c>
      <c r="J125" s="1">
        <f t="shared" si="78"/>
        <v>7672</v>
      </c>
      <c r="K125" s="1">
        <f>K124+Table2[[#This Row],[Calls Off]]</f>
        <v>32300</v>
      </c>
      <c r="L125" s="1">
        <f>L124+Table2[[#This Row],[Calls Ans]]</f>
        <v>29706</v>
      </c>
      <c r="M125" s="80">
        <v>0.73</v>
      </c>
      <c r="N125" s="80">
        <v>0.11</v>
      </c>
      <c r="O125" s="80">
        <v>0.89</v>
      </c>
      <c r="P125" s="80">
        <v>0.94</v>
      </c>
      <c r="Q125" s="80">
        <v>1</v>
      </c>
      <c r="R125" s="1">
        <v>202</v>
      </c>
      <c r="S125" s="1">
        <v>0</v>
      </c>
      <c r="T125" s="371">
        <v>3</v>
      </c>
      <c r="U125" s="370" t="str">
        <f t="shared" si="79"/>
        <v>Outlier</v>
      </c>
      <c r="V125" s="407" t="str">
        <f t="shared" si="80"/>
        <v>Normal</v>
      </c>
      <c r="W125" s="407">
        <f t="shared" si="81"/>
        <v>0.25294117647058822</v>
      </c>
      <c r="X125" s="407">
        <f t="shared" si="82"/>
        <v>0.1580547112462006</v>
      </c>
    </row>
    <row r="126" spans="1:24">
      <c r="A126" s="21">
        <v>45507</v>
      </c>
      <c r="B126" s="16">
        <f>IF(YEAR(Table6[[#This Row],[Date]]) = 2024, WEEKNUM(Table6[[#This Row],[Date]])-13, WEEKNUM(Table6[[#This Row],[Date]])+40)</f>
        <v>18</v>
      </c>
      <c r="C126" s="31" t="s">
        <v>53</v>
      </c>
      <c r="D126" s="301" t="s">
        <v>48</v>
      </c>
      <c r="E126" s="39">
        <v>120</v>
      </c>
      <c r="F126" s="39">
        <v>111</v>
      </c>
      <c r="G126" s="61">
        <f t="shared" si="75"/>
        <v>-6.9767441860465115E-2</v>
      </c>
      <c r="H126" s="61">
        <f t="shared" si="76"/>
        <v>-0.112</v>
      </c>
      <c r="I126" s="39">
        <f t="shared" si="77"/>
        <v>8463</v>
      </c>
      <c r="J126" s="39">
        <f t="shared" si="78"/>
        <v>7783</v>
      </c>
      <c r="K126" s="39">
        <f>K125+Table2[[#This Row],[Calls Off]]</f>
        <v>32420</v>
      </c>
      <c r="L126" s="39">
        <f>L125+Table2[[#This Row],[Calls Ans]]</f>
        <v>29817</v>
      </c>
      <c r="M126" s="80">
        <v>0.88</v>
      </c>
      <c r="N126" s="80">
        <v>0.08</v>
      </c>
      <c r="O126" s="80">
        <v>0.92</v>
      </c>
      <c r="P126" s="80">
        <v>0.47</v>
      </c>
      <c r="Q126" s="80">
        <v>1</v>
      </c>
      <c r="R126" s="28">
        <v>202</v>
      </c>
      <c r="S126" s="28">
        <v>0</v>
      </c>
      <c r="T126" s="371">
        <v>3</v>
      </c>
      <c r="U126" s="370" t="str">
        <f t="shared" si="79"/>
        <v>Outlier</v>
      </c>
      <c r="V126" s="407" t="str">
        <f t="shared" si="80"/>
        <v>Normal</v>
      </c>
      <c r="W126" s="407">
        <f t="shared" si="81"/>
        <v>-6.9767441860465115E-2</v>
      </c>
      <c r="X126" s="407">
        <f t="shared" si="82"/>
        <v>-0.112</v>
      </c>
    </row>
    <row r="127" spans="1:24">
      <c r="A127" s="21">
        <v>45508</v>
      </c>
      <c r="B127" s="16">
        <f>IF(YEAR(Table6[[#This Row],[Date]]) = 2024, WEEKNUM(Table6[[#This Row],[Date]])-13, WEEKNUM(Table6[[#This Row],[Date]])+40)</f>
        <v>19</v>
      </c>
      <c r="C127" s="31" t="s">
        <v>54</v>
      </c>
      <c r="D127" s="301" t="s">
        <v>48</v>
      </c>
      <c r="E127" s="39">
        <v>0</v>
      </c>
      <c r="F127" s="39">
        <v>0</v>
      </c>
      <c r="G127" s="61">
        <v>0</v>
      </c>
      <c r="H127" s="61">
        <v>0</v>
      </c>
      <c r="I127" s="1">
        <v>0</v>
      </c>
      <c r="J127" s="1">
        <v>0</v>
      </c>
      <c r="K127" s="1">
        <v>0</v>
      </c>
      <c r="L127" s="1">
        <v>0</v>
      </c>
      <c r="M127" s="80">
        <v>0</v>
      </c>
      <c r="N127" s="80">
        <v>0</v>
      </c>
      <c r="O127" s="80">
        <v>0</v>
      </c>
      <c r="P127" s="80">
        <v>0</v>
      </c>
      <c r="Q127" s="80">
        <v>0</v>
      </c>
      <c r="R127" s="1">
        <v>0</v>
      </c>
      <c r="S127" s="1">
        <v>0</v>
      </c>
      <c r="T127" s="371">
        <v>0</v>
      </c>
      <c r="U127" s="370" t="str">
        <f t="shared" si="79"/>
        <v>Normal</v>
      </c>
      <c r="V127" s="407" t="str">
        <f t="shared" si="80"/>
        <v>Normal</v>
      </c>
      <c r="W127" s="407">
        <f t="shared" si="81"/>
        <v>0</v>
      </c>
      <c r="X127" s="407">
        <f t="shared" si="82"/>
        <v>0</v>
      </c>
    </row>
    <row r="128" spans="1:24">
      <c r="A128" s="21">
        <v>45509</v>
      </c>
      <c r="B128" s="16">
        <f>IF(YEAR(Table6[[#This Row],[Date]]) = 2024, WEEKNUM(Table6[[#This Row],[Date]])-13, WEEKNUM(Table6[[#This Row],[Date]])+40)</f>
        <v>19</v>
      </c>
      <c r="C128" s="31" t="s">
        <v>55</v>
      </c>
      <c r="D128" s="301" t="s">
        <v>48</v>
      </c>
      <c r="E128" s="39">
        <v>245</v>
      </c>
      <c r="F128" s="39">
        <v>216</v>
      </c>
      <c r="G128" s="61">
        <f>(E128-E121)/E121</f>
        <v>-0.43678160919540232</v>
      </c>
      <c r="H128" s="61">
        <f>(F128-F121)/F121</f>
        <v>-0.38285714285714284</v>
      </c>
      <c r="I128" s="1">
        <f>I126+Table2[[#This Row],[Calls Off]]</f>
        <v>8708</v>
      </c>
      <c r="J128" s="1">
        <f>J126+Table2[[#This Row],[Calls Ans]]</f>
        <v>7999</v>
      </c>
      <c r="K128" s="1">
        <f>K126+Table2[[#This Row],[Calls Off]]</f>
        <v>32665</v>
      </c>
      <c r="L128" s="1">
        <f>L126+Table2[[#This Row],[Calls Ans]]</f>
        <v>30033</v>
      </c>
      <c r="M128" s="80">
        <v>0.74</v>
      </c>
      <c r="N128" s="80">
        <v>0.12</v>
      </c>
      <c r="O128" s="80">
        <v>0.88</v>
      </c>
      <c r="P128" s="80">
        <v>0.56999999999999995</v>
      </c>
      <c r="Q128" s="80">
        <v>1</v>
      </c>
      <c r="R128" s="28">
        <v>221</v>
      </c>
      <c r="S128" s="28">
        <v>0</v>
      </c>
      <c r="T128" s="371">
        <v>3</v>
      </c>
      <c r="U128" s="370" t="str">
        <f t="shared" si="79"/>
        <v>Outlier</v>
      </c>
      <c r="V128" s="407" t="str">
        <f t="shared" si="80"/>
        <v>Outlier</v>
      </c>
      <c r="W128" s="407">
        <f t="shared" si="81"/>
        <v>-0.43678160919540232</v>
      </c>
      <c r="X128" s="407">
        <f t="shared" si="82"/>
        <v>-0.38285714285714284</v>
      </c>
    </row>
    <row r="129" spans="1:38">
      <c r="A129" s="21">
        <v>45510</v>
      </c>
      <c r="B129" s="16">
        <f>IF(YEAR(Table6[[#This Row],[Date]]) = 2024, WEEKNUM(Table6[[#This Row],[Date]])-13, WEEKNUM(Table6[[#This Row],[Date]])+40)</f>
        <v>19</v>
      </c>
      <c r="C129" s="31" t="s">
        <v>49</v>
      </c>
      <c r="D129" s="301" t="s">
        <v>48</v>
      </c>
      <c r="E129" s="39">
        <v>235</v>
      </c>
      <c r="F129" s="39">
        <v>215</v>
      </c>
      <c r="G129" s="61">
        <f t="shared" ref="G129:G133" si="83">(E129-E122)/E122</f>
        <v>-0.4020356234096692</v>
      </c>
      <c r="H129" s="61">
        <f t="shared" ref="H129:H133" si="84">(F129-F122)/F122</f>
        <v>-0.375</v>
      </c>
      <c r="I129" s="39">
        <f>I128+E129</f>
        <v>8943</v>
      </c>
      <c r="J129" s="39">
        <f>J128+F129</f>
        <v>8214</v>
      </c>
      <c r="K129" s="39">
        <f>K128+Table2[[#This Row],[Calls Off]]</f>
        <v>32900</v>
      </c>
      <c r="L129" s="39">
        <f>L128+Table2[[#This Row],[Calls Ans]]</f>
        <v>30248</v>
      </c>
      <c r="M129" s="80">
        <v>0.78</v>
      </c>
      <c r="N129" s="80">
        <v>0.09</v>
      </c>
      <c r="O129" s="80">
        <v>0.81</v>
      </c>
      <c r="P129" s="80">
        <v>0.56999999999999995</v>
      </c>
      <c r="Q129" s="80">
        <v>1</v>
      </c>
      <c r="R129" s="1">
        <v>226</v>
      </c>
      <c r="S129" s="1">
        <v>0</v>
      </c>
      <c r="T129" s="371">
        <v>3</v>
      </c>
      <c r="U129" s="370" t="str">
        <f t="shared" si="79"/>
        <v>Outlier</v>
      </c>
      <c r="V129" s="407" t="str">
        <f t="shared" si="80"/>
        <v>Outlier</v>
      </c>
      <c r="W129" s="407">
        <f t="shared" si="81"/>
        <v>-0.4020356234096692</v>
      </c>
      <c r="X129" s="407">
        <f t="shared" si="82"/>
        <v>-0.375</v>
      </c>
    </row>
    <row r="130" spans="1:38">
      <c r="A130" s="21">
        <v>45511</v>
      </c>
      <c r="B130" s="16">
        <f>IF(YEAR(Table6[[#This Row],[Date]]) = 2024, WEEKNUM(Table6[[#This Row],[Date]])-13, WEEKNUM(Table6[[#This Row],[Date]])+40)</f>
        <v>19</v>
      </c>
      <c r="C130" s="31" t="s">
        <v>50</v>
      </c>
      <c r="D130" s="301" t="s">
        <v>48</v>
      </c>
      <c r="E130" s="39">
        <v>401</v>
      </c>
      <c r="F130" s="39">
        <v>349</v>
      </c>
      <c r="G130" s="61">
        <f t="shared" si="83"/>
        <v>0.16231884057971013</v>
      </c>
      <c r="H130" s="61">
        <f t="shared" si="84"/>
        <v>7.716049382716049E-2</v>
      </c>
      <c r="I130" s="1">
        <f t="shared" ref="I130:I133" si="85">I129+E130</f>
        <v>9344</v>
      </c>
      <c r="J130" s="1">
        <f t="shared" ref="J130:J133" si="86">J129+F130</f>
        <v>8563</v>
      </c>
      <c r="K130" s="1">
        <f>K129+Table2[[#This Row],[Calls Off]]</f>
        <v>33301</v>
      </c>
      <c r="L130" s="1">
        <f>L129+Table2[[#This Row],[Calls Ans]]</f>
        <v>30597</v>
      </c>
      <c r="M130" s="80">
        <v>0.7</v>
      </c>
      <c r="N130" s="80">
        <v>0.13</v>
      </c>
      <c r="O130" s="80">
        <v>0.87</v>
      </c>
      <c r="P130" s="80">
        <v>0.88</v>
      </c>
      <c r="Q130" s="80">
        <v>1</v>
      </c>
      <c r="R130" s="28">
        <v>210</v>
      </c>
      <c r="S130" s="28">
        <v>0</v>
      </c>
      <c r="T130" s="371">
        <v>3</v>
      </c>
      <c r="U130" s="370" t="str">
        <f t="shared" si="79"/>
        <v>Outlier</v>
      </c>
      <c r="V130" s="407" t="str">
        <f t="shared" si="80"/>
        <v>Normal</v>
      </c>
      <c r="W130" s="407">
        <f t="shared" si="81"/>
        <v>0.16231884057971013</v>
      </c>
      <c r="X130" s="407">
        <f t="shared" si="82"/>
        <v>7.716049382716049E-2</v>
      </c>
    </row>
    <row r="131" spans="1:38">
      <c r="A131" s="21">
        <v>45512</v>
      </c>
      <c r="B131" s="16">
        <f>IF(YEAR(Table6[[#This Row],[Date]]) = 2024, WEEKNUM(Table6[[#This Row],[Date]])-13, WEEKNUM(Table6[[#This Row],[Date]])+40)</f>
        <v>19</v>
      </c>
      <c r="C131" s="31" t="s">
        <v>51</v>
      </c>
      <c r="D131" s="301" t="s">
        <v>48</v>
      </c>
      <c r="E131" s="39">
        <v>323</v>
      </c>
      <c r="F131" s="39">
        <v>291</v>
      </c>
      <c r="G131" s="61">
        <f t="shared" si="83"/>
        <v>0.66494845360824739</v>
      </c>
      <c r="H131" s="61">
        <f t="shared" si="84"/>
        <v>0.53157894736842104</v>
      </c>
      <c r="I131" s="39">
        <f t="shared" si="85"/>
        <v>9667</v>
      </c>
      <c r="J131" s="39">
        <f t="shared" si="86"/>
        <v>8854</v>
      </c>
      <c r="K131" s="39">
        <f>K130+Table2[[#This Row],[Calls Off]]</f>
        <v>33624</v>
      </c>
      <c r="L131" s="39">
        <f>L130+Table2[[#This Row],[Calls Ans]]</f>
        <v>30888</v>
      </c>
      <c r="M131" s="80">
        <v>0.69</v>
      </c>
      <c r="N131" s="80">
        <v>0.1</v>
      </c>
      <c r="O131" s="80">
        <v>0.9</v>
      </c>
      <c r="P131" s="80">
        <v>0.73</v>
      </c>
      <c r="Q131" s="80">
        <v>1</v>
      </c>
      <c r="R131" s="1">
        <v>207</v>
      </c>
      <c r="S131" s="1">
        <v>0</v>
      </c>
      <c r="T131" s="371">
        <v>3</v>
      </c>
      <c r="U131" s="370" t="str">
        <f t="shared" si="79"/>
        <v>Outlier</v>
      </c>
      <c r="V131" s="407" t="str">
        <f t="shared" si="80"/>
        <v>Outlier</v>
      </c>
      <c r="W131" s="407">
        <f t="shared" si="81"/>
        <v>0.66494845360824739</v>
      </c>
      <c r="X131" s="407">
        <f t="shared" si="82"/>
        <v>0.53157894736842104</v>
      </c>
    </row>
    <row r="132" spans="1:38">
      <c r="A132" s="21">
        <v>45513</v>
      </c>
      <c r="B132" s="16">
        <f>IF(YEAR(Table6[[#This Row],[Date]]) = 2024, WEEKNUM(Table6[[#This Row],[Date]])-13, WEEKNUM(Table6[[#This Row],[Date]])+40)</f>
        <v>19</v>
      </c>
      <c r="C132" s="31" t="s">
        <v>52</v>
      </c>
      <c r="D132" s="301" t="s">
        <v>48</v>
      </c>
      <c r="E132" s="39">
        <v>316</v>
      </c>
      <c r="F132" s="39">
        <v>282</v>
      </c>
      <c r="G132" s="61">
        <f t="shared" si="83"/>
        <v>-0.25821596244131456</v>
      </c>
      <c r="H132" s="61">
        <f t="shared" si="84"/>
        <v>-0.25984251968503935</v>
      </c>
      <c r="I132" s="39">
        <f t="shared" si="85"/>
        <v>9983</v>
      </c>
      <c r="J132" s="1">
        <f t="shared" si="86"/>
        <v>9136</v>
      </c>
      <c r="K132" s="1">
        <f>K131+Table2[[#This Row],[Calls Off]]</f>
        <v>33940</v>
      </c>
      <c r="L132" s="1">
        <f>L131+Table2[[#This Row],[Calls Ans]]</f>
        <v>31170</v>
      </c>
      <c r="M132" s="17">
        <v>0.78</v>
      </c>
      <c r="N132" s="80">
        <v>0.11</v>
      </c>
      <c r="O132" s="80">
        <v>0.89</v>
      </c>
      <c r="P132" s="80">
        <v>0.67</v>
      </c>
      <c r="Q132" s="80">
        <v>1</v>
      </c>
      <c r="R132" s="28">
        <v>189</v>
      </c>
      <c r="S132" s="28">
        <v>0</v>
      </c>
      <c r="T132" s="371">
        <v>3</v>
      </c>
      <c r="U132" s="370" t="str">
        <f t="shared" si="79"/>
        <v>Outlier</v>
      </c>
      <c r="V132" s="407" t="str">
        <f t="shared" si="80"/>
        <v>Normal</v>
      </c>
      <c r="W132" s="407">
        <f t="shared" si="81"/>
        <v>-0.25821596244131456</v>
      </c>
      <c r="X132" s="407">
        <f t="shared" si="82"/>
        <v>-0.25984251968503935</v>
      </c>
    </row>
    <row r="133" spans="1:38">
      <c r="A133" s="21">
        <v>45514</v>
      </c>
      <c r="B133" s="16">
        <f>IF(YEAR(Table6[[#This Row],[Date]]) = 2024, WEEKNUM(Table6[[#This Row],[Date]])-13, WEEKNUM(Table6[[#This Row],[Date]])+40)</f>
        <v>19</v>
      </c>
      <c r="C133" s="31" t="s">
        <v>53</v>
      </c>
      <c r="D133" s="301" t="s">
        <v>48</v>
      </c>
      <c r="E133" s="39">
        <v>101</v>
      </c>
      <c r="F133" s="39">
        <v>93</v>
      </c>
      <c r="G133" s="61">
        <f t="shared" si="83"/>
        <v>-0.15833333333333333</v>
      </c>
      <c r="H133" s="61">
        <f t="shared" si="84"/>
        <v>-0.16216216216216217</v>
      </c>
      <c r="I133" s="39">
        <f t="shared" si="85"/>
        <v>10084</v>
      </c>
      <c r="J133" s="1">
        <f t="shared" si="86"/>
        <v>9229</v>
      </c>
      <c r="K133" s="1">
        <f>K132+Table2[[#This Row],[Calls Off]]</f>
        <v>34041</v>
      </c>
      <c r="L133" s="1">
        <f>L132+Table2[[#This Row],[Calls Ans]]</f>
        <v>31263</v>
      </c>
      <c r="M133" s="17">
        <v>0.89</v>
      </c>
      <c r="N133" s="80">
        <v>0.08</v>
      </c>
      <c r="O133" s="80">
        <v>0.92</v>
      </c>
      <c r="P133" s="80">
        <v>0.42</v>
      </c>
      <c r="Q133" s="80">
        <v>1</v>
      </c>
      <c r="R133" s="1">
        <v>259</v>
      </c>
      <c r="S133" s="1">
        <v>0</v>
      </c>
      <c r="T133" s="371">
        <v>3</v>
      </c>
      <c r="U133" s="370" t="str">
        <f t="shared" si="79"/>
        <v>Outlier</v>
      </c>
      <c r="V133" s="407" t="str">
        <f t="shared" si="80"/>
        <v>Normal</v>
      </c>
      <c r="W133" s="407">
        <f t="shared" si="81"/>
        <v>-0.15833333333333333</v>
      </c>
      <c r="X133" s="407">
        <f t="shared" si="82"/>
        <v>-0.16216216216216217</v>
      </c>
    </row>
    <row r="134" spans="1:38">
      <c r="A134" s="21">
        <v>45515</v>
      </c>
      <c r="B134" s="16">
        <f>IF(YEAR(Table6[[#This Row],[Date]]) = 2024, WEEKNUM(Table6[[#This Row],[Date]])-13, WEEKNUM(Table6[[#This Row],[Date]])+40)</f>
        <v>20</v>
      </c>
      <c r="C134" s="31" t="s">
        <v>54</v>
      </c>
      <c r="D134" s="301" t="s">
        <v>48</v>
      </c>
      <c r="E134" s="39">
        <v>0</v>
      </c>
      <c r="F134" s="39">
        <v>0</v>
      </c>
      <c r="G134" s="61">
        <v>0</v>
      </c>
      <c r="H134" s="61">
        <v>0</v>
      </c>
      <c r="I134" s="39">
        <v>0</v>
      </c>
      <c r="J134" s="1">
        <v>0</v>
      </c>
      <c r="K134" s="1">
        <v>0</v>
      </c>
      <c r="L134" s="1">
        <v>0</v>
      </c>
      <c r="M134" s="17">
        <v>0</v>
      </c>
      <c r="N134" s="80">
        <v>0</v>
      </c>
      <c r="O134" s="80">
        <v>0</v>
      </c>
      <c r="P134" s="80">
        <v>0</v>
      </c>
      <c r="Q134" s="80">
        <v>0</v>
      </c>
      <c r="R134" s="28">
        <v>0</v>
      </c>
      <c r="S134" s="28">
        <v>0</v>
      </c>
      <c r="T134" s="371">
        <v>0</v>
      </c>
      <c r="U134" s="370" t="str">
        <f t="shared" ref="U134" si="87">IF(OR(F134&lt;$AC$5,F134&gt;$AD$5), "Outlier", "Normal")</f>
        <v>Normal</v>
      </c>
      <c r="V134" s="407" t="str">
        <f t="shared" ref="V134" si="88">IF(OR(G134&lt;$AC$5,G134&gt;$AD$5), "Outlier", "Normal")</f>
        <v>Normal</v>
      </c>
      <c r="W134" s="407">
        <f t="shared" ref="W134" si="89">IF(U134="Normal",$G134,IF($G134&lt;150%, $G134, $AC$9))</f>
        <v>0</v>
      </c>
      <c r="X134" s="407">
        <f t="shared" ref="X134" si="90">IF(V134="Normal",$H134,IF($H134&lt;150%, $H134, $AG$9))</f>
        <v>0</v>
      </c>
      <c r="AK134" s="434" t="s">
        <v>63</v>
      </c>
      <c r="AL134" s="434"/>
    </row>
    <row r="135" spans="1:38">
      <c r="A135" s="21">
        <v>45516</v>
      </c>
      <c r="B135" s="16">
        <f>IF(YEAR(Table6[[#This Row],[Date]]) = 2024, WEEKNUM(Table6[[#This Row],[Date]])-13, WEEKNUM(Table6[[#This Row],[Date]])+40)</f>
        <v>20</v>
      </c>
      <c r="C135" s="31" t="s">
        <v>55</v>
      </c>
      <c r="D135" s="301" t="s">
        <v>48</v>
      </c>
      <c r="E135" s="39"/>
      <c r="F135" s="39"/>
      <c r="G135" s="61"/>
      <c r="H135" s="61"/>
      <c r="I135" s="39"/>
      <c r="J135" s="1"/>
      <c r="K135" s="1"/>
      <c r="L135" s="1"/>
      <c r="M135" s="17"/>
      <c r="N135" s="80"/>
      <c r="O135" s="80"/>
      <c r="P135" s="80"/>
      <c r="Q135" s="80"/>
      <c r="R135" s="1"/>
      <c r="S135" s="1"/>
      <c r="T135" s="371"/>
      <c r="U135" s="370"/>
      <c r="V135" s="370"/>
      <c r="W135" s="370"/>
      <c r="X135" s="370"/>
      <c r="AK135" t="s">
        <v>64</v>
      </c>
      <c r="AL135" t="s">
        <v>65</v>
      </c>
    </row>
    <row r="136" spans="1:38">
      <c r="A136" s="21">
        <v>45517</v>
      </c>
      <c r="B136" s="21"/>
      <c r="C136" s="31"/>
      <c r="D136" s="301" t="s">
        <v>48</v>
      </c>
      <c r="E136" s="39"/>
      <c r="F136" s="39"/>
      <c r="G136" s="61"/>
      <c r="H136" s="61"/>
      <c r="I136" s="39"/>
      <c r="J136" s="1"/>
      <c r="K136" s="1"/>
      <c r="L136" s="1"/>
      <c r="M136" s="17"/>
      <c r="N136" s="80"/>
      <c r="O136" s="80"/>
      <c r="P136" s="80"/>
      <c r="Q136" s="80"/>
      <c r="R136" s="28"/>
      <c r="S136" s="28"/>
      <c r="T136" s="371"/>
      <c r="U136" s="370"/>
      <c r="V136" s="370"/>
      <c r="W136" s="370"/>
      <c r="X136" s="370"/>
      <c r="AK136" t="s">
        <v>66</v>
      </c>
      <c r="AL136" s="141">
        <v>0</v>
      </c>
    </row>
    <row r="137" spans="1:38">
      <c r="A137" s="21">
        <v>45518</v>
      </c>
      <c r="B137" s="21"/>
      <c r="C137" s="31"/>
      <c r="D137" s="301" t="s">
        <v>48</v>
      </c>
      <c r="E137" s="39"/>
      <c r="F137" s="39"/>
      <c r="G137" s="61"/>
      <c r="H137" s="61"/>
      <c r="I137" s="1"/>
      <c r="J137" s="1"/>
      <c r="K137" s="1"/>
      <c r="L137" s="1"/>
      <c r="M137" s="80"/>
      <c r="N137" s="80"/>
      <c r="O137" s="80"/>
      <c r="P137" s="80"/>
      <c r="Q137" s="80"/>
      <c r="R137" s="1"/>
      <c r="S137" s="1"/>
      <c r="T137" s="371"/>
      <c r="U137" s="370"/>
      <c r="V137" s="370"/>
      <c r="W137" s="370"/>
      <c r="X137" s="370"/>
      <c r="AK137" t="s">
        <v>67</v>
      </c>
      <c r="AL137" s="141">
        <v>0.10416666666666667</v>
      </c>
    </row>
    <row r="138" spans="1:38">
      <c r="A138" s="21">
        <v>45519</v>
      </c>
      <c r="B138" s="21"/>
      <c r="C138" s="31"/>
      <c r="D138" s="301" t="s">
        <v>48</v>
      </c>
      <c r="E138" s="39"/>
      <c r="F138" s="39"/>
      <c r="G138" s="61"/>
      <c r="H138" s="61"/>
      <c r="I138" s="39"/>
      <c r="J138" s="1"/>
      <c r="K138" s="1"/>
      <c r="L138" s="1"/>
      <c r="M138" s="17"/>
      <c r="N138" s="80"/>
      <c r="O138" s="80"/>
      <c r="P138" s="80"/>
      <c r="Q138" s="80"/>
      <c r="R138" s="28"/>
      <c r="S138" s="28"/>
      <c r="T138" s="371"/>
      <c r="U138" s="370"/>
      <c r="V138" s="370"/>
      <c r="W138" s="370"/>
      <c r="X138" s="370"/>
      <c r="AK138" t="s">
        <v>68</v>
      </c>
      <c r="AL138" s="141">
        <v>0.10416666666666667</v>
      </c>
    </row>
    <row r="139" spans="1:38">
      <c r="A139" s="21">
        <v>45520</v>
      </c>
      <c r="B139" s="21"/>
      <c r="C139" s="31"/>
      <c r="D139" s="301" t="s">
        <v>48</v>
      </c>
      <c r="E139" s="39"/>
      <c r="F139" s="39"/>
      <c r="G139" s="61"/>
      <c r="H139" s="61"/>
      <c r="I139" s="39"/>
      <c r="J139" s="1"/>
      <c r="K139" s="1"/>
      <c r="L139" s="1"/>
      <c r="M139" s="80"/>
      <c r="N139" s="80"/>
      <c r="O139" s="80"/>
      <c r="P139" s="80"/>
      <c r="Q139" s="80"/>
      <c r="R139" s="1"/>
      <c r="S139" s="1"/>
      <c r="T139" s="371"/>
      <c r="U139" s="370"/>
      <c r="V139" s="370"/>
      <c r="W139" s="370"/>
      <c r="X139" s="370"/>
      <c r="AK139" t="s">
        <v>69</v>
      </c>
      <c r="AL139" s="141">
        <v>0.20833333333333334</v>
      </c>
    </row>
    <row r="140" spans="1:38">
      <c r="A140" s="21">
        <v>45521</v>
      </c>
      <c r="B140" s="21"/>
      <c r="C140" s="31"/>
      <c r="D140" s="301" t="s">
        <v>48</v>
      </c>
      <c r="E140" s="39"/>
      <c r="F140" s="39"/>
      <c r="G140" s="61"/>
      <c r="H140" s="61"/>
      <c r="I140" s="39"/>
      <c r="J140" s="1"/>
      <c r="K140" s="1"/>
      <c r="L140" s="1"/>
      <c r="M140" s="17"/>
      <c r="N140" s="80"/>
      <c r="O140" s="80"/>
      <c r="P140" s="80"/>
      <c r="Q140" s="80"/>
      <c r="R140" s="28"/>
      <c r="S140" s="28"/>
      <c r="T140" s="371"/>
      <c r="U140" s="370"/>
      <c r="V140" s="370"/>
      <c r="W140" s="370"/>
      <c r="X140" s="370"/>
      <c r="AK140" t="s">
        <v>65</v>
      </c>
      <c r="AL140" s="141" t="e">
        <v>#N/A</v>
      </c>
    </row>
    <row r="141" spans="1:38">
      <c r="A141" s="21">
        <v>45522</v>
      </c>
      <c r="B141" s="21"/>
      <c r="C141" s="31"/>
      <c r="D141" s="301" t="s">
        <v>48</v>
      </c>
      <c r="E141" s="39"/>
      <c r="F141" s="39"/>
      <c r="G141" s="61"/>
      <c r="H141" s="61"/>
      <c r="I141" s="1"/>
      <c r="J141" s="1"/>
      <c r="K141" s="1"/>
      <c r="L141" s="1"/>
      <c r="M141" s="80"/>
      <c r="N141" s="80"/>
      <c r="O141" s="80"/>
      <c r="P141" s="80"/>
      <c r="Q141" s="80"/>
      <c r="R141" s="1"/>
      <c r="S141" s="1"/>
      <c r="T141" s="371"/>
      <c r="U141" s="370"/>
      <c r="V141" s="370"/>
      <c r="W141" s="370"/>
      <c r="X141" s="370"/>
    </row>
    <row r="142" spans="1:38">
      <c r="A142" s="21">
        <v>45523</v>
      </c>
      <c r="B142" s="21"/>
      <c r="C142" s="31"/>
      <c r="D142" s="301" t="s">
        <v>48</v>
      </c>
      <c r="E142" s="39"/>
      <c r="F142" s="39"/>
      <c r="G142" s="61"/>
      <c r="H142" s="61"/>
      <c r="I142" s="39"/>
      <c r="J142" s="1"/>
      <c r="K142" s="1"/>
      <c r="L142" s="1"/>
      <c r="M142" s="17"/>
      <c r="N142" s="80"/>
      <c r="O142" s="80"/>
      <c r="P142" s="80"/>
      <c r="Q142" s="80"/>
      <c r="R142" s="28"/>
      <c r="S142" s="28"/>
      <c r="T142" s="371"/>
      <c r="U142" s="370"/>
      <c r="V142" s="370"/>
      <c r="W142" s="370"/>
      <c r="X142" s="370"/>
    </row>
    <row r="143" spans="1:38">
      <c r="A143" s="21">
        <v>45524</v>
      </c>
      <c r="B143" s="21"/>
      <c r="C143" s="31"/>
      <c r="D143" s="301" t="s">
        <v>48</v>
      </c>
      <c r="E143" s="39"/>
      <c r="F143" s="39"/>
      <c r="G143" s="61"/>
      <c r="H143" s="61"/>
      <c r="I143" s="1"/>
      <c r="J143" s="1"/>
      <c r="K143" s="1"/>
      <c r="L143" s="1"/>
      <c r="M143" s="80"/>
      <c r="N143" s="80"/>
      <c r="O143" s="80"/>
      <c r="P143" s="80"/>
      <c r="Q143" s="80"/>
      <c r="R143" s="1"/>
      <c r="S143" s="1"/>
      <c r="T143" s="371"/>
      <c r="U143" s="370"/>
      <c r="V143" s="370"/>
      <c r="W143" s="370"/>
      <c r="X143" s="370"/>
    </row>
    <row r="144" spans="1:38">
      <c r="A144" s="21">
        <v>45525</v>
      </c>
      <c r="B144" s="21"/>
      <c r="C144" s="31"/>
      <c r="D144" s="301" t="s">
        <v>48</v>
      </c>
      <c r="E144" s="39"/>
      <c r="F144" s="39"/>
      <c r="G144" s="61"/>
      <c r="H144" s="61"/>
      <c r="I144" s="39"/>
      <c r="J144" s="1"/>
      <c r="K144" s="1"/>
      <c r="L144" s="1"/>
      <c r="M144" s="17"/>
      <c r="N144" s="80"/>
      <c r="O144" s="80"/>
      <c r="P144" s="80"/>
      <c r="Q144" s="80"/>
      <c r="R144" s="28"/>
      <c r="S144" s="28"/>
      <c r="T144" s="371"/>
      <c r="U144" s="370"/>
      <c r="V144" s="370"/>
      <c r="W144" s="370"/>
      <c r="X144" s="370"/>
    </row>
    <row r="145" spans="1:24">
      <c r="A145" s="21">
        <v>45526</v>
      </c>
      <c r="B145" s="21"/>
      <c r="C145" s="31"/>
      <c r="D145" s="301" t="s">
        <v>48</v>
      </c>
      <c r="E145" s="39"/>
      <c r="F145" s="39"/>
      <c r="G145" s="61"/>
      <c r="H145" s="61"/>
      <c r="I145" s="1"/>
      <c r="J145" s="1"/>
      <c r="K145" s="1"/>
      <c r="L145" s="1"/>
      <c r="M145" s="80"/>
      <c r="N145" s="80"/>
      <c r="O145" s="80"/>
      <c r="P145" s="80"/>
      <c r="Q145" s="80"/>
      <c r="R145" s="1"/>
      <c r="S145" s="1"/>
      <c r="T145" s="371"/>
      <c r="U145" s="370"/>
      <c r="V145" s="370"/>
      <c r="W145" s="370"/>
      <c r="X145" s="370"/>
    </row>
    <row r="146" spans="1:24">
      <c r="A146" s="21">
        <v>45527</v>
      </c>
      <c r="B146" s="21"/>
      <c r="C146" s="31"/>
      <c r="D146" s="301" t="s">
        <v>48</v>
      </c>
      <c r="E146" s="39"/>
      <c r="F146" s="39"/>
      <c r="G146" s="61"/>
      <c r="H146" s="61"/>
      <c r="I146" s="39"/>
      <c r="J146" s="1"/>
      <c r="K146" s="1"/>
      <c r="L146" s="1"/>
      <c r="M146" s="17"/>
      <c r="N146" s="80"/>
      <c r="O146" s="80"/>
      <c r="P146" s="80"/>
      <c r="Q146" s="80"/>
      <c r="R146" s="28"/>
      <c r="S146" s="28"/>
      <c r="T146" s="371"/>
      <c r="U146" s="370"/>
      <c r="V146" s="370"/>
      <c r="W146" s="370"/>
      <c r="X146" s="370"/>
    </row>
    <row r="147" spans="1:24">
      <c r="A147" s="21">
        <v>45528</v>
      </c>
      <c r="B147" s="21"/>
      <c r="C147" s="31"/>
      <c r="D147" s="301" t="s">
        <v>48</v>
      </c>
      <c r="E147" s="39"/>
      <c r="F147" s="39"/>
      <c r="G147" s="61"/>
      <c r="H147" s="61"/>
      <c r="I147" s="1"/>
      <c r="J147" s="1"/>
      <c r="K147" s="1"/>
      <c r="L147" s="1"/>
      <c r="M147" s="80"/>
      <c r="N147" s="80"/>
      <c r="O147" s="80"/>
      <c r="P147" s="80"/>
      <c r="Q147" s="80"/>
      <c r="R147" s="1"/>
      <c r="S147" s="1"/>
      <c r="T147" s="371"/>
      <c r="U147" s="370"/>
      <c r="V147" s="370"/>
      <c r="W147" s="370"/>
      <c r="X147" s="370"/>
    </row>
    <row r="148" spans="1:24">
      <c r="A148" s="21">
        <v>45529</v>
      </c>
      <c r="B148" s="21"/>
      <c r="C148" s="31"/>
      <c r="D148" s="301" t="s">
        <v>48</v>
      </c>
      <c r="E148" s="39"/>
      <c r="F148" s="39"/>
      <c r="G148" s="61"/>
      <c r="H148" s="61"/>
      <c r="I148" s="39"/>
      <c r="J148" s="1"/>
      <c r="K148" s="1"/>
      <c r="L148" s="1"/>
      <c r="M148" s="17"/>
      <c r="N148" s="80"/>
      <c r="O148" s="80"/>
      <c r="P148" s="80"/>
      <c r="Q148" s="80"/>
      <c r="R148" s="28"/>
      <c r="S148" s="28"/>
      <c r="T148" s="371"/>
      <c r="U148" s="370"/>
      <c r="V148" s="370"/>
      <c r="W148" s="370"/>
      <c r="X148" s="370"/>
    </row>
    <row r="149" spans="1:24">
      <c r="A149" s="21">
        <v>45530</v>
      </c>
      <c r="B149" s="21"/>
      <c r="C149" s="31"/>
      <c r="D149" s="301" t="s">
        <v>48</v>
      </c>
      <c r="E149" s="39"/>
      <c r="F149" s="39"/>
      <c r="G149" s="61"/>
      <c r="H149" s="61"/>
      <c r="I149" s="1"/>
      <c r="J149" s="1"/>
      <c r="K149" s="1"/>
      <c r="L149" s="1"/>
      <c r="M149" s="80"/>
      <c r="N149" s="80"/>
      <c r="O149" s="80"/>
      <c r="P149" s="80"/>
      <c r="Q149" s="80"/>
      <c r="R149" s="1"/>
      <c r="S149" s="1"/>
      <c r="T149" s="371"/>
      <c r="U149" s="370"/>
      <c r="V149" s="370"/>
      <c r="W149" s="370"/>
      <c r="X149" s="370"/>
    </row>
    <row r="150" spans="1:24">
      <c r="A150" s="21">
        <v>45531</v>
      </c>
      <c r="B150" s="21"/>
      <c r="C150" s="31"/>
      <c r="D150" s="301" t="s">
        <v>48</v>
      </c>
      <c r="E150" s="39"/>
      <c r="F150" s="39"/>
      <c r="G150" s="61"/>
      <c r="H150" s="61"/>
      <c r="I150" s="39"/>
      <c r="J150" s="1"/>
      <c r="K150" s="1"/>
      <c r="L150" s="1"/>
      <c r="M150" s="17"/>
      <c r="N150" s="80"/>
      <c r="O150" s="80"/>
      <c r="P150" s="80"/>
      <c r="Q150" s="80"/>
      <c r="R150" s="28"/>
      <c r="S150" s="28"/>
      <c r="T150" s="371"/>
      <c r="U150" s="370"/>
      <c r="V150" s="370"/>
      <c r="W150" s="370"/>
      <c r="X150" s="370"/>
    </row>
    <row r="151" spans="1:24">
      <c r="A151" s="21">
        <v>45532</v>
      </c>
      <c r="B151" s="21"/>
      <c r="C151" s="31"/>
      <c r="D151" s="301" t="s">
        <v>48</v>
      </c>
      <c r="E151" s="39"/>
      <c r="F151" s="39"/>
      <c r="G151" s="61"/>
      <c r="H151" s="61"/>
      <c r="I151" s="1"/>
      <c r="J151" s="1"/>
      <c r="K151" s="1"/>
      <c r="L151" s="1"/>
      <c r="M151" s="80"/>
      <c r="N151" s="80"/>
      <c r="O151" s="80"/>
      <c r="P151" s="80"/>
      <c r="Q151" s="80"/>
      <c r="R151" s="1"/>
      <c r="S151" s="1"/>
      <c r="T151" s="371"/>
      <c r="U151" s="370"/>
      <c r="V151" s="370"/>
      <c r="W151" s="370"/>
      <c r="X151" s="370"/>
    </row>
    <row r="152" spans="1:24">
      <c r="A152" s="21">
        <v>45533</v>
      </c>
      <c r="B152" s="21"/>
      <c r="C152" s="31"/>
      <c r="D152" s="301" t="s">
        <v>48</v>
      </c>
      <c r="E152" s="39"/>
      <c r="F152" s="39"/>
      <c r="G152" s="61"/>
      <c r="H152" s="61"/>
      <c r="I152" s="39"/>
      <c r="J152" s="1"/>
      <c r="K152" s="1"/>
      <c r="L152" s="1"/>
      <c r="M152" s="17"/>
      <c r="N152" s="80"/>
      <c r="O152" s="80"/>
      <c r="P152" s="80"/>
      <c r="Q152" s="80"/>
      <c r="R152" s="28"/>
      <c r="S152" s="28"/>
      <c r="T152" s="371"/>
      <c r="U152" s="370"/>
      <c r="V152" s="370"/>
      <c r="W152" s="370"/>
      <c r="X152" s="370"/>
    </row>
    <row r="153" spans="1:24">
      <c r="A153" s="21">
        <v>45534</v>
      </c>
      <c r="B153" s="21"/>
      <c r="C153" s="31"/>
      <c r="D153" s="301" t="s">
        <v>48</v>
      </c>
      <c r="E153" s="39"/>
      <c r="F153" s="39"/>
      <c r="G153" s="61"/>
      <c r="H153" s="61"/>
      <c r="I153" s="1"/>
      <c r="J153" s="1"/>
      <c r="K153" s="1"/>
      <c r="L153" s="1"/>
      <c r="M153" s="80"/>
      <c r="N153" s="80"/>
      <c r="O153" s="80"/>
      <c r="P153" s="80"/>
      <c r="Q153" s="80"/>
      <c r="R153" s="1"/>
      <c r="S153" s="1"/>
      <c r="T153" s="371"/>
      <c r="U153" s="370"/>
      <c r="V153" s="370"/>
      <c r="W153" s="370"/>
      <c r="X153" s="370"/>
    </row>
    <row r="154" spans="1:24" s="105" customFormat="1">
      <c r="A154" s="21">
        <v>45535</v>
      </c>
      <c r="B154" s="21"/>
      <c r="C154" s="100"/>
      <c r="D154" s="301" t="s">
        <v>48</v>
      </c>
      <c r="E154" s="101"/>
      <c r="F154" s="101"/>
      <c r="G154" s="61"/>
      <c r="H154" s="61"/>
      <c r="I154" s="101"/>
      <c r="J154" s="102"/>
      <c r="K154" s="102"/>
      <c r="L154" s="102"/>
      <c r="M154" s="103"/>
      <c r="N154" s="104"/>
      <c r="O154" s="104"/>
      <c r="P154" s="104"/>
      <c r="Q154" s="104"/>
      <c r="R154" s="293"/>
      <c r="S154" s="293"/>
      <c r="T154" s="371"/>
      <c r="U154" s="370"/>
      <c r="V154" s="370"/>
      <c r="W154" s="370"/>
      <c r="X154" s="370"/>
    </row>
    <row r="155" spans="1:24">
      <c r="A155" s="21">
        <v>45536</v>
      </c>
      <c r="B155" s="21"/>
      <c r="C155" s="31"/>
      <c r="D155" s="301" t="s">
        <v>48</v>
      </c>
      <c r="E155" s="39"/>
      <c r="F155" s="39"/>
      <c r="G155" s="61"/>
      <c r="H155" s="61"/>
      <c r="I155" s="1"/>
      <c r="J155" s="1"/>
      <c r="K155" s="1"/>
      <c r="L155" s="1"/>
      <c r="M155" s="80"/>
      <c r="N155" s="80"/>
      <c r="O155" s="80"/>
      <c r="P155" s="80"/>
      <c r="Q155" s="80"/>
      <c r="R155" s="1"/>
      <c r="S155" s="1"/>
      <c r="T155" s="371"/>
      <c r="U155" s="370"/>
      <c r="V155" s="370"/>
      <c r="W155" s="370"/>
      <c r="X155" s="370"/>
    </row>
    <row r="156" spans="1:24">
      <c r="A156" s="21">
        <v>45537</v>
      </c>
      <c r="B156" s="21"/>
      <c r="C156" s="30"/>
      <c r="D156" s="301" t="s">
        <v>48</v>
      </c>
      <c r="E156" s="39"/>
      <c r="F156" s="39"/>
      <c r="G156" s="61"/>
      <c r="H156" s="61"/>
      <c r="I156" s="39"/>
      <c r="J156" s="1"/>
      <c r="K156" s="1"/>
      <c r="L156" s="1"/>
      <c r="M156" s="17"/>
      <c r="N156" s="80"/>
      <c r="O156" s="80"/>
      <c r="P156" s="80"/>
      <c r="Q156" s="80"/>
      <c r="R156" s="28"/>
      <c r="S156" s="28"/>
      <c r="T156" s="371"/>
      <c r="U156" s="370"/>
      <c r="V156" s="370"/>
      <c r="W156" s="370"/>
      <c r="X156" s="370"/>
    </row>
    <row r="157" spans="1:24">
      <c r="A157" s="21">
        <v>45538</v>
      </c>
      <c r="B157" s="21"/>
      <c r="C157" s="31"/>
      <c r="D157" s="301" t="s">
        <v>48</v>
      </c>
      <c r="E157" s="39"/>
      <c r="F157" s="39"/>
      <c r="G157" s="61"/>
      <c r="H157" s="61"/>
      <c r="I157" s="1"/>
      <c r="J157" s="1"/>
      <c r="K157" s="1"/>
      <c r="L157" s="1"/>
      <c r="M157" s="80"/>
      <c r="N157" s="80"/>
      <c r="O157" s="80"/>
      <c r="P157" s="80"/>
      <c r="Q157" s="80"/>
      <c r="R157" s="1"/>
      <c r="S157" s="1"/>
      <c r="T157" s="371"/>
      <c r="U157" s="370"/>
      <c r="V157" s="370"/>
      <c r="W157" s="370"/>
      <c r="X157" s="370"/>
    </row>
    <row r="158" spans="1:24">
      <c r="A158" s="21">
        <v>45539</v>
      </c>
      <c r="B158" s="21"/>
      <c r="C158" s="30"/>
      <c r="D158" s="301" t="s">
        <v>48</v>
      </c>
      <c r="E158" s="39"/>
      <c r="F158" s="39"/>
      <c r="G158" s="61"/>
      <c r="H158" s="61"/>
      <c r="I158" s="39"/>
      <c r="J158" s="1"/>
      <c r="K158" s="1"/>
      <c r="L158" s="1"/>
      <c r="M158" s="17"/>
      <c r="N158" s="80"/>
      <c r="O158" s="80"/>
      <c r="P158" s="80"/>
      <c r="Q158" s="80"/>
      <c r="R158" s="28"/>
      <c r="S158" s="28"/>
      <c r="T158" s="371"/>
      <c r="U158" s="370"/>
      <c r="V158" s="370"/>
      <c r="W158" s="370"/>
      <c r="X158" s="370"/>
    </row>
    <row r="159" spans="1:24">
      <c r="A159" s="21">
        <v>45540</v>
      </c>
      <c r="B159" s="21"/>
      <c r="C159" s="31"/>
      <c r="D159" s="301" t="s">
        <v>48</v>
      </c>
      <c r="E159" s="39"/>
      <c r="F159" s="39"/>
      <c r="G159" s="61"/>
      <c r="H159" s="61"/>
      <c r="I159" s="1"/>
      <c r="J159" s="1"/>
      <c r="K159" s="1"/>
      <c r="L159" s="1"/>
      <c r="M159" s="80"/>
      <c r="N159" s="80"/>
      <c r="O159" s="80"/>
      <c r="P159" s="80"/>
      <c r="Q159" s="80"/>
      <c r="R159" s="1"/>
      <c r="S159" s="1"/>
      <c r="T159" s="371"/>
      <c r="U159" s="370"/>
      <c r="V159" s="370"/>
      <c r="W159" s="370"/>
      <c r="X159" s="370"/>
    </row>
    <row r="160" spans="1:24">
      <c r="A160" s="21">
        <v>45541</v>
      </c>
      <c r="B160" s="21"/>
      <c r="C160" s="30"/>
      <c r="D160" s="301" t="s">
        <v>48</v>
      </c>
      <c r="E160" s="38"/>
      <c r="F160" s="38"/>
      <c r="G160" s="61"/>
      <c r="H160" s="61"/>
      <c r="I160" s="28"/>
      <c r="J160" s="28"/>
      <c r="K160" s="28"/>
      <c r="L160" s="28"/>
      <c r="M160" s="81"/>
      <c r="N160" s="81"/>
      <c r="O160" s="81"/>
      <c r="P160" s="81"/>
      <c r="Q160" s="81"/>
      <c r="R160" s="28"/>
      <c r="S160" s="28"/>
      <c r="T160" s="371"/>
      <c r="U160" s="370"/>
      <c r="V160" s="370"/>
      <c r="W160" s="370"/>
      <c r="X160" s="370"/>
    </row>
    <row r="161" spans="1:24">
      <c r="A161" s="21">
        <v>45542</v>
      </c>
      <c r="B161" s="21"/>
      <c r="C161" s="31"/>
      <c r="D161" s="301" t="s">
        <v>48</v>
      </c>
      <c r="E161" s="39"/>
      <c r="F161" s="39"/>
      <c r="G161" s="61"/>
      <c r="H161" s="61"/>
      <c r="I161" s="1"/>
      <c r="J161" s="1"/>
      <c r="K161" s="1"/>
      <c r="L161" s="1"/>
      <c r="M161" s="80"/>
      <c r="N161" s="80"/>
      <c r="O161" s="80"/>
      <c r="P161" s="80"/>
      <c r="Q161" s="80"/>
      <c r="R161" s="1"/>
      <c r="S161" s="1"/>
      <c r="T161" s="371"/>
      <c r="U161" s="370"/>
      <c r="V161" s="370"/>
      <c r="W161" s="370"/>
      <c r="X161" s="370"/>
    </row>
    <row r="162" spans="1:24">
      <c r="A162" s="21">
        <v>45543</v>
      </c>
      <c r="B162" s="21"/>
      <c r="C162" s="31"/>
      <c r="D162" s="301" t="s">
        <v>48</v>
      </c>
      <c r="E162" s="39"/>
      <c r="F162" s="39"/>
      <c r="G162" s="61"/>
      <c r="H162" s="61"/>
      <c r="I162" s="39"/>
      <c r="J162" s="1"/>
      <c r="K162" s="1"/>
      <c r="L162" s="1"/>
      <c r="M162" s="17"/>
      <c r="N162" s="80"/>
      <c r="O162" s="80"/>
      <c r="P162" s="80"/>
      <c r="Q162" s="80"/>
      <c r="R162" s="1"/>
      <c r="S162" s="1"/>
      <c r="T162" s="371"/>
      <c r="U162" s="370"/>
      <c r="V162" s="370"/>
      <c r="W162" s="370"/>
      <c r="X162" s="370"/>
    </row>
    <row r="163" spans="1:24">
      <c r="A163" s="21">
        <v>45544</v>
      </c>
      <c r="B163" s="21"/>
      <c r="C163" s="31"/>
      <c r="D163" s="301" t="s">
        <v>48</v>
      </c>
      <c r="E163" s="39"/>
      <c r="F163" s="39"/>
      <c r="G163" s="61"/>
      <c r="H163" s="61"/>
      <c r="I163" s="1"/>
      <c r="J163" s="1"/>
      <c r="K163" s="1"/>
      <c r="L163" s="1"/>
      <c r="M163" s="80"/>
      <c r="N163" s="80"/>
      <c r="O163" s="80"/>
      <c r="P163" s="80"/>
      <c r="Q163" s="80"/>
      <c r="R163" s="1"/>
      <c r="S163" s="1"/>
      <c r="T163" s="371"/>
      <c r="U163" s="370"/>
      <c r="V163" s="370"/>
      <c r="W163" s="370"/>
      <c r="X163" s="370"/>
    </row>
    <row r="164" spans="1:24">
      <c r="A164" s="21">
        <v>45545</v>
      </c>
      <c r="B164" s="21"/>
      <c r="C164" s="30"/>
      <c r="D164" s="301" t="s">
        <v>48</v>
      </c>
      <c r="E164" s="39"/>
      <c r="F164" s="39"/>
      <c r="G164" s="61"/>
      <c r="H164" s="61"/>
      <c r="I164" s="39"/>
      <c r="J164" s="1"/>
      <c r="K164" s="1"/>
      <c r="L164" s="1"/>
      <c r="M164" s="17"/>
      <c r="N164" s="80"/>
      <c r="O164" s="80"/>
      <c r="P164" s="80"/>
      <c r="Q164" s="80"/>
      <c r="R164" s="28"/>
      <c r="S164" s="28"/>
      <c r="T164" s="371"/>
      <c r="U164" s="370"/>
      <c r="V164" s="370"/>
      <c r="W164" s="370"/>
      <c r="X164" s="370"/>
    </row>
    <row r="165" spans="1:24">
      <c r="A165" s="21">
        <v>45546</v>
      </c>
      <c r="B165" s="21"/>
      <c r="C165" s="31"/>
      <c r="D165" s="301" t="s">
        <v>48</v>
      </c>
      <c r="E165" s="39"/>
      <c r="F165" s="39"/>
      <c r="G165" s="61"/>
      <c r="H165" s="61"/>
      <c r="I165" s="1"/>
      <c r="J165" s="1"/>
      <c r="K165" s="1"/>
      <c r="L165" s="1"/>
      <c r="M165" s="80"/>
      <c r="N165" s="80"/>
      <c r="O165" s="80"/>
      <c r="P165" s="80"/>
      <c r="Q165" s="80"/>
      <c r="R165" s="1"/>
      <c r="S165" s="1"/>
      <c r="T165" s="371"/>
      <c r="U165" s="370"/>
      <c r="V165" s="370"/>
      <c r="W165" s="370"/>
      <c r="X165" s="370"/>
    </row>
    <row r="166" spans="1:24">
      <c r="A166" s="21">
        <v>45547</v>
      </c>
      <c r="B166" s="21"/>
      <c r="C166" s="30"/>
      <c r="D166" s="301" t="s">
        <v>48</v>
      </c>
      <c r="E166" s="38"/>
      <c r="F166" s="38"/>
      <c r="G166" s="61"/>
      <c r="H166" s="61"/>
      <c r="I166" s="1"/>
      <c r="J166" s="1"/>
      <c r="K166" s="1"/>
      <c r="L166" s="1"/>
      <c r="M166" s="81"/>
      <c r="N166" s="81"/>
      <c r="O166" s="80"/>
      <c r="P166" s="81"/>
      <c r="Q166" s="81"/>
      <c r="R166" s="28"/>
      <c r="S166" s="28"/>
      <c r="T166" s="371"/>
      <c r="U166" s="370"/>
      <c r="V166" s="370"/>
      <c r="W166" s="370"/>
      <c r="X166" s="370"/>
    </row>
    <row r="167" spans="1:24">
      <c r="A167" s="21">
        <v>45548</v>
      </c>
      <c r="B167" s="21"/>
      <c r="C167" s="31"/>
      <c r="D167" s="301" t="s">
        <v>48</v>
      </c>
      <c r="E167" s="39"/>
      <c r="F167" s="39"/>
      <c r="G167" s="61"/>
      <c r="H167" s="61"/>
      <c r="I167" s="1"/>
      <c r="J167" s="1"/>
      <c r="K167" s="1"/>
      <c r="L167" s="1"/>
      <c r="M167" s="80"/>
      <c r="N167" s="80"/>
      <c r="O167" s="80"/>
      <c r="P167" s="80"/>
      <c r="Q167" s="80"/>
      <c r="R167" s="1"/>
      <c r="S167" s="1"/>
      <c r="T167" s="371"/>
      <c r="U167" s="370"/>
      <c r="V167" s="370"/>
      <c r="W167" s="370"/>
      <c r="X167" s="370"/>
    </row>
    <row r="168" spans="1:24">
      <c r="A168" s="21">
        <v>45549</v>
      </c>
      <c r="B168" s="21"/>
      <c r="C168" s="30"/>
      <c r="D168" s="301" t="s">
        <v>48</v>
      </c>
      <c r="E168" s="39"/>
      <c r="F168" s="39"/>
      <c r="G168" s="61"/>
      <c r="H168" s="61"/>
      <c r="I168" s="1"/>
      <c r="J168" s="1"/>
      <c r="K168" s="1"/>
      <c r="L168" s="1"/>
      <c r="M168" s="80"/>
      <c r="N168" s="80"/>
      <c r="O168" s="80"/>
      <c r="P168" s="80"/>
      <c r="Q168" s="80"/>
      <c r="R168" s="1"/>
      <c r="S168" s="1"/>
      <c r="T168" s="371"/>
      <c r="U168" s="370"/>
      <c r="V168" s="370"/>
      <c r="W168" s="370"/>
      <c r="X168" s="370"/>
    </row>
    <row r="169" spans="1:24">
      <c r="A169" s="21">
        <v>45550</v>
      </c>
      <c r="B169" s="21"/>
      <c r="C169" s="31"/>
      <c r="D169" s="301" t="s">
        <v>48</v>
      </c>
      <c r="E169" s="39"/>
      <c r="F169" s="39"/>
      <c r="G169" s="61"/>
      <c r="H169" s="61"/>
      <c r="I169" s="39"/>
      <c r="J169" s="1"/>
      <c r="K169" s="1"/>
      <c r="L169" s="1"/>
      <c r="M169" s="80"/>
      <c r="N169" s="80"/>
      <c r="O169" s="80"/>
      <c r="P169" s="80"/>
      <c r="Q169" s="80"/>
      <c r="R169" s="1"/>
      <c r="S169" s="1"/>
      <c r="T169" s="371"/>
      <c r="U169" s="370"/>
      <c r="V169" s="370"/>
      <c r="W169" s="370"/>
      <c r="X169" s="370"/>
    </row>
    <row r="170" spans="1:24">
      <c r="A170" s="21">
        <v>45551</v>
      </c>
      <c r="B170" s="21"/>
      <c r="C170" s="30"/>
      <c r="D170" s="301" t="s">
        <v>48</v>
      </c>
      <c r="E170" s="38"/>
      <c r="F170" s="38"/>
      <c r="G170" s="61"/>
      <c r="H170" s="61"/>
      <c r="I170" s="1"/>
      <c r="J170" s="1"/>
      <c r="K170" s="1"/>
      <c r="L170" s="1"/>
      <c r="M170" s="81"/>
      <c r="N170" s="81"/>
      <c r="O170" s="80"/>
      <c r="P170" s="81"/>
      <c r="Q170" s="80"/>
      <c r="R170" s="28"/>
      <c r="S170" s="28"/>
      <c r="T170" s="371"/>
      <c r="U170" s="370"/>
      <c r="V170" s="370"/>
      <c r="W170" s="370"/>
      <c r="X170" s="370"/>
    </row>
    <row r="171" spans="1:24">
      <c r="A171" s="21">
        <v>45552</v>
      </c>
      <c r="B171" s="21"/>
      <c r="C171" s="31"/>
      <c r="D171" s="301" t="s">
        <v>48</v>
      </c>
      <c r="E171" s="39"/>
      <c r="F171" s="39"/>
      <c r="G171" s="61"/>
      <c r="H171" s="61"/>
      <c r="I171" s="39"/>
      <c r="J171" s="1"/>
      <c r="K171" s="1"/>
      <c r="L171" s="1"/>
      <c r="M171" s="80"/>
      <c r="N171" s="80"/>
      <c r="O171" s="80"/>
      <c r="P171" s="80"/>
      <c r="Q171" s="80"/>
      <c r="R171" s="1"/>
      <c r="S171" s="1"/>
      <c r="T171" s="371"/>
      <c r="U171" s="370"/>
      <c r="V171" s="370"/>
      <c r="W171" s="370"/>
      <c r="X171" s="370"/>
    </row>
    <row r="172" spans="1:24">
      <c r="A172" s="21">
        <v>45553</v>
      </c>
      <c r="B172" s="21"/>
      <c r="C172" s="30"/>
      <c r="D172" s="301" t="s">
        <v>48</v>
      </c>
      <c r="E172" s="38"/>
      <c r="F172" s="38"/>
      <c r="G172" s="61"/>
      <c r="H172" s="61"/>
      <c r="I172" s="28"/>
      <c r="J172" s="28"/>
      <c r="K172" s="28"/>
      <c r="L172" s="28"/>
      <c r="M172" s="81"/>
      <c r="N172" s="81"/>
      <c r="O172" s="81"/>
      <c r="P172" s="81"/>
      <c r="Q172" s="81"/>
      <c r="R172" s="28"/>
      <c r="S172" s="28"/>
      <c r="T172" s="371"/>
      <c r="U172" s="370"/>
      <c r="V172" s="370"/>
      <c r="W172" s="370"/>
      <c r="X172" s="370"/>
    </row>
    <row r="173" spans="1:24">
      <c r="A173" s="21">
        <v>45554</v>
      </c>
      <c r="B173" s="21"/>
      <c r="C173" s="31"/>
      <c r="D173" s="301" t="s">
        <v>48</v>
      </c>
      <c r="E173" s="39"/>
      <c r="F173" s="39"/>
      <c r="G173" s="61"/>
      <c r="H173" s="61"/>
      <c r="I173" s="1"/>
      <c r="J173" s="1"/>
      <c r="K173" s="1"/>
      <c r="L173" s="1"/>
      <c r="M173" s="80"/>
      <c r="N173" s="80"/>
      <c r="O173" s="80"/>
      <c r="P173" s="80"/>
      <c r="Q173" s="80"/>
      <c r="R173" s="1"/>
      <c r="S173" s="1"/>
      <c r="T173" s="371"/>
      <c r="U173" s="370"/>
      <c r="V173" s="370"/>
      <c r="W173" s="370"/>
      <c r="X173" s="370"/>
    </row>
    <row r="174" spans="1:24">
      <c r="A174" s="21">
        <v>45555</v>
      </c>
      <c r="B174" s="21"/>
      <c r="C174" s="30"/>
      <c r="D174" s="301" t="s">
        <v>48</v>
      </c>
      <c r="E174" s="38"/>
      <c r="F174" s="38"/>
      <c r="G174" s="61"/>
      <c r="H174" s="61"/>
      <c r="I174" s="28"/>
      <c r="J174" s="28"/>
      <c r="K174" s="28"/>
      <c r="L174" s="28"/>
      <c r="M174" s="81"/>
      <c r="N174" s="81"/>
      <c r="O174" s="80"/>
      <c r="P174" s="80"/>
      <c r="Q174" s="81"/>
      <c r="R174" s="28"/>
      <c r="S174" s="28"/>
      <c r="T174" s="371"/>
      <c r="U174" s="370"/>
      <c r="V174" s="370"/>
      <c r="W174" s="370"/>
      <c r="X174" s="370"/>
    </row>
    <row r="175" spans="1:24">
      <c r="A175" s="21">
        <v>45556</v>
      </c>
      <c r="B175" s="21"/>
      <c r="C175" s="31"/>
      <c r="D175" s="301" t="s">
        <v>48</v>
      </c>
      <c r="E175" s="39"/>
      <c r="F175" s="39"/>
      <c r="G175" s="61"/>
      <c r="H175" s="61"/>
      <c r="I175" s="1"/>
      <c r="J175" s="1"/>
      <c r="K175" s="1"/>
      <c r="L175" s="1"/>
      <c r="M175" s="80"/>
      <c r="N175" s="80"/>
      <c r="O175" s="80"/>
      <c r="P175" s="80"/>
      <c r="Q175" s="80"/>
      <c r="R175" s="1"/>
      <c r="S175" s="1"/>
      <c r="T175" s="371"/>
      <c r="U175" s="370"/>
      <c r="V175" s="370"/>
      <c r="W175" s="370"/>
      <c r="X175" s="370"/>
    </row>
    <row r="176" spans="1:24">
      <c r="A176" s="21">
        <v>45557</v>
      </c>
      <c r="B176" s="21"/>
      <c r="C176" s="30"/>
      <c r="D176" s="301" t="s">
        <v>48</v>
      </c>
      <c r="E176" s="38"/>
      <c r="F176" s="38"/>
      <c r="G176" s="61"/>
      <c r="H176" s="61"/>
      <c r="I176" s="39"/>
      <c r="J176" s="1"/>
      <c r="K176" s="1"/>
      <c r="L176" s="1"/>
      <c r="M176" s="81"/>
      <c r="N176" s="81"/>
      <c r="O176" s="80"/>
      <c r="P176" s="81"/>
      <c r="Q176" s="81"/>
      <c r="R176" s="28"/>
      <c r="S176" s="28"/>
      <c r="T176" s="371"/>
      <c r="U176" s="370"/>
      <c r="V176" s="370"/>
      <c r="W176" s="370"/>
      <c r="X176" s="370"/>
    </row>
    <row r="177" spans="1:27">
      <c r="A177" s="21">
        <v>45558</v>
      </c>
      <c r="B177" s="21"/>
      <c r="C177" s="31"/>
      <c r="D177" s="301" t="s">
        <v>48</v>
      </c>
      <c r="E177" s="39"/>
      <c r="F177" s="39"/>
      <c r="G177" s="61"/>
      <c r="H177" s="61"/>
      <c r="I177" s="1"/>
      <c r="J177" s="1"/>
      <c r="K177" s="1"/>
      <c r="L177" s="1"/>
      <c r="M177" s="80"/>
      <c r="N177" s="80"/>
      <c r="O177" s="80"/>
      <c r="P177" s="80"/>
      <c r="Q177" s="80"/>
      <c r="R177" s="1"/>
      <c r="S177" s="1"/>
      <c r="T177" s="371"/>
      <c r="U177" s="370"/>
      <c r="V177" s="370"/>
      <c r="W177" s="370"/>
      <c r="X177" s="370"/>
    </row>
    <row r="178" spans="1:27">
      <c r="A178" s="21">
        <v>45559</v>
      </c>
      <c r="B178" s="21"/>
      <c r="C178" s="30"/>
      <c r="D178" s="301" t="s">
        <v>48</v>
      </c>
      <c r="E178" s="38"/>
      <c r="F178" s="38"/>
      <c r="G178" s="61"/>
      <c r="H178" s="61"/>
      <c r="I178" s="39"/>
      <c r="J178" s="1"/>
      <c r="K178" s="1"/>
      <c r="L178" s="1"/>
      <c r="M178" s="81"/>
      <c r="N178" s="81"/>
      <c r="O178" s="80"/>
      <c r="P178" s="81"/>
      <c r="Q178" s="81"/>
      <c r="R178" s="28"/>
      <c r="S178" s="28"/>
      <c r="T178" s="371"/>
      <c r="U178" s="370"/>
      <c r="V178" s="370"/>
      <c r="W178" s="370"/>
      <c r="X178" s="370"/>
    </row>
    <row r="179" spans="1:27">
      <c r="A179" s="21">
        <v>45560</v>
      </c>
      <c r="B179" s="21"/>
      <c r="C179" s="31"/>
      <c r="D179" s="301" t="s">
        <v>48</v>
      </c>
      <c r="E179" s="39"/>
      <c r="F179" s="39"/>
      <c r="G179" s="61"/>
      <c r="H179" s="61"/>
      <c r="I179" s="1"/>
      <c r="J179" s="1"/>
      <c r="K179" s="1"/>
      <c r="L179" s="1"/>
      <c r="M179" s="80"/>
      <c r="N179" s="80"/>
      <c r="O179" s="80"/>
      <c r="P179" s="80"/>
      <c r="Q179" s="80"/>
      <c r="R179" s="1"/>
      <c r="S179" s="1"/>
      <c r="T179" s="371"/>
      <c r="U179" s="370"/>
      <c r="V179" s="370"/>
      <c r="W179" s="370"/>
      <c r="X179" s="370"/>
    </row>
    <row r="180" spans="1:27">
      <c r="A180" s="21">
        <v>45561</v>
      </c>
      <c r="B180" s="21"/>
      <c r="C180" s="31"/>
      <c r="D180" s="301" t="s">
        <v>48</v>
      </c>
      <c r="E180" s="39"/>
      <c r="F180" s="39"/>
      <c r="G180" s="61"/>
      <c r="H180" s="61"/>
      <c r="I180" s="39"/>
      <c r="J180" s="1"/>
      <c r="K180" s="1"/>
      <c r="L180" s="1"/>
      <c r="M180" s="17"/>
      <c r="N180" s="80"/>
      <c r="O180" s="80"/>
      <c r="P180" s="80"/>
      <c r="Q180" s="80"/>
      <c r="R180" s="1"/>
      <c r="S180" s="1"/>
      <c r="T180" s="371"/>
      <c r="U180" s="370"/>
      <c r="V180" s="370"/>
      <c r="W180" s="370"/>
      <c r="X180" s="370"/>
    </row>
    <row r="181" spans="1:27">
      <c r="A181" s="21">
        <v>45562</v>
      </c>
      <c r="B181" s="21"/>
      <c r="C181" s="31"/>
      <c r="D181" s="301" t="s">
        <v>48</v>
      </c>
      <c r="E181" s="39"/>
      <c r="F181" s="39"/>
      <c r="G181" s="61"/>
      <c r="H181" s="61"/>
      <c r="I181" s="39"/>
      <c r="J181" s="1"/>
      <c r="K181" s="1"/>
      <c r="L181" s="1"/>
      <c r="M181" s="80"/>
      <c r="N181" s="80"/>
      <c r="O181" s="80"/>
      <c r="P181" s="80"/>
      <c r="Q181" s="80"/>
      <c r="R181" s="1"/>
      <c r="S181" s="1"/>
      <c r="T181" s="371"/>
      <c r="U181" s="370"/>
      <c r="V181" s="370"/>
      <c r="W181" s="370"/>
      <c r="X181" s="370"/>
    </row>
    <row r="182" spans="1:27">
      <c r="A182" s="21">
        <v>45563</v>
      </c>
      <c r="B182" s="21"/>
      <c r="C182" s="30"/>
      <c r="D182" s="301" t="s">
        <v>48</v>
      </c>
      <c r="E182" s="39"/>
      <c r="F182" s="39"/>
      <c r="G182" s="61"/>
      <c r="H182" s="61"/>
      <c r="I182" s="39"/>
      <c r="J182" s="1"/>
      <c r="K182" s="1"/>
      <c r="L182" s="1"/>
      <c r="M182" s="17"/>
      <c r="N182" s="80"/>
      <c r="O182" s="80"/>
      <c r="P182" s="80"/>
      <c r="Q182" s="80"/>
      <c r="R182" s="28"/>
      <c r="S182" s="28"/>
      <c r="T182" s="371"/>
      <c r="U182" s="370"/>
      <c r="V182" s="370"/>
      <c r="W182" s="370"/>
      <c r="X182" s="370"/>
    </row>
    <row r="183" spans="1:27">
      <c r="A183" s="21">
        <v>45564</v>
      </c>
      <c r="B183" s="21"/>
      <c r="C183" s="31"/>
      <c r="D183" s="301" t="s">
        <v>48</v>
      </c>
      <c r="E183" s="39"/>
      <c r="F183" s="39"/>
      <c r="G183" s="61"/>
      <c r="H183" s="61"/>
      <c r="I183" s="39"/>
      <c r="J183" s="1"/>
      <c r="K183" s="1"/>
      <c r="L183" s="1"/>
      <c r="M183" s="80"/>
      <c r="N183" s="80"/>
      <c r="O183" s="80"/>
      <c r="P183" s="80"/>
      <c r="Q183" s="80"/>
      <c r="R183" s="1"/>
      <c r="S183" s="1"/>
      <c r="T183" s="371"/>
      <c r="U183" s="370"/>
      <c r="V183" s="370"/>
      <c r="W183" s="370"/>
      <c r="X183" s="370"/>
    </row>
    <row r="184" spans="1:27" s="45" customFormat="1">
      <c r="A184" s="21">
        <v>45565</v>
      </c>
      <c r="B184" s="21"/>
      <c r="C184" s="90"/>
      <c r="D184" s="301" t="s">
        <v>48</v>
      </c>
      <c r="E184" s="88"/>
      <c r="F184" s="88"/>
      <c r="G184" s="61"/>
      <c r="H184" s="61"/>
      <c r="I184" s="88"/>
      <c r="J184" s="47"/>
      <c r="K184" s="47"/>
      <c r="L184" s="47"/>
      <c r="M184" s="48"/>
      <c r="N184" s="89"/>
      <c r="O184" s="89"/>
      <c r="P184" s="89"/>
      <c r="Q184" s="89"/>
      <c r="R184" s="294"/>
      <c r="S184" s="294"/>
      <c r="T184" s="371"/>
      <c r="U184" s="370"/>
      <c r="V184" s="370"/>
      <c r="W184" s="370"/>
      <c r="X184" s="370"/>
    </row>
    <row r="185" spans="1:27">
      <c r="A185" s="21">
        <v>45566</v>
      </c>
      <c r="B185" s="21"/>
      <c r="C185" s="31"/>
      <c r="D185" s="301" t="s">
        <v>48</v>
      </c>
      <c r="E185" s="39"/>
      <c r="F185" s="39"/>
      <c r="G185" s="61"/>
      <c r="H185" s="61"/>
      <c r="I185" s="39"/>
      <c r="J185" s="1"/>
      <c r="K185" s="1"/>
      <c r="L185" s="1"/>
      <c r="M185" s="80"/>
      <c r="N185" s="80"/>
      <c r="O185" s="80"/>
      <c r="P185" s="80"/>
      <c r="Q185" s="80"/>
      <c r="R185" s="1"/>
      <c r="S185" s="1"/>
      <c r="T185" s="371"/>
      <c r="U185" s="370"/>
      <c r="V185" s="370"/>
      <c r="W185" s="370"/>
      <c r="X185" s="370"/>
    </row>
    <row r="186" spans="1:27">
      <c r="A186" s="21">
        <v>45567</v>
      </c>
      <c r="B186" s="21"/>
      <c r="C186" s="31"/>
      <c r="D186" s="301" t="s">
        <v>48</v>
      </c>
      <c r="E186" s="39"/>
      <c r="F186" s="39"/>
      <c r="G186" s="61"/>
      <c r="H186" s="61"/>
      <c r="I186" s="1"/>
      <c r="J186" s="1"/>
      <c r="K186" s="1"/>
      <c r="L186" s="1"/>
      <c r="M186" s="80"/>
      <c r="N186" s="80"/>
      <c r="O186" s="80"/>
      <c r="P186" s="80"/>
      <c r="Q186" s="80"/>
      <c r="R186" s="1"/>
      <c r="S186" s="1"/>
      <c r="T186" s="371"/>
      <c r="U186" s="370"/>
      <c r="V186" s="370"/>
      <c r="W186" s="370"/>
      <c r="X186" s="370"/>
      <c r="Z186" t="s">
        <v>56</v>
      </c>
      <c r="AA186">
        <f>SUM($E$93:$E$123)</f>
        <v>7723</v>
      </c>
    </row>
    <row r="187" spans="1:27">
      <c r="A187" s="21">
        <v>45568</v>
      </c>
      <c r="B187" s="21"/>
      <c r="C187" s="31"/>
      <c r="D187" s="301" t="s">
        <v>48</v>
      </c>
      <c r="E187" s="39"/>
      <c r="F187" s="39"/>
      <c r="G187" s="61"/>
      <c r="H187" s="61"/>
      <c r="I187" s="39"/>
      <c r="J187" s="1"/>
      <c r="K187" s="1"/>
      <c r="L187" s="1"/>
      <c r="M187" s="80"/>
      <c r="N187" s="80"/>
      <c r="O187" s="80"/>
      <c r="P187" s="80"/>
      <c r="Q187" s="80"/>
      <c r="R187" s="1"/>
      <c r="S187" s="1"/>
      <c r="T187" s="371"/>
      <c r="U187" s="370"/>
      <c r="V187" s="370"/>
      <c r="W187" s="370"/>
      <c r="X187" s="370"/>
      <c r="Z187" t="s">
        <v>57</v>
      </c>
      <c r="AA187">
        <f>SUM($F$93:$F$123)</f>
        <v>7101</v>
      </c>
    </row>
    <row r="188" spans="1:27">
      <c r="A188" s="21">
        <v>45569</v>
      </c>
      <c r="B188" s="21"/>
      <c r="C188" s="31"/>
      <c r="D188" s="301" t="s">
        <v>48</v>
      </c>
      <c r="E188" s="38"/>
      <c r="F188" s="38"/>
      <c r="G188" s="61"/>
      <c r="H188" s="61"/>
      <c r="I188" s="38"/>
      <c r="J188" s="28"/>
      <c r="K188" s="28"/>
      <c r="L188" s="28"/>
      <c r="M188" s="81"/>
      <c r="N188" s="81"/>
      <c r="O188" s="81"/>
      <c r="P188" s="81"/>
      <c r="Q188" s="81"/>
      <c r="R188" s="1"/>
      <c r="S188" s="1"/>
      <c r="T188" s="371"/>
      <c r="U188" s="370"/>
      <c r="V188" s="370"/>
      <c r="W188" s="370"/>
      <c r="X188" s="370"/>
    </row>
    <row r="189" spans="1:27">
      <c r="A189" s="21">
        <v>45570</v>
      </c>
      <c r="B189" s="21"/>
      <c r="C189" s="31"/>
      <c r="D189" s="301" t="s">
        <v>48</v>
      </c>
      <c r="E189" s="39"/>
      <c r="F189" s="39"/>
      <c r="G189" s="61"/>
      <c r="H189" s="61"/>
      <c r="I189" s="39"/>
      <c r="J189" s="1"/>
      <c r="K189" s="1"/>
      <c r="L189" s="1"/>
      <c r="M189" s="80"/>
      <c r="N189" s="80"/>
      <c r="O189" s="80"/>
      <c r="P189" s="80"/>
      <c r="Q189" s="80"/>
      <c r="R189" s="1"/>
      <c r="S189" s="1"/>
      <c r="T189" s="371"/>
      <c r="U189" s="370"/>
      <c r="V189" s="370"/>
      <c r="W189" s="370"/>
      <c r="X189" s="370"/>
      <c r="Z189" t="s">
        <v>39</v>
      </c>
      <c r="AA189" s="146">
        <f>AVERAGEIF($M$93:$M$123, "&lt;&gt;0")</f>
        <v>0.83807692307692305</v>
      </c>
    </row>
    <row r="190" spans="1:27">
      <c r="A190" s="21">
        <v>45571</v>
      </c>
      <c r="B190" s="21"/>
      <c r="C190" s="31"/>
      <c r="D190" s="301" t="s">
        <v>48</v>
      </c>
      <c r="E190" s="38"/>
      <c r="F190" s="38"/>
      <c r="G190" s="61"/>
      <c r="H190" s="61"/>
      <c r="I190" s="38"/>
      <c r="J190" s="28"/>
      <c r="K190" s="28"/>
      <c r="L190" s="28"/>
      <c r="M190" s="81"/>
      <c r="N190" s="81"/>
      <c r="O190" s="81"/>
      <c r="P190" s="81"/>
      <c r="Q190" s="81"/>
      <c r="R190" s="1"/>
      <c r="S190" s="1"/>
      <c r="T190" s="371"/>
      <c r="U190" s="370"/>
      <c r="V190" s="370"/>
      <c r="W190" s="370"/>
      <c r="X190" s="370"/>
      <c r="Z190" t="s">
        <v>70</v>
      </c>
      <c r="AA190" s="146">
        <f>AVERAGEIF($P$93:$P$123, "&lt;&gt;0")</f>
        <v>0.58076923076923082</v>
      </c>
    </row>
    <row r="191" spans="1:27">
      <c r="A191" s="21">
        <v>45572</v>
      </c>
      <c r="B191" s="21"/>
      <c r="C191" s="31"/>
      <c r="D191" s="301" t="s">
        <v>48</v>
      </c>
      <c r="E191" s="39"/>
      <c r="F191" s="39"/>
      <c r="G191" s="61"/>
      <c r="H191" s="61"/>
      <c r="I191" s="39"/>
      <c r="J191" s="1"/>
      <c r="K191" s="1"/>
      <c r="L191" s="1"/>
      <c r="M191" s="80"/>
      <c r="N191" s="80"/>
      <c r="O191" s="80"/>
      <c r="P191" s="80"/>
      <c r="Q191" s="80"/>
      <c r="R191" s="1"/>
      <c r="S191" s="1"/>
      <c r="T191" s="371"/>
      <c r="U191" s="370"/>
      <c r="V191" s="370"/>
      <c r="W191" s="370"/>
      <c r="X191" s="370"/>
      <c r="Z191" t="s">
        <v>43</v>
      </c>
      <c r="AA191" s="146">
        <f>AVERAGEIF($Q$93:$Q$123,"&lt;&gt;0")</f>
        <v>1</v>
      </c>
    </row>
    <row r="192" spans="1:27">
      <c r="A192" s="21">
        <v>45573</v>
      </c>
      <c r="B192" s="21"/>
      <c r="C192" s="31"/>
      <c r="D192" s="301" t="s">
        <v>48</v>
      </c>
      <c r="E192" s="38"/>
      <c r="F192" s="38"/>
      <c r="G192" s="61"/>
      <c r="H192" s="61"/>
      <c r="I192" s="38"/>
      <c r="J192" s="28"/>
      <c r="K192" s="28"/>
      <c r="L192" s="28"/>
      <c r="M192" s="81"/>
      <c r="N192" s="81"/>
      <c r="O192" s="81"/>
      <c r="P192" s="81"/>
      <c r="Q192" s="81"/>
      <c r="R192" s="1"/>
      <c r="S192" s="1"/>
      <c r="T192" s="371"/>
      <c r="U192" s="370"/>
      <c r="V192" s="370"/>
      <c r="W192" s="370"/>
      <c r="X192" s="370"/>
    </row>
    <row r="193" spans="1:24">
      <c r="A193" s="21">
        <v>45574</v>
      </c>
      <c r="B193" s="21"/>
      <c r="C193" s="31"/>
      <c r="D193" s="301" t="s">
        <v>48</v>
      </c>
      <c r="E193" s="39"/>
      <c r="F193" s="39"/>
      <c r="G193" s="61"/>
      <c r="H193" s="61"/>
      <c r="I193" s="1"/>
      <c r="J193" s="1"/>
      <c r="K193" s="1"/>
      <c r="L193" s="1"/>
      <c r="M193" s="80"/>
      <c r="N193" s="80"/>
      <c r="O193" s="80"/>
      <c r="P193" s="80"/>
      <c r="Q193" s="80"/>
      <c r="R193" s="1"/>
      <c r="S193" s="1"/>
      <c r="T193" s="371"/>
      <c r="U193" s="370"/>
      <c r="V193" s="370"/>
      <c r="W193" s="370"/>
      <c r="X193" s="370"/>
    </row>
    <row r="194" spans="1:24">
      <c r="A194" s="21">
        <v>45575</v>
      </c>
      <c r="B194" s="21"/>
      <c r="C194" s="31"/>
      <c r="D194" s="301" t="s">
        <v>48</v>
      </c>
      <c r="E194" s="38"/>
      <c r="F194" s="38"/>
      <c r="G194" s="61"/>
      <c r="H194" s="61"/>
      <c r="I194" s="38"/>
      <c r="J194" s="28"/>
      <c r="K194" s="28"/>
      <c r="L194" s="28"/>
      <c r="M194" s="81"/>
      <c r="N194" s="81"/>
      <c r="O194" s="81"/>
      <c r="P194" s="81"/>
      <c r="Q194" s="81"/>
      <c r="R194" s="1"/>
      <c r="S194" s="1"/>
      <c r="T194" s="371"/>
      <c r="U194" s="370"/>
      <c r="V194" s="370"/>
      <c r="W194" s="370"/>
      <c r="X194" s="370"/>
    </row>
    <row r="195" spans="1:24">
      <c r="A195" s="21">
        <v>45576</v>
      </c>
      <c r="B195" s="21"/>
      <c r="C195" s="31"/>
      <c r="D195" s="301" t="s">
        <v>48</v>
      </c>
      <c r="E195" s="39"/>
      <c r="F195" s="39"/>
      <c r="G195" s="61"/>
      <c r="H195" s="61"/>
      <c r="I195" s="1"/>
      <c r="J195" s="1"/>
      <c r="K195" s="1"/>
      <c r="L195" s="1"/>
      <c r="M195" s="80"/>
      <c r="N195" s="80"/>
      <c r="O195" s="80"/>
      <c r="P195" s="80"/>
      <c r="Q195" s="80"/>
      <c r="R195" s="1"/>
      <c r="S195" s="1"/>
      <c r="T195" s="371"/>
      <c r="U195" s="370"/>
      <c r="V195" s="370"/>
      <c r="W195" s="370"/>
      <c r="X195" s="370"/>
    </row>
    <row r="196" spans="1:24">
      <c r="A196" s="21">
        <v>45577</v>
      </c>
      <c r="B196" s="21"/>
      <c r="C196" s="31"/>
      <c r="D196" s="301" t="s">
        <v>48</v>
      </c>
      <c r="E196" s="38"/>
      <c r="F196" s="38"/>
      <c r="G196" s="61"/>
      <c r="H196" s="61"/>
      <c r="I196" s="38"/>
      <c r="J196" s="28"/>
      <c r="K196" s="28"/>
      <c r="L196" s="28"/>
      <c r="M196" s="81"/>
      <c r="N196" s="81"/>
      <c r="O196" s="81"/>
      <c r="P196" s="81"/>
      <c r="Q196" s="81"/>
      <c r="R196" s="1"/>
      <c r="S196" s="1"/>
      <c r="T196" s="371"/>
      <c r="U196" s="370"/>
      <c r="V196" s="370"/>
      <c r="W196" s="370"/>
      <c r="X196" s="370"/>
    </row>
    <row r="197" spans="1:24">
      <c r="A197" s="21">
        <v>45578</v>
      </c>
      <c r="B197" s="21"/>
      <c r="C197" s="31"/>
      <c r="D197" s="301" t="s">
        <v>48</v>
      </c>
      <c r="E197" s="39"/>
      <c r="F197" s="39"/>
      <c r="G197" s="61"/>
      <c r="H197" s="61"/>
      <c r="I197" s="1"/>
      <c r="J197" s="1"/>
      <c r="K197" s="1"/>
      <c r="L197" s="1"/>
      <c r="M197" s="80"/>
      <c r="N197" s="80"/>
      <c r="O197" s="80"/>
      <c r="P197" s="80"/>
      <c r="Q197" s="80"/>
      <c r="R197" s="1"/>
      <c r="S197" s="1"/>
      <c r="T197" s="371"/>
      <c r="U197" s="370"/>
      <c r="V197" s="370"/>
      <c r="W197" s="370"/>
      <c r="X197" s="370"/>
    </row>
    <row r="198" spans="1:24">
      <c r="A198" s="21">
        <v>45579</v>
      </c>
      <c r="B198" s="21"/>
      <c r="C198" s="31"/>
      <c r="D198" s="301" t="s">
        <v>48</v>
      </c>
      <c r="E198" s="38"/>
      <c r="F198" s="38"/>
      <c r="G198" s="61"/>
      <c r="H198" s="61"/>
      <c r="I198" s="38"/>
      <c r="J198" s="28"/>
      <c r="K198" s="28"/>
      <c r="L198" s="28"/>
      <c r="M198" s="81"/>
      <c r="N198" s="81"/>
      <c r="O198" s="81"/>
      <c r="P198" s="81"/>
      <c r="Q198" s="81"/>
      <c r="R198" s="1"/>
      <c r="S198" s="1"/>
      <c r="T198" s="371"/>
      <c r="U198" s="370"/>
      <c r="V198" s="370"/>
      <c r="W198" s="370"/>
      <c r="X198" s="370"/>
    </row>
    <row r="199" spans="1:24">
      <c r="A199" s="21">
        <v>45580</v>
      </c>
      <c r="B199" s="21"/>
      <c r="C199" s="31"/>
      <c r="D199" s="301" t="s">
        <v>48</v>
      </c>
      <c r="E199" s="39"/>
      <c r="F199" s="39"/>
      <c r="G199" s="61"/>
      <c r="H199" s="61"/>
      <c r="I199" s="1"/>
      <c r="J199" s="1"/>
      <c r="K199" s="1"/>
      <c r="L199" s="1"/>
      <c r="M199" s="80"/>
      <c r="N199" s="80"/>
      <c r="O199" s="80"/>
      <c r="P199" s="80"/>
      <c r="Q199" s="80"/>
      <c r="R199" s="1"/>
      <c r="S199" s="1"/>
      <c r="T199" s="371"/>
      <c r="U199" s="370"/>
      <c r="V199" s="370"/>
      <c r="W199" s="370"/>
      <c r="X199" s="370"/>
    </row>
    <row r="200" spans="1:24">
      <c r="A200" s="21">
        <v>45581</v>
      </c>
      <c r="B200" s="21"/>
      <c r="C200" s="31"/>
      <c r="D200" s="301" t="s">
        <v>48</v>
      </c>
      <c r="E200" s="39"/>
      <c r="F200" s="39"/>
      <c r="G200" s="61"/>
      <c r="H200" s="61"/>
      <c r="I200" s="1"/>
      <c r="J200" s="1"/>
      <c r="K200" s="1"/>
      <c r="L200" s="1"/>
      <c r="M200" s="80"/>
      <c r="N200" s="80"/>
      <c r="O200" s="80"/>
      <c r="P200" s="80"/>
      <c r="Q200" s="80"/>
      <c r="R200" s="1"/>
      <c r="S200" s="1"/>
      <c r="T200" s="371"/>
      <c r="U200" s="370"/>
      <c r="V200" s="370"/>
      <c r="W200" s="370"/>
      <c r="X200" s="370"/>
    </row>
    <row r="201" spans="1:24">
      <c r="A201" s="21">
        <v>45582</v>
      </c>
      <c r="B201" s="21"/>
      <c r="C201" s="31"/>
      <c r="D201" s="301" t="s">
        <v>48</v>
      </c>
      <c r="E201" s="39"/>
      <c r="F201" s="39"/>
      <c r="G201" s="61"/>
      <c r="H201" s="61"/>
      <c r="I201" s="1"/>
      <c r="J201" s="1"/>
      <c r="K201" s="1"/>
      <c r="L201" s="1"/>
      <c r="M201" s="80"/>
      <c r="N201" s="80"/>
      <c r="O201" s="80"/>
      <c r="P201" s="80"/>
      <c r="Q201" s="80"/>
      <c r="R201" s="1"/>
      <c r="S201" s="1"/>
      <c r="T201" s="371"/>
      <c r="U201" s="370"/>
      <c r="V201" s="370"/>
      <c r="W201" s="370"/>
      <c r="X201" s="370"/>
    </row>
    <row r="202" spans="1:24">
      <c r="A202" s="21">
        <v>45583</v>
      </c>
      <c r="B202" s="21"/>
      <c r="C202" s="31"/>
      <c r="D202" s="301" t="s">
        <v>48</v>
      </c>
      <c r="E202" s="39"/>
      <c r="F202" s="39"/>
      <c r="G202" s="61"/>
      <c r="H202" s="61"/>
      <c r="I202" s="38"/>
      <c r="J202" s="28"/>
      <c r="K202" s="28"/>
      <c r="L202" s="28"/>
      <c r="M202" s="80"/>
      <c r="N202" s="80"/>
      <c r="O202" s="80"/>
      <c r="P202" s="80"/>
      <c r="Q202" s="80"/>
      <c r="R202" s="1"/>
      <c r="S202" s="1"/>
      <c r="T202" s="371"/>
      <c r="U202" s="370"/>
      <c r="V202" s="370"/>
      <c r="W202" s="370"/>
      <c r="X202" s="370"/>
    </row>
    <row r="203" spans="1:24">
      <c r="A203" s="21">
        <v>45584</v>
      </c>
      <c r="B203" s="21"/>
      <c r="C203" s="31"/>
      <c r="D203" s="301" t="s">
        <v>48</v>
      </c>
      <c r="E203" s="39"/>
      <c r="F203" s="39"/>
      <c r="G203" s="61"/>
      <c r="H203" s="61"/>
      <c r="I203" s="1"/>
      <c r="J203" s="1"/>
      <c r="K203" s="1"/>
      <c r="L203" s="1"/>
      <c r="M203" s="80"/>
      <c r="N203" s="80"/>
      <c r="O203" s="80"/>
      <c r="P203" s="80"/>
      <c r="Q203" s="80"/>
      <c r="R203" s="1"/>
      <c r="S203" s="1"/>
      <c r="T203" s="371"/>
      <c r="U203" s="370"/>
      <c r="V203" s="370"/>
      <c r="W203" s="370"/>
      <c r="X203" s="370"/>
    </row>
    <row r="204" spans="1:24">
      <c r="A204" s="21">
        <v>45585</v>
      </c>
      <c r="B204" s="21"/>
      <c r="C204" s="31"/>
      <c r="D204" s="301" t="s">
        <v>48</v>
      </c>
      <c r="E204" s="39"/>
      <c r="F204" s="39"/>
      <c r="G204" s="61"/>
      <c r="H204" s="61"/>
      <c r="I204" s="1"/>
      <c r="J204" s="1"/>
      <c r="K204" s="1"/>
      <c r="L204" s="1"/>
      <c r="M204" s="80"/>
      <c r="N204" s="80"/>
      <c r="O204" s="80"/>
      <c r="P204" s="80"/>
      <c r="Q204" s="80"/>
      <c r="R204" s="1"/>
      <c r="S204" s="1"/>
      <c r="T204" s="371"/>
      <c r="U204" s="370"/>
      <c r="V204" s="370"/>
      <c r="W204" s="370"/>
      <c r="X204" s="370"/>
    </row>
    <row r="205" spans="1:24">
      <c r="A205" s="21">
        <v>45586</v>
      </c>
      <c r="B205" s="21"/>
      <c r="C205" s="31"/>
      <c r="D205" s="301" t="s">
        <v>48</v>
      </c>
      <c r="E205" s="39"/>
      <c r="F205" s="39"/>
      <c r="G205" s="61"/>
      <c r="H205" s="61"/>
      <c r="I205" s="1"/>
      <c r="J205" s="1"/>
      <c r="K205" s="1"/>
      <c r="L205" s="1"/>
      <c r="M205" s="80"/>
      <c r="N205" s="80"/>
      <c r="O205" s="80"/>
      <c r="P205" s="80"/>
      <c r="Q205" s="80"/>
      <c r="R205" s="1"/>
      <c r="S205" s="1"/>
      <c r="T205" s="371"/>
      <c r="U205" s="370"/>
      <c r="V205" s="370"/>
      <c r="W205" s="370"/>
      <c r="X205" s="370"/>
    </row>
    <row r="206" spans="1:24">
      <c r="A206" s="21">
        <v>45587</v>
      </c>
      <c r="B206" s="21"/>
      <c r="C206" s="31"/>
      <c r="D206" s="301" t="s">
        <v>48</v>
      </c>
      <c r="E206" s="39"/>
      <c r="F206" s="39"/>
      <c r="G206" s="61"/>
      <c r="H206" s="61"/>
      <c r="I206" s="1"/>
      <c r="J206" s="1"/>
      <c r="K206" s="1"/>
      <c r="L206" s="1"/>
      <c r="M206" s="80"/>
      <c r="N206" s="80"/>
      <c r="O206" s="80"/>
      <c r="P206" s="80"/>
      <c r="Q206" s="80"/>
      <c r="R206" s="1"/>
      <c r="S206" s="1"/>
      <c r="T206" s="371"/>
      <c r="U206" s="370"/>
      <c r="V206" s="370"/>
      <c r="W206" s="370"/>
      <c r="X206" s="370"/>
    </row>
    <row r="207" spans="1:24">
      <c r="A207" s="21">
        <v>45588</v>
      </c>
      <c r="B207" s="21"/>
      <c r="C207" s="31"/>
      <c r="D207" s="301" t="s">
        <v>48</v>
      </c>
      <c r="E207" s="39"/>
      <c r="F207" s="39"/>
      <c r="G207" s="61"/>
      <c r="H207" s="61"/>
      <c r="I207" s="1"/>
      <c r="J207" s="1"/>
      <c r="K207" s="1"/>
      <c r="L207" s="1"/>
      <c r="M207" s="80"/>
      <c r="N207" s="80"/>
      <c r="O207" s="80"/>
      <c r="P207" s="80"/>
      <c r="Q207" s="80"/>
      <c r="R207" s="1"/>
      <c r="S207" s="1"/>
      <c r="T207" s="371"/>
      <c r="U207" s="370"/>
      <c r="V207" s="370"/>
      <c r="W207" s="370"/>
      <c r="X207" s="370"/>
    </row>
    <row r="208" spans="1:24">
      <c r="A208" s="21">
        <v>45589</v>
      </c>
      <c r="B208" s="21"/>
      <c r="C208" s="31"/>
      <c r="D208" s="301" t="s">
        <v>48</v>
      </c>
      <c r="E208" s="39"/>
      <c r="F208" s="39"/>
      <c r="G208" s="61"/>
      <c r="H208" s="61"/>
      <c r="I208" s="38"/>
      <c r="J208" s="28"/>
      <c r="K208" s="28"/>
      <c r="L208" s="28"/>
      <c r="M208" s="80"/>
      <c r="N208" s="80"/>
      <c r="O208" s="80"/>
      <c r="P208" s="80"/>
      <c r="Q208" s="80"/>
      <c r="R208" s="1"/>
      <c r="S208" s="1"/>
      <c r="T208" s="371"/>
      <c r="U208" s="370"/>
      <c r="V208" s="370"/>
      <c r="W208" s="370"/>
      <c r="X208" s="370"/>
    </row>
    <row r="209" spans="1:24">
      <c r="A209" s="21">
        <v>45590</v>
      </c>
      <c r="B209" s="21"/>
      <c r="C209" s="31"/>
      <c r="D209" s="301" t="s">
        <v>48</v>
      </c>
      <c r="E209" s="39"/>
      <c r="F209" s="39"/>
      <c r="G209" s="61"/>
      <c r="H209" s="61"/>
      <c r="I209" s="1"/>
      <c r="J209" s="1"/>
      <c r="K209" s="1"/>
      <c r="L209" s="1"/>
      <c r="M209" s="80"/>
      <c r="N209" s="80"/>
      <c r="O209" s="80"/>
      <c r="P209" s="80"/>
      <c r="Q209" s="80"/>
      <c r="R209" s="1"/>
      <c r="S209" s="1"/>
      <c r="T209" s="371"/>
      <c r="U209" s="370"/>
      <c r="V209" s="370"/>
      <c r="W209" s="370"/>
      <c r="X209" s="370"/>
    </row>
    <row r="210" spans="1:24">
      <c r="A210" s="21">
        <v>45591</v>
      </c>
      <c r="B210" s="21"/>
      <c r="C210" s="31"/>
      <c r="D210" s="301" t="s">
        <v>48</v>
      </c>
      <c r="E210" s="39"/>
      <c r="F210" s="39"/>
      <c r="G210" s="61"/>
      <c r="H210" s="61"/>
      <c r="I210" s="1"/>
      <c r="J210" s="1"/>
      <c r="K210" s="1"/>
      <c r="L210" s="1"/>
      <c r="M210" s="80"/>
      <c r="N210" s="80"/>
      <c r="O210" s="80"/>
      <c r="P210" s="80"/>
      <c r="Q210" s="80"/>
      <c r="R210" s="1"/>
      <c r="S210" s="1"/>
      <c r="T210" s="371"/>
      <c r="U210" s="370"/>
      <c r="V210" s="370"/>
      <c r="W210" s="370"/>
      <c r="X210" s="370"/>
    </row>
    <row r="211" spans="1:24">
      <c r="A211" s="21">
        <v>45592</v>
      </c>
      <c r="B211" s="21"/>
      <c r="C211" s="31"/>
      <c r="D211" s="301" t="s">
        <v>48</v>
      </c>
      <c r="E211" s="39"/>
      <c r="F211" s="39"/>
      <c r="G211" s="61"/>
      <c r="H211" s="61"/>
      <c r="I211" s="1"/>
      <c r="J211" s="1"/>
      <c r="K211" s="1"/>
      <c r="L211" s="1"/>
      <c r="M211" s="80"/>
      <c r="N211" s="80"/>
      <c r="O211" s="80"/>
      <c r="P211" s="80"/>
      <c r="Q211" s="80"/>
      <c r="R211" s="1"/>
      <c r="S211" s="1"/>
      <c r="T211" s="371"/>
      <c r="U211" s="370"/>
      <c r="V211" s="370"/>
      <c r="W211" s="370"/>
      <c r="X211" s="370"/>
    </row>
    <row r="212" spans="1:24">
      <c r="A212" s="21">
        <v>45593</v>
      </c>
      <c r="B212" s="21"/>
      <c r="C212" s="31"/>
      <c r="D212" s="301" t="s">
        <v>48</v>
      </c>
      <c r="E212" s="39"/>
      <c r="F212" s="39"/>
      <c r="G212" s="61"/>
      <c r="H212" s="61"/>
      <c r="I212" s="1"/>
      <c r="J212" s="1"/>
      <c r="K212" s="1"/>
      <c r="L212" s="1"/>
      <c r="M212" s="80"/>
      <c r="N212" s="80"/>
      <c r="O212" s="80"/>
      <c r="P212" s="80"/>
      <c r="Q212" s="80"/>
      <c r="R212" s="1"/>
      <c r="S212" s="1"/>
      <c r="T212" s="371"/>
      <c r="U212" s="370"/>
      <c r="V212" s="370"/>
      <c r="W212" s="370"/>
      <c r="X212" s="370"/>
    </row>
    <row r="213" spans="1:24">
      <c r="A213" s="21">
        <v>45594</v>
      </c>
      <c r="B213" s="21"/>
      <c r="C213" s="31"/>
      <c r="D213" s="301" t="s">
        <v>48</v>
      </c>
      <c r="E213" s="39"/>
      <c r="F213" s="39"/>
      <c r="G213" s="61"/>
      <c r="H213" s="61"/>
      <c r="I213" s="1"/>
      <c r="J213" s="1"/>
      <c r="K213" s="1"/>
      <c r="L213" s="1"/>
      <c r="M213" s="80"/>
      <c r="N213" s="80"/>
      <c r="O213" s="80"/>
      <c r="P213" s="80"/>
      <c r="Q213" s="80"/>
      <c r="R213" s="1"/>
      <c r="S213" s="1"/>
      <c r="T213" s="371"/>
      <c r="U213" s="370"/>
      <c r="V213" s="370"/>
      <c r="W213" s="370"/>
      <c r="X213" s="370"/>
    </row>
    <row r="214" spans="1:24">
      <c r="A214" s="21">
        <v>45595</v>
      </c>
      <c r="B214" s="21"/>
      <c r="C214" s="31"/>
      <c r="D214" s="301" t="s">
        <v>48</v>
      </c>
      <c r="E214" s="39"/>
      <c r="F214" s="39"/>
      <c r="G214" s="61"/>
      <c r="H214" s="61"/>
      <c r="I214" s="38"/>
      <c r="J214" s="28"/>
      <c r="K214" s="28"/>
      <c r="L214" s="28"/>
      <c r="M214" s="80"/>
      <c r="N214" s="80"/>
      <c r="O214" s="80"/>
      <c r="P214" s="80"/>
      <c r="Q214" s="80"/>
      <c r="R214" s="1"/>
      <c r="S214" s="1"/>
      <c r="T214" s="371"/>
      <c r="U214" s="370"/>
      <c r="V214" s="370"/>
      <c r="W214" s="370"/>
      <c r="X214" s="370"/>
    </row>
    <row r="215" spans="1:24" s="45" customFormat="1">
      <c r="A215" s="21">
        <v>45596</v>
      </c>
      <c r="B215" s="21"/>
      <c r="C215" s="46"/>
      <c r="D215" s="301" t="s">
        <v>48</v>
      </c>
      <c r="E215" s="88"/>
      <c r="F215" s="88"/>
      <c r="G215" s="61"/>
      <c r="H215" s="61"/>
      <c r="I215" s="47"/>
      <c r="J215" s="47"/>
      <c r="K215" s="47"/>
      <c r="L215" s="47"/>
      <c r="M215" s="89"/>
      <c r="N215" s="89"/>
      <c r="O215" s="89"/>
      <c r="P215" s="89"/>
      <c r="Q215" s="89"/>
      <c r="R215" s="47"/>
      <c r="S215" s="47"/>
      <c r="T215" s="371"/>
      <c r="U215" s="370"/>
      <c r="V215" s="370"/>
      <c r="W215" s="370"/>
      <c r="X215" s="370"/>
    </row>
    <row r="216" spans="1:24">
      <c r="A216" s="21">
        <v>45597</v>
      </c>
      <c r="B216" s="21"/>
      <c r="C216" s="31"/>
      <c r="D216" s="301" t="s">
        <v>48</v>
      </c>
      <c r="E216" s="38"/>
      <c r="F216" s="38"/>
      <c r="G216" s="61"/>
      <c r="H216" s="61"/>
      <c r="I216" s="28"/>
      <c r="J216" s="28"/>
      <c r="K216" s="28"/>
      <c r="L216" s="28"/>
      <c r="M216" s="81"/>
      <c r="N216" s="81"/>
      <c r="O216" s="81"/>
      <c r="P216" s="81"/>
      <c r="Q216" s="81"/>
      <c r="R216" s="1"/>
      <c r="S216" s="1"/>
      <c r="T216" s="371"/>
      <c r="U216" s="370"/>
      <c r="V216" s="370"/>
      <c r="W216" s="370"/>
      <c r="X216" s="370"/>
    </row>
    <row r="217" spans="1:24">
      <c r="A217" s="21">
        <v>45598</v>
      </c>
      <c r="B217" s="21"/>
      <c r="C217" s="31"/>
      <c r="D217" s="301" t="s">
        <v>48</v>
      </c>
      <c r="E217" s="39"/>
      <c r="F217" s="39"/>
      <c r="G217" s="61"/>
      <c r="H217" s="61"/>
      <c r="I217" s="1"/>
      <c r="J217" s="1"/>
      <c r="K217" s="1"/>
      <c r="L217" s="1"/>
      <c r="M217" s="80"/>
      <c r="N217" s="80"/>
      <c r="O217" s="80"/>
      <c r="P217" s="80"/>
      <c r="Q217" s="80"/>
      <c r="R217" s="1"/>
      <c r="S217" s="1"/>
      <c r="T217" s="371"/>
      <c r="U217" s="370"/>
      <c r="V217" s="370"/>
      <c r="W217" s="370"/>
      <c r="X217" s="370"/>
    </row>
    <row r="218" spans="1:24">
      <c r="A218" s="21">
        <v>45599</v>
      </c>
      <c r="B218" s="21"/>
      <c r="C218" s="30"/>
      <c r="D218" s="301" t="s">
        <v>48</v>
      </c>
      <c r="E218" s="39"/>
      <c r="F218" s="39"/>
      <c r="G218" s="61"/>
      <c r="H218" s="61"/>
      <c r="I218" s="1"/>
      <c r="J218" s="1"/>
      <c r="K218" s="1"/>
      <c r="L218" s="1"/>
      <c r="M218" s="80"/>
      <c r="N218" s="80"/>
      <c r="O218" s="80"/>
      <c r="P218" s="80"/>
      <c r="Q218" s="80"/>
      <c r="R218" s="1"/>
      <c r="S218" s="1"/>
      <c r="T218" s="371"/>
      <c r="U218" s="370"/>
      <c r="V218" s="370"/>
      <c r="W218" s="370"/>
      <c r="X218" s="370"/>
    </row>
    <row r="219" spans="1:24">
      <c r="A219" s="21">
        <v>45600</v>
      </c>
      <c r="B219" s="21"/>
      <c r="C219" s="31"/>
      <c r="D219" s="301" t="s">
        <v>48</v>
      </c>
      <c r="E219" s="39"/>
      <c r="F219" s="39"/>
      <c r="G219" s="61"/>
      <c r="H219" s="61"/>
      <c r="I219" s="1"/>
      <c r="J219" s="1"/>
      <c r="K219" s="1"/>
      <c r="L219" s="1"/>
      <c r="M219" s="80"/>
      <c r="N219" s="80"/>
      <c r="O219" s="80"/>
      <c r="P219" s="80"/>
      <c r="Q219" s="80"/>
      <c r="R219" s="1"/>
      <c r="S219" s="1"/>
      <c r="T219" s="371"/>
      <c r="U219" s="370"/>
      <c r="V219" s="370"/>
      <c r="W219" s="370"/>
      <c r="X219" s="370"/>
    </row>
    <row r="220" spans="1:24">
      <c r="A220" s="21">
        <v>45601</v>
      </c>
      <c r="B220" s="21"/>
      <c r="C220" s="30"/>
      <c r="D220" s="301" t="s">
        <v>48</v>
      </c>
      <c r="E220" s="39"/>
      <c r="F220" s="39"/>
      <c r="G220" s="61"/>
      <c r="H220" s="61"/>
      <c r="I220" s="38"/>
      <c r="J220" s="28"/>
      <c r="K220" s="28"/>
      <c r="L220" s="28"/>
      <c r="M220" s="80"/>
      <c r="N220" s="80"/>
      <c r="O220" s="80"/>
      <c r="P220" s="80"/>
      <c r="Q220" s="80"/>
      <c r="R220" s="1"/>
      <c r="S220" s="1"/>
      <c r="T220" s="371"/>
      <c r="U220" s="370"/>
      <c r="V220" s="370"/>
      <c r="W220" s="370"/>
      <c r="X220" s="370"/>
    </row>
    <row r="221" spans="1:24">
      <c r="A221" s="21">
        <v>45602</v>
      </c>
      <c r="B221" s="21"/>
      <c r="C221" s="31"/>
      <c r="D221" s="301" t="s">
        <v>48</v>
      </c>
      <c r="E221" s="39"/>
      <c r="F221" s="39"/>
      <c r="G221" s="61"/>
      <c r="H221" s="61"/>
      <c r="I221" s="1"/>
      <c r="J221" s="1"/>
      <c r="K221" s="1"/>
      <c r="L221" s="1"/>
      <c r="M221" s="80"/>
      <c r="N221" s="80"/>
      <c r="O221" s="80"/>
      <c r="P221" s="80"/>
      <c r="Q221" s="80"/>
      <c r="R221" s="1"/>
      <c r="S221" s="1"/>
      <c r="T221" s="371"/>
      <c r="U221" s="370"/>
      <c r="V221" s="370"/>
      <c r="W221" s="370"/>
      <c r="X221" s="370"/>
    </row>
    <row r="222" spans="1:24">
      <c r="A222" s="21">
        <v>45603</v>
      </c>
      <c r="B222" s="21"/>
      <c r="C222" s="30"/>
      <c r="D222" s="301" t="s">
        <v>48</v>
      </c>
      <c r="E222" s="39"/>
      <c r="F222" s="39"/>
      <c r="G222" s="61"/>
      <c r="H222" s="61"/>
      <c r="I222" s="38"/>
      <c r="J222" s="28"/>
      <c r="K222" s="28"/>
      <c r="L222" s="28"/>
      <c r="M222" s="80"/>
      <c r="N222" s="80"/>
      <c r="O222" s="80"/>
      <c r="P222" s="80"/>
      <c r="Q222" s="80"/>
      <c r="R222" s="1"/>
      <c r="S222" s="1"/>
      <c r="T222" s="371"/>
      <c r="U222" s="370"/>
      <c r="V222" s="370"/>
      <c r="W222" s="370"/>
      <c r="X222" s="370"/>
    </row>
    <row r="223" spans="1:24">
      <c r="A223" s="21">
        <v>45604</v>
      </c>
      <c r="B223" s="21"/>
      <c r="C223" s="31"/>
      <c r="D223" s="301" t="s">
        <v>48</v>
      </c>
      <c r="E223" s="39"/>
      <c r="F223" s="39"/>
      <c r="G223" s="61"/>
      <c r="H223" s="61"/>
      <c r="I223" s="1"/>
      <c r="J223" s="1"/>
      <c r="K223" s="1"/>
      <c r="L223" s="1"/>
      <c r="M223" s="80"/>
      <c r="N223" s="80"/>
      <c r="O223" s="80"/>
      <c r="P223" s="80"/>
      <c r="Q223" s="80"/>
      <c r="R223" s="1"/>
      <c r="S223" s="1"/>
      <c r="T223" s="371"/>
      <c r="U223" s="370"/>
      <c r="V223" s="370"/>
      <c r="W223" s="370"/>
      <c r="X223" s="370"/>
    </row>
    <row r="224" spans="1:24">
      <c r="A224" s="21">
        <v>45605</v>
      </c>
      <c r="B224" s="21"/>
      <c r="C224" s="30"/>
      <c r="D224" s="301" t="s">
        <v>48</v>
      </c>
      <c r="E224" s="39"/>
      <c r="F224" s="39"/>
      <c r="G224" s="61"/>
      <c r="H224" s="61"/>
      <c r="I224" s="38"/>
      <c r="J224" s="28"/>
      <c r="K224" s="28"/>
      <c r="L224" s="28"/>
      <c r="M224" s="80"/>
      <c r="N224" s="80"/>
      <c r="O224" s="80"/>
      <c r="P224" s="80"/>
      <c r="Q224" s="80"/>
      <c r="R224" s="1"/>
      <c r="S224" s="1"/>
      <c r="T224" s="371"/>
      <c r="U224" s="370"/>
      <c r="V224" s="370"/>
      <c r="W224" s="370"/>
      <c r="X224" s="370"/>
    </row>
    <row r="225" spans="1:24">
      <c r="A225" s="21">
        <v>45606</v>
      </c>
      <c r="B225" s="21"/>
      <c r="C225" s="31"/>
      <c r="D225" s="301" t="s">
        <v>48</v>
      </c>
      <c r="E225" s="39"/>
      <c r="F225" s="39"/>
      <c r="G225" s="61"/>
      <c r="H225" s="61"/>
      <c r="I225" s="1"/>
      <c r="J225" s="1"/>
      <c r="K225" s="1"/>
      <c r="L225" s="1"/>
      <c r="M225" s="80"/>
      <c r="N225" s="80"/>
      <c r="O225" s="80"/>
      <c r="P225" s="80"/>
      <c r="Q225" s="80"/>
      <c r="R225" s="1"/>
      <c r="S225" s="1"/>
      <c r="T225" s="371"/>
      <c r="U225" s="370"/>
      <c r="V225" s="370"/>
      <c r="W225" s="370"/>
      <c r="X225" s="370"/>
    </row>
    <row r="226" spans="1:24">
      <c r="A226" s="21">
        <v>45607</v>
      </c>
      <c r="B226" s="21"/>
      <c r="C226" s="30"/>
      <c r="D226" s="301" t="s">
        <v>48</v>
      </c>
      <c r="E226" s="39"/>
      <c r="F226" s="39"/>
      <c r="G226" s="61"/>
      <c r="H226" s="61"/>
      <c r="I226" s="38"/>
      <c r="J226" s="28"/>
      <c r="K226" s="28"/>
      <c r="L226" s="28"/>
      <c r="M226" s="80"/>
      <c r="N226" s="80"/>
      <c r="O226" s="80"/>
      <c r="P226" s="80"/>
      <c r="Q226" s="80"/>
      <c r="R226" s="1"/>
      <c r="S226" s="1"/>
      <c r="T226" s="371"/>
      <c r="U226" s="370"/>
      <c r="V226" s="370"/>
      <c r="W226" s="370"/>
      <c r="X226" s="370"/>
    </row>
    <row r="227" spans="1:24">
      <c r="A227" s="21">
        <v>45608</v>
      </c>
      <c r="B227" s="21"/>
      <c r="C227" s="31"/>
      <c r="D227" s="301" t="s">
        <v>48</v>
      </c>
      <c r="E227" s="39"/>
      <c r="F227" s="39"/>
      <c r="G227" s="61"/>
      <c r="H227" s="61"/>
      <c r="I227" s="1"/>
      <c r="J227" s="1"/>
      <c r="K227" s="1"/>
      <c r="L227" s="1"/>
      <c r="M227" s="80"/>
      <c r="N227" s="80"/>
      <c r="O227" s="80"/>
      <c r="P227" s="80"/>
      <c r="Q227" s="80"/>
      <c r="R227" s="1"/>
      <c r="S227" s="1"/>
      <c r="T227" s="371"/>
      <c r="U227" s="370"/>
      <c r="V227" s="370"/>
      <c r="W227" s="370"/>
      <c r="X227" s="370"/>
    </row>
    <row r="228" spans="1:24">
      <c r="A228" s="21">
        <v>45609</v>
      </c>
      <c r="B228" s="21"/>
      <c r="C228" s="30"/>
      <c r="D228" s="301" t="s">
        <v>48</v>
      </c>
      <c r="E228" s="39"/>
      <c r="F228" s="39"/>
      <c r="G228" s="61"/>
      <c r="H228" s="61"/>
      <c r="I228" s="38"/>
      <c r="J228" s="28"/>
      <c r="K228" s="28"/>
      <c r="L228" s="28"/>
      <c r="M228" s="80"/>
      <c r="N228" s="80"/>
      <c r="O228" s="80"/>
      <c r="P228" s="80"/>
      <c r="Q228" s="80"/>
      <c r="R228" s="1"/>
      <c r="S228" s="1"/>
      <c r="T228" s="371"/>
      <c r="U228" s="370"/>
      <c r="V228" s="370"/>
      <c r="W228" s="370"/>
      <c r="X228" s="370"/>
    </row>
    <row r="229" spans="1:24">
      <c r="A229" s="21">
        <v>45610</v>
      </c>
      <c r="B229" s="21"/>
      <c r="C229" s="31"/>
      <c r="D229" s="301" t="s">
        <v>48</v>
      </c>
      <c r="E229" s="39"/>
      <c r="F229" s="188"/>
      <c r="G229" s="61"/>
      <c r="H229" s="61"/>
      <c r="I229" s="1"/>
      <c r="J229" s="1"/>
      <c r="K229" s="1"/>
      <c r="L229" s="1"/>
      <c r="M229" s="80"/>
      <c r="N229" s="80"/>
      <c r="O229" s="80"/>
      <c r="P229" s="80"/>
      <c r="Q229" s="80"/>
      <c r="R229" s="1"/>
      <c r="S229" s="1"/>
      <c r="T229" s="371"/>
      <c r="U229" s="370"/>
      <c r="V229" s="370"/>
      <c r="W229" s="370"/>
      <c r="X229" s="370"/>
    </row>
    <row r="230" spans="1:24">
      <c r="A230" s="21">
        <v>45611</v>
      </c>
      <c r="B230" s="21"/>
      <c r="C230" s="30"/>
      <c r="D230" s="301" t="s">
        <v>48</v>
      </c>
      <c r="E230" s="39"/>
      <c r="F230" s="188"/>
      <c r="G230" s="61"/>
      <c r="H230" s="61"/>
      <c r="I230" s="1"/>
      <c r="J230" s="1"/>
      <c r="K230" s="1"/>
      <c r="L230" s="1"/>
      <c r="M230" s="80"/>
      <c r="N230" s="80"/>
      <c r="O230" s="80"/>
      <c r="P230" s="80"/>
      <c r="Q230" s="80"/>
      <c r="R230" s="1"/>
      <c r="S230" s="1"/>
      <c r="T230" s="371"/>
      <c r="U230" s="370"/>
      <c r="V230" s="370"/>
      <c r="W230" s="370"/>
      <c r="X230" s="370"/>
    </row>
    <row r="231" spans="1:24">
      <c r="A231" s="21">
        <v>45612</v>
      </c>
      <c r="B231" s="21"/>
      <c r="C231" s="31"/>
      <c r="D231" s="301" t="s">
        <v>48</v>
      </c>
      <c r="E231" s="39"/>
      <c r="F231" s="188"/>
      <c r="G231" s="61"/>
      <c r="H231" s="61"/>
      <c r="I231" s="1"/>
      <c r="J231" s="1"/>
      <c r="K231" s="1"/>
      <c r="L231" s="1"/>
      <c r="M231" s="80"/>
      <c r="N231" s="80"/>
      <c r="O231" s="80"/>
      <c r="P231" s="80"/>
      <c r="Q231" s="80"/>
      <c r="R231" s="1"/>
      <c r="S231" s="1"/>
      <c r="T231" s="371"/>
      <c r="U231" s="370"/>
      <c r="V231" s="370"/>
      <c r="W231" s="370"/>
      <c r="X231" s="370"/>
    </row>
    <row r="232" spans="1:24">
      <c r="A232" s="21">
        <v>45613</v>
      </c>
      <c r="B232" s="21"/>
      <c r="C232" s="30"/>
      <c r="D232" s="301" t="s">
        <v>48</v>
      </c>
      <c r="E232" s="39"/>
      <c r="F232" s="188"/>
      <c r="G232" s="61"/>
      <c r="H232" s="61"/>
      <c r="I232" s="1"/>
      <c r="J232" s="1"/>
      <c r="K232" s="1"/>
      <c r="L232" s="1"/>
      <c r="M232" s="80"/>
      <c r="N232" s="80"/>
      <c r="O232" s="80"/>
      <c r="P232" s="80"/>
      <c r="Q232" s="80"/>
      <c r="R232" s="1"/>
      <c r="S232" s="1"/>
      <c r="T232" s="371"/>
      <c r="U232" s="370"/>
      <c r="V232" s="370"/>
      <c r="W232" s="370"/>
      <c r="X232" s="370"/>
    </row>
    <row r="233" spans="1:24">
      <c r="A233" s="21">
        <v>45614</v>
      </c>
      <c r="B233" s="21"/>
      <c r="C233" s="31"/>
      <c r="D233" s="301" t="s">
        <v>48</v>
      </c>
      <c r="E233" s="39"/>
      <c r="F233" s="188"/>
      <c r="G233" s="61"/>
      <c r="H233" s="61"/>
      <c r="I233" s="1"/>
      <c r="J233" s="1"/>
      <c r="K233" s="1"/>
      <c r="L233" s="1"/>
      <c r="M233" s="80"/>
      <c r="N233" s="80"/>
      <c r="O233" s="80"/>
      <c r="P233" s="80"/>
      <c r="Q233" s="80"/>
      <c r="R233" s="1"/>
      <c r="S233" s="1"/>
      <c r="T233" s="371"/>
      <c r="U233" s="370"/>
      <c r="V233" s="370"/>
      <c r="W233" s="370"/>
      <c r="X233" s="370"/>
    </row>
    <row r="234" spans="1:24">
      <c r="A234" s="21">
        <v>45615</v>
      </c>
      <c r="B234" s="21"/>
      <c r="C234" s="30"/>
      <c r="D234" s="301" t="s">
        <v>48</v>
      </c>
      <c r="E234" s="39"/>
      <c r="F234" s="39"/>
      <c r="G234" s="61"/>
      <c r="H234" s="61"/>
      <c r="I234" s="1"/>
      <c r="J234" s="1"/>
      <c r="K234" s="1"/>
      <c r="L234" s="1"/>
      <c r="M234" s="80"/>
      <c r="N234" s="80"/>
      <c r="O234" s="80"/>
      <c r="P234" s="80"/>
      <c r="Q234" s="80"/>
      <c r="R234" s="1"/>
      <c r="S234" s="1"/>
      <c r="T234" s="371"/>
      <c r="U234" s="370"/>
      <c r="V234" s="370"/>
      <c r="W234" s="370"/>
      <c r="X234" s="370"/>
    </row>
    <row r="235" spans="1:24">
      <c r="A235" s="21">
        <v>45616</v>
      </c>
      <c r="B235" s="21"/>
      <c r="C235" s="31"/>
      <c r="D235" s="301" t="s">
        <v>48</v>
      </c>
      <c r="E235" s="39"/>
      <c r="F235" s="39"/>
      <c r="G235" s="61"/>
      <c r="H235" s="61"/>
      <c r="I235" s="1"/>
      <c r="J235" s="1"/>
      <c r="K235" s="1"/>
      <c r="L235" s="1"/>
      <c r="M235" s="80"/>
      <c r="N235" s="80"/>
      <c r="O235" s="80"/>
      <c r="P235" s="80"/>
      <c r="Q235" s="80"/>
      <c r="R235" s="1"/>
      <c r="S235" s="1"/>
      <c r="T235" s="371"/>
      <c r="U235" s="370"/>
      <c r="V235" s="370"/>
      <c r="W235" s="370"/>
      <c r="X235" s="370"/>
    </row>
    <row r="236" spans="1:24">
      <c r="A236" s="21">
        <v>45617</v>
      </c>
      <c r="B236" s="21"/>
      <c r="C236" s="30"/>
      <c r="D236" s="301" t="s">
        <v>48</v>
      </c>
      <c r="E236" s="39"/>
      <c r="F236" s="39"/>
      <c r="G236" s="61"/>
      <c r="H236" s="61"/>
      <c r="I236" s="1"/>
      <c r="J236" s="1"/>
      <c r="K236" s="1"/>
      <c r="L236" s="1"/>
      <c r="M236" s="80"/>
      <c r="N236" s="80"/>
      <c r="O236" s="80"/>
      <c r="P236" s="80"/>
      <c r="Q236" s="80"/>
      <c r="R236" s="1"/>
      <c r="S236" s="1"/>
      <c r="T236" s="371"/>
      <c r="U236" s="370"/>
      <c r="V236" s="370"/>
      <c r="W236" s="370"/>
      <c r="X236" s="370"/>
    </row>
    <row r="237" spans="1:24">
      <c r="A237" s="21">
        <v>45618</v>
      </c>
      <c r="B237" s="21"/>
      <c r="C237" s="31"/>
      <c r="D237" s="301" t="s">
        <v>48</v>
      </c>
      <c r="E237" s="39"/>
      <c r="F237" s="39"/>
      <c r="G237" s="61"/>
      <c r="H237" s="61"/>
      <c r="I237" s="1"/>
      <c r="J237" s="1"/>
      <c r="K237" s="1"/>
      <c r="L237" s="1"/>
      <c r="M237" s="80"/>
      <c r="N237" s="80"/>
      <c r="O237" s="80"/>
      <c r="P237" s="80"/>
      <c r="Q237" s="80"/>
      <c r="R237" s="1"/>
      <c r="S237" s="1"/>
      <c r="T237" s="371"/>
      <c r="U237" s="370"/>
      <c r="V237" s="370"/>
      <c r="W237" s="370"/>
      <c r="X237" s="370"/>
    </row>
    <row r="238" spans="1:24">
      <c r="A238" s="21">
        <v>45619</v>
      </c>
      <c r="B238" s="21"/>
      <c r="C238" s="30"/>
      <c r="D238" s="301" t="s">
        <v>48</v>
      </c>
      <c r="E238" s="39"/>
      <c r="F238" s="39"/>
      <c r="G238" s="61"/>
      <c r="H238" s="61"/>
      <c r="I238" s="1"/>
      <c r="J238" s="1"/>
      <c r="K238" s="1"/>
      <c r="L238" s="1"/>
      <c r="M238" s="80"/>
      <c r="N238" s="80"/>
      <c r="O238" s="80"/>
      <c r="P238" s="80"/>
      <c r="Q238" s="80"/>
      <c r="R238" s="1"/>
      <c r="S238" s="1"/>
      <c r="T238" s="371"/>
      <c r="U238" s="370"/>
      <c r="V238" s="370"/>
      <c r="W238" s="370"/>
      <c r="X238" s="370"/>
    </row>
    <row r="239" spans="1:24">
      <c r="A239" s="21">
        <v>45620</v>
      </c>
      <c r="B239" s="21"/>
      <c r="C239" s="31"/>
      <c r="D239" s="301" t="s">
        <v>48</v>
      </c>
      <c r="E239" s="39"/>
      <c r="F239" s="39"/>
      <c r="G239" s="61"/>
      <c r="H239" s="61"/>
      <c r="I239" s="1"/>
      <c r="J239" s="1"/>
      <c r="K239" s="1"/>
      <c r="L239" s="1"/>
      <c r="M239" s="80"/>
      <c r="N239" s="80"/>
      <c r="O239" s="80"/>
      <c r="P239" s="80"/>
      <c r="Q239" s="80"/>
      <c r="R239" s="1"/>
      <c r="S239" s="1"/>
      <c r="T239" s="371"/>
      <c r="U239" s="370"/>
      <c r="V239" s="370"/>
      <c r="W239" s="370"/>
      <c r="X239" s="370"/>
    </row>
    <row r="240" spans="1:24">
      <c r="A240" s="21">
        <v>45621</v>
      </c>
      <c r="B240" s="21"/>
      <c r="C240" s="30"/>
      <c r="D240" s="301" t="s">
        <v>48</v>
      </c>
      <c r="E240" s="39"/>
      <c r="F240" s="39"/>
      <c r="G240" s="61"/>
      <c r="H240" s="61"/>
      <c r="I240" s="1"/>
      <c r="J240" s="1"/>
      <c r="K240" s="1"/>
      <c r="L240" s="1"/>
      <c r="M240" s="80"/>
      <c r="N240" s="80"/>
      <c r="O240" s="80"/>
      <c r="P240" s="80"/>
      <c r="Q240" s="80"/>
      <c r="R240" s="1"/>
      <c r="S240" s="1"/>
      <c r="T240" s="371"/>
      <c r="U240" s="370"/>
      <c r="V240" s="370"/>
      <c r="W240" s="370"/>
      <c r="X240" s="370"/>
    </row>
    <row r="241" spans="1:24">
      <c r="A241" s="21">
        <v>45622</v>
      </c>
      <c r="B241" s="21"/>
      <c r="C241" s="31"/>
      <c r="D241" s="301" t="s">
        <v>48</v>
      </c>
      <c r="E241" s="39"/>
      <c r="F241" s="39"/>
      <c r="G241" s="61"/>
      <c r="H241" s="61"/>
      <c r="I241" s="1"/>
      <c r="J241" s="1"/>
      <c r="K241" s="1"/>
      <c r="L241" s="1"/>
      <c r="M241" s="80"/>
      <c r="N241" s="80"/>
      <c r="O241" s="80"/>
      <c r="P241" s="80"/>
      <c r="Q241" s="80"/>
      <c r="R241" s="1"/>
      <c r="S241" s="1"/>
      <c r="T241" s="371"/>
      <c r="U241" s="370"/>
      <c r="V241" s="370"/>
      <c r="W241" s="370"/>
      <c r="X241" s="370"/>
    </row>
    <row r="242" spans="1:24">
      <c r="A242" s="21">
        <v>45623</v>
      </c>
      <c r="B242" s="21"/>
      <c r="C242" s="30"/>
      <c r="D242" s="301" t="s">
        <v>48</v>
      </c>
      <c r="E242" s="39"/>
      <c r="F242" s="39"/>
      <c r="G242" s="61"/>
      <c r="H242" s="61"/>
      <c r="I242" s="1"/>
      <c r="J242" s="1"/>
      <c r="K242" s="1"/>
      <c r="L242" s="1"/>
      <c r="M242" s="80"/>
      <c r="N242" s="80"/>
      <c r="O242" s="80"/>
      <c r="P242" s="80"/>
      <c r="Q242" s="80"/>
      <c r="R242" s="1"/>
      <c r="S242" s="1"/>
      <c r="T242" s="371"/>
      <c r="U242" s="370"/>
      <c r="V242" s="370"/>
      <c r="W242" s="370"/>
      <c r="X242" s="370"/>
    </row>
    <row r="243" spans="1:24">
      <c r="A243" s="21">
        <v>45624</v>
      </c>
      <c r="B243" s="21"/>
      <c r="C243" s="31"/>
      <c r="D243" s="301" t="s">
        <v>48</v>
      </c>
      <c r="E243" s="39"/>
      <c r="F243" s="39"/>
      <c r="G243" s="61"/>
      <c r="H243" s="61"/>
      <c r="I243" s="1"/>
      <c r="J243" s="1"/>
      <c r="K243" s="1"/>
      <c r="L243" s="1"/>
      <c r="M243" s="80"/>
      <c r="N243" s="80"/>
      <c r="O243" s="80"/>
      <c r="P243" s="80"/>
      <c r="Q243" s="80"/>
      <c r="R243" s="1"/>
      <c r="S243" s="1"/>
      <c r="T243" s="371"/>
      <c r="U243" s="370"/>
      <c r="V243" s="370"/>
      <c r="W243" s="370"/>
      <c r="X243" s="370"/>
    </row>
    <row r="244" spans="1:24">
      <c r="A244" s="21">
        <v>45625</v>
      </c>
      <c r="B244" s="21"/>
      <c r="C244" s="30"/>
      <c r="D244" s="301" t="s">
        <v>48</v>
      </c>
      <c r="E244" s="39"/>
      <c r="F244" s="39"/>
      <c r="G244" s="61"/>
      <c r="H244" s="61"/>
      <c r="I244" s="1"/>
      <c r="J244" s="1"/>
      <c r="K244" s="1"/>
      <c r="L244" s="1"/>
      <c r="M244" s="80"/>
      <c r="N244" s="80"/>
      <c r="O244" s="80"/>
      <c r="P244" s="80"/>
      <c r="Q244" s="80"/>
      <c r="R244" s="1"/>
      <c r="S244" s="1"/>
      <c r="T244" s="371"/>
      <c r="U244" s="370"/>
      <c r="V244" s="370"/>
      <c r="W244" s="370"/>
      <c r="X244" s="370"/>
    </row>
    <row r="245" spans="1:24">
      <c r="A245" s="21">
        <v>45626</v>
      </c>
      <c r="B245" s="21"/>
      <c r="C245" s="31"/>
      <c r="D245" s="301" t="s">
        <v>48</v>
      </c>
      <c r="E245" s="39"/>
      <c r="F245" s="39"/>
      <c r="G245" s="61"/>
      <c r="H245" s="61"/>
      <c r="I245" s="1"/>
      <c r="J245" s="1"/>
      <c r="K245" s="1"/>
      <c r="L245" s="1"/>
      <c r="M245" s="80"/>
      <c r="N245" s="80"/>
      <c r="O245" s="80"/>
      <c r="P245" s="80"/>
      <c r="Q245" s="80"/>
      <c r="R245" s="1"/>
      <c r="S245" s="1"/>
      <c r="T245" s="371"/>
      <c r="U245" s="370"/>
      <c r="V245" s="370"/>
      <c r="W245" s="370"/>
      <c r="X245" s="370"/>
    </row>
    <row r="246" spans="1:24" s="45" customFormat="1">
      <c r="A246" s="21">
        <v>45627</v>
      </c>
      <c r="B246" s="21"/>
      <c r="C246" s="90"/>
      <c r="D246" s="301" t="s">
        <v>48</v>
      </c>
      <c r="E246" s="88"/>
      <c r="F246" s="88"/>
      <c r="G246" s="61"/>
      <c r="H246" s="61"/>
      <c r="I246" s="47"/>
      <c r="J246" s="47"/>
      <c r="K246" s="47"/>
      <c r="L246" s="47"/>
      <c r="M246" s="89"/>
      <c r="N246" s="89"/>
      <c r="O246" s="89"/>
      <c r="P246" s="89"/>
      <c r="Q246" s="89"/>
      <c r="R246" s="47"/>
      <c r="S246" s="47"/>
      <c r="T246" s="371"/>
      <c r="U246" s="370"/>
      <c r="V246" s="370"/>
      <c r="W246" s="370"/>
      <c r="X246" s="370"/>
    </row>
    <row r="247" spans="1:24">
      <c r="A247" s="21">
        <v>45628</v>
      </c>
      <c r="B247" s="21"/>
      <c r="C247" s="31"/>
      <c r="D247" s="301" t="s">
        <v>48</v>
      </c>
      <c r="E247" s="39"/>
      <c r="F247" s="39"/>
      <c r="G247" s="61"/>
      <c r="H247" s="61"/>
      <c r="I247" s="1"/>
      <c r="J247" s="1"/>
      <c r="K247" s="1"/>
      <c r="L247" s="1"/>
      <c r="M247" s="80"/>
      <c r="N247" s="80"/>
      <c r="O247" s="80"/>
      <c r="P247" s="80"/>
      <c r="Q247" s="80"/>
      <c r="R247" s="1"/>
      <c r="S247" s="1"/>
      <c r="T247" s="371"/>
      <c r="U247" s="370"/>
      <c r="V247" s="370"/>
      <c r="W247" s="370"/>
      <c r="X247" s="370"/>
    </row>
    <row r="248" spans="1:24">
      <c r="A248" s="21">
        <v>45629</v>
      </c>
      <c r="B248" s="21"/>
      <c r="C248" s="30"/>
      <c r="D248" s="301" t="s">
        <v>48</v>
      </c>
      <c r="E248" s="39"/>
      <c r="F248" s="39"/>
      <c r="G248" s="61"/>
      <c r="H248" s="61"/>
      <c r="I248" s="1"/>
      <c r="J248" s="1"/>
      <c r="K248" s="1"/>
      <c r="L248" s="1"/>
      <c r="M248" s="80"/>
      <c r="N248" s="80"/>
      <c r="O248" s="80"/>
      <c r="P248" s="80"/>
      <c r="Q248" s="80"/>
      <c r="R248" s="1"/>
      <c r="S248" s="1"/>
      <c r="T248" s="371"/>
      <c r="U248" s="370"/>
      <c r="V248" s="370"/>
      <c r="W248" s="370"/>
      <c r="X248" s="370"/>
    </row>
    <row r="249" spans="1:24">
      <c r="A249" s="21">
        <v>45630</v>
      </c>
      <c r="B249" s="21"/>
      <c r="C249" s="31"/>
      <c r="D249" s="301" t="s">
        <v>48</v>
      </c>
      <c r="E249" s="39"/>
      <c r="F249" s="39"/>
      <c r="G249" s="61"/>
      <c r="H249" s="61"/>
      <c r="I249" s="1"/>
      <c r="J249" s="1"/>
      <c r="K249" s="1"/>
      <c r="L249" s="1"/>
      <c r="M249" s="80"/>
      <c r="N249" s="80"/>
      <c r="O249" s="80"/>
      <c r="P249" s="80"/>
      <c r="Q249" s="80"/>
      <c r="R249" s="1"/>
      <c r="S249" s="1"/>
      <c r="T249" s="371"/>
      <c r="U249" s="370"/>
      <c r="V249" s="370"/>
      <c r="W249" s="370"/>
      <c r="X249" s="370"/>
    </row>
    <row r="250" spans="1:24">
      <c r="A250" s="21">
        <v>45631</v>
      </c>
      <c r="B250" s="21"/>
      <c r="C250" s="30"/>
      <c r="D250" s="301" t="s">
        <v>48</v>
      </c>
      <c r="E250" s="39"/>
      <c r="F250" s="39"/>
      <c r="G250" s="61"/>
      <c r="H250" s="61"/>
      <c r="I250" s="1"/>
      <c r="J250" s="1"/>
      <c r="K250" s="1"/>
      <c r="L250" s="1"/>
      <c r="M250" s="80"/>
      <c r="N250" s="80"/>
      <c r="O250" s="80"/>
      <c r="P250" s="80"/>
      <c r="Q250" s="80"/>
      <c r="R250" s="1"/>
      <c r="S250" s="1"/>
      <c r="T250" s="371"/>
      <c r="U250" s="370"/>
      <c r="V250" s="370"/>
      <c r="W250" s="370"/>
      <c r="X250" s="370"/>
    </row>
    <row r="251" spans="1:24">
      <c r="A251" s="21">
        <v>45632</v>
      </c>
      <c r="B251" s="21"/>
      <c r="C251" s="31"/>
      <c r="D251" s="301" t="s">
        <v>48</v>
      </c>
      <c r="E251" s="39"/>
      <c r="F251" s="39"/>
      <c r="G251" s="61"/>
      <c r="H251" s="61"/>
      <c r="I251" s="1"/>
      <c r="J251" s="1"/>
      <c r="K251" s="1"/>
      <c r="L251" s="1"/>
      <c r="M251" s="80"/>
      <c r="N251" s="80"/>
      <c r="O251" s="80"/>
      <c r="P251" s="80"/>
      <c r="Q251" s="80"/>
      <c r="R251" s="1"/>
      <c r="S251" s="1"/>
      <c r="T251" s="371"/>
      <c r="U251" s="370"/>
      <c r="V251" s="370"/>
      <c r="W251" s="370"/>
      <c r="X251" s="370"/>
    </row>
    <row r="252" spans="1:24">
      <c r="A252" s="21">
        <v>45633</v>
      </c>
      <c r="B252" s="21"/>
      <c r="C252" s="30"/>
      <c r="D252" s="301" t="s">
        <v>48</v>
      </c>
      <c r="E252" s="38"/>
      <c r="F252" s="38"/>
      <c r="G252" s="61"/>
      <c r="H252" s="61"/>
      <c r="I252" s="28"/>
      <c r="J252" s="28"/>
      <c r="K252" s="28"/>
      <c r="L252" s="28"/>
      <c r="M252" s="81"/>
      <c r="N252" s="81"/>
      <c r="O252" s="81"/>
      <c r="P252" s="81"/>
      <c r="Q252" s="81"/>
      <c r="R252" s="28"/>
      <c r="S252" s="28"/>
      <c r="T252" s="371"/>
      <c r="U252" s="370"/>
      <c r="V252" s="370"/>
      <c r="W252" s="370"/>
      <c r="X252" s="370"/>
    </row>
    <row r="253" spans="1:24">
      <c r="A253" s="21">
        <v>45634</v>
      </c>
      <c r="B253" s="21"/>
      <c r="C253" s="31"/>
      <c r="D253" s="301" t="s">
        <v>48</v>
      </c>
      <c r="E253" s="39"/>
      <c r="F253" s="39"/>
      <c r="G253" s="61"/>
      <c r="H253" s="61"/>
      <c r="I253" s="1"/>
      <c r="J253" s="1"/>
      <c r="K253" s="1"/>
      <c r="L253" s="1"/>
      <c r="M253" s="17"/>
      <c r="N253" s="80"/>
      <c r="O253" s="80"/>
      <c r="P253" s="80"/>
      <c r="Q253" s="80"/>
      <c r="R253" s="1"/>
      <c r="S253" s="1"/>
      <c r="T253" s="371"/>
      <c r="U253" s="370"/>
      <c r="V253" s="370"/>
      <c r="W253" s="370"/>
      <c r="X253" s="370"/>
    </row>
    <row r="254" spans="1:24">
      <c r="A254" s="21">
        <v>45635</v>
      </c>
      <c r="B254" s="21"/>
      <c r="C254" s="31"/>
      <c r="D254" s="301" t="s">
        <v>48</v>
      </c>
      <c r="E254" s="38"/>
      <c r="F254" s="38"/>
      <c r="G254" s="61"/>
      <c r="H254" s="61"/>
      <c r="I254" s="1"/>
      <c r="J254" s="28"/>
      <c r="K254" s="28"/>
      <c r="L254" s="28"/>
      <c r="M254" s="33"/>
      <c r="N254" s="81"/>
      <c r="O254" s="81"/>
      <c r="P254" s="81"/>
      <c r="Q254" s="81"/>
      <c r="R254" s="1"/>
      <c r="S254" s="1"/>
      <c r="T254" s="371"/>
      <c r="U254" s="370"/>
      <c r="V254" s="370"/>
      <c r="W254" s="370"/>
      <c r="X254" s="370"/>
    </row>
    <row r="255" spans="1:24">
      <c r="A255" s="21">
        <v>45636</v>
      </c>
      <c r="B255" s="21"/>
      <c r="C255" s="31"/>
      <c r="D255" s="301" t="s">
        <v>48</v>
      </c>
      <c r="E255" s="39"/>
      <c r="F255" s="39"/>
      <c r="G255" s="61"/>
      <c r="H255" s="61"/>
      <c r="I255" s="1"/>
      <c r="J255" s="1"/>
      <c r="K255" s="1"/>
      <c r="L255" s="1"/>
      <c r="M255" s="17"/>
      <c r="N255" s="80"/>
      <c r="O255" s="80"/>
      <c r="P255" s="80"/>
      <c r="Q255" s="80"/>
      <c r="R255" s="1"/>
      <c r="S255" s="1"/>
      <c r="T255" s="371"/>
      <c r="U255" s="370"/>
      <c r="V255" s="370"/>
      <c r="W255" s="370"/>
      <c r="X255" s="370"/>
    </row>
    <row r="256" spans="1:24">
      <c r="A256" s="21">
        <v>45637</v>
      </c>
      <c r="B256" s="21"/>
      <c r="C256" s="31"/>
      <c r="D256" s="301" t="s">
        <v>48</v>
      </c>
      <c r="E256" s="38"/>
      <c r="F256" s="38"/>
      <c r="G256" s="61"/>
      <c r="H256" s="61"/>
      <c r="I256" s="1"/>
      <c r="J256" s="28"/>
      <c r="K256" s="28"/>
      <c r="L256" s="28"/>
      <c r="M256" s="33"/>
      <c r="N256" s="81"/>
      <c r="O256" s="81"/>
      <c r="P256" s="81"/>
      <c r="Q256" s="81"/>
      <c r="R256" s="1"/>
      <c r="S256" s="1"/>
      <c r="T256" s="371"/>
      <c r="U256" s="370"/>
      <c r="V256" s="370"/>
      <c r="W256" s="370"/>
      <c r="X256" s="370"/>
    </row>
    <row r="257" spans="1:24">
      <c r="A257" s="21">
        <v>45638</v>
      </c>
      <c r="B257" s="21"/>
      <c r="C257" s="31"/>
      <c r="D257" s="301" t="s">
        <v>48</v>
      </c>
      <c r="E257" s="39"/>
      <c r="F257" s="39"/>
      <c r="G257" s="61"/>
      <c r="H257" s="61"/>
      <c r="I257" s="1"/>
      <c r="J257" s="1"/>
      <c r="K257" s="1"/>
      <c r="L257" s="1"/>
      <c r="M257" s="17"/>
      <c r="N257" s="80"/>
      <c r="O257" s="80"/>
      <c r="P257" s="80"/>
      <c r="Q257" s="80"/>
      <c r="R257" s="1"/>
      <c r="S257" s="1"/>
      <c r="T257" s="371"/>
      <c r="U257" s="370"/>
      <c r="V257" s="370"/>
      <c r="W257" s="370"/>
      <c r="X257" s="370"/>
    </row>
    <row r="258" spans="1:24">
      <c r="A258" s="21">
        <v>45639</v>
      </c>
      <c r="B258" s="21"/>
      <c r="C258" s="30"/>
      <c r="D258" s="301" t="s">
        <v>48</v>
      </c>
      <c r="E258" s="38"/>
      <c r="F258" s="38"/>
      <c r="G258" s="61"/>
      <c r="H258" s="61"/>
      <c r="I258" s="28"/>
      <c r="J258" s="28"/>
      <c r="K258" s="28"/>
      <c r="L258" s="28"/>
      <c r="M258" s="33"/>
      <c r="N258" s="81"/>
      <c r="O258" s="81"/>
      <c r="P258" s="81"/>
      <c r="Q258" s="81"/>
      <c r="R258" s="1"/>
      <c r="S258" s="1"/>
      <c r="T258" s="371"/>
      <c r="U258" s="370"/>
      <c r="V258" s="370"/>
      <c r="W258" s="370"/>
      <c r="X258" s="370"/>
    </row>
    <row r="259" spans="1:24">
      <c r="A259" s="21">
        <v>45640</v>
      </c>
      <c r="B259" s="21"/>
      <c r="C259" s="31"/>
      <c r="D259" s="301" t="s">
        <v>48</v>
      </c>
      <c r="E259" s="39"/>
      <c r="F259" s="39"/>
      <c r="G259" s="61"/>
      <c r="H259" s="61"/>
      <c r="I259" s="1"/>
      <c r="J259" s="1"/>
      <c r="K259" s="1"/>
      <c r="L259" s="1"/>
      <c r="M259" s="17"/>
      <c r="N259" s="80"/>
      <c r="O259" s="80"/>
      <c r="P259" s="80"/>
      <c r="Q259" s="80"/>
      <c r="R259" s="1"/>
      <c r="S259" s="1"/>
      <c r="T259" s="371"/>
      <c r="U259" s="370"/>
      <c r="V259" s="370"/>
      <c r="W259" s="370"/>
      <c r="X259" s="370"/>
    </row>
    <row r="260" spans="1:24">
      <c r="A260" s="21">
        <v>45641</v>
      </c>
      <c r="B260" s="21"/>
      <c r="C260" s="30"/>
      <c r="D260" s="301" t="s">
        <v>48</v>
      </c>
      <c r="E260" s="38"/>
      <c r="F260" s="38"/>
      <c r="G260" s="61"/>
      <c r="H260" s="61"/>
      <c r="I260" s="28"/>
      <c r="J260" s="28"/>
      <c r="K260" s="28"/>
      <c r="L260" s="28"/>
      <c r="M260" s="33"/>
      <c r="N260" s="81"/>
      <c r="O260" s="81"/>
      <c r="P260" s="81"/>
      <c r="Q260" s="81"/>
      <c r="R260" s="1"/>
      <c r="S260" s="1"/>
      <c r="T260" s="371"/>
      <c r="U260" s="370"/>
      <c r="V260" s="370"/>
      <c r="W260" s="370"/>
      <c r="X260" s="370"/>
    </row>
    <row r="261" spans="1:24">
      <c r="A261" s="21">
        <v>45642</v>
      </c>
      <c r="B261" s="21"/>
      <c r="C261" s="31"/>
      <c r="D261" s="301" t="s">
        <v>48</v>
      </c>
      <c r="E261" s="39"/>
      <c r="F261" s="39"/>
      <c r="G261" s="61"/>
      <c r="H261" s="61"/>
      <c r="I261" s="1"/>
      <c r="J261" s="1"/>
      <c r="K261" s="1"/>
      <c r="L261" s="1"/>
      <c r="M261" s="17"/>
      <c r="N261" s="80"/>
      <c r="O261" s="80"/>
      <c r="P261" s="80"/>
      <c r="Q261" s="80"/>
      <c r="R261" s="1"/>
      <c r="S261" s="1"/>
      <c r="T261" s="371"/>
      <c r="U261" s="370"/>
      <c r="V261" s="370"/>
      <c r="W261" s="370"/>
      <c r="X261" s="370"/>
    </row>
    <row r="262" spans="1:24">
      <c r="A262" s="21">
        <v>45643</v>
      </c>
      <c r="B262" s="21"/>
      <c r="C262" s="30"/>
      <c r="D262" s="301" t="s">
        <v>48</v>
      </c>
      <c r="E262" s="38"/>
      <c r="F262" s="38"/>
      <c r="G262" s="61"/>
      <c r="H262" s="61"/>
      <c r="I262" s="28"/>
      <c r="J262" s="28"/>
      <c r="K262" s="28"/>
      <c r="L262" s="28"/>
      <c r="M262" s="33"/>
      <c r="N262" s="81"/>
      <c r="O262" s="81"/>
      <c r="P262" s="81"/>
      <c r="Q262" s="81"/>
      <c r="R262" s="1"/>
      <c r="S262" s="1"/>
      <c r="T262" s="371"/>
      <c r="U262" s="370"/>
      <c r="V262" s="370"/>
      <c r="W262" s="370"/>
      <c r="X262" s="370"/>
    </row>
    <row r="263" spans="1:24">
      <c r="A263" s="21">
        <v>45644</v>
      </c>
      <c r="B263" s="21"/>
      <c r="C263" s="31"/>
      <c r="D263" s="301" t="s">
        <v>48</v>
      </c>
      <c r="E263" s="39"/>
      <c r="F263" s="39"/>
      <c r="G263" s="61"/>
      <c r="H263" s="61"/>
      <c r="I263" s="1"/>
      <c r="J263" s="1"/>
      <c r="K263" s="1"/>
      <c r="L263" s="1"/>
      <c r="M263" s="17"/>
      <c r="N263" s="80"/>
      <c r="O263" s="80"/>
      <c r="P263" s="80"/>
      <c r="Q263" s="80"/>
      <c r="R263" s="1"/>
      <c r="S263" s="1"/>
      <c r="T263" s="371"/>
      <c r="U263" s="370"/>
      <c r="V263" s="370"/>
      <c r="W263" s="370"/>
      <c r="X263" s="370"/>
    </row>
    <row r="264" spans="1:24">
      <c r="A264" s="21">
        <v>45645</v>
      </c>
      <c r="B264" s="21"/>
      <c r="C264" s="30"/>
      <c r="D264" s="301" t="s">
        <v>48</v>
      </c>
      <c r="E264" s="38"/>
      <c r="F264" s="38"/>
      <c r="G264" s="61"/>
      <c r="H264" s="61"/>
      <c r="I264" s="28"/>
      <c r="J264" s="28"/>
      <c r="K264" s="28"/>
      <c r="L264" s="28"/>
      <c r="M264" s="33"/>
      <c r="N264" s="81"/>
      <c r="O264" s="81"/>
      <c r="P264" s="81"/>
      <c r="Q264" s="81"/>
      <c r="R264" s="1"/>
      <c r="S264" s="1"/>
      <c r="T264" s="371"/>
      <c r="U264" s="370"/>
      <c r="V264" s="370"/>
      <c r="W264" s="370"/>
      <c r="X264" s="370"/>
    </row>
    <row r="265" spans="1:24">
      <c r="A265" s="21">
        <v>45646</v>
      </c>
      <c r="B265" s="21"/>
      <c r="C265" s="31"/>
      <c r="D265" s="301" t="s">
        <v>48</v>
      </c>
      <c r="E265" s="39"/>
      <c r="F265" s="39"/>
      <c r="G265" s="61"/>
      <c r="H265" s="61"/>
      <c r="I265" s="1"/>
      <c r="J265" s="1"/>
      <c r="K265" s="1"/>
      <c r="L265" s="1"/>
      <c r="M265" s="17"/>
      <c r="N265" s="80"/>
      <c r="O265" s="80"/>
      <c r="P265" s="80"/>
      <c r="Q265" s="80"/>
      <c r="R265" s="1"/>
      <c r="S265" s="1"/>
      <c r="T265" s="371"/>
      <c r="U265" s="370"/>
      <c r="V265" s="370"/>
      <c r="W265" s="370"/>
      <c r="X265" s="370"/>
    </row>
    <row r="266" spans="1:24">
      <c r="A266" s="21">
        <v>45647</v>
      </c>
      <c r="B266" s="21"/>
      <c r="C266" s="30"/>
      <c r="D266" s="301" t="s">
        <v>48</v>
      </c>
      <c r="E266" s="38"/>
      <c r="F266" s="38"/>
      <c r="G266" s="61"/>
      <c r="H266" s="61"/>
      <c r="I266" s="1"/>
      <c r="J266" s="1"/>
      <c r="K266" s="1"/>
      <c r="L266" s="1"/>
      <c r="M266" s="33"/>
      <c r="N266" s="81"/>
      <c r="O266" s="81"/>
      <c r="P266" s="81"/>
      <c r="Q266" s="81"/>
      <c r="R266" s="1"/>
      <c r="S266" s="1"/>
      <c r="T266" s="371"/>
      <c r="U266" s="370"/>
      <c r="V266" s="370"/>
      <c r="W266" s="370"/>
      <c r="X266" s="370"/>
    </row>
    <row r="267" spans="1:24">
      <c r="A267" s="21">
        <v>45648</v>
      </c>
      <c r="B267" s="21"/>
      <c r="C267" s="31"/>
      <c r="D267" s="301" t="s">
        <v>48</v>
      </c>
      <c r="E267" s="39"/>
      <c r="F267" s="39"/>
      <c r="G267" s="61"/>
      <c r="H267" s="61"/>
      <c r="I267" s="1"/>
      <c r="J267" s="1"/>
      <c r="K267" s="1"/>
      <c r="L267" s="1"/>
      <c r="M267" s="17"/>
      <c r="N267" s="80"/>
      <c r="O267" s="80"/>
      <c r="P267" s="80"/>
      <c r="Q267" s="80"/>
      <c r="R267" s="1"/>
      <c r="S267" s="1"/>
      <c r="T267" s="371"/>
      <c r="U267" s="370"/>
      <c r="V267" s="370"/>
      <c r="W267" s="370"/>
      <c r="X267" s="370"/>
    </row>
    <row r="268" spans="1:24">
      <c r="A268" s="21">
        <v>45649</v>
      </c>
      <c r="B268" s="21"/>
      <c r="C268" s="30"/>
      <c r="D268" s="301" t="s">
        <v>48</v>
      </c>
      <c r="E268" s="38"/>
      <c r="F268" s="38"/>
      <c r="G268" s="61"/>
      <c r="H268" s="61"/>
      <c r="I268" s="1"/>
      <c r="J268" s="1"/>
      <c r="K268" s="1"/>
      <c r="L268" s="1"/>
      <c r="M268" s="33"/>
      <c r="N268" s="81"/>
      <c r="O268" s="81"/>
      <c r="P268" s="81"/>
      <c r="Q268" s="81"/>
      <c r="R268" s="1"/>
      <c r="S268" s="1"/>
      <c r="T268" s="371"/>
      <c r="U268" s="370"/>
      <c r="V268" s="370"/>
      <c r="W268" s="370"/>
      <c r="X268" s="370"/>
    </row>
    <row r="269" spans="1:24">
      <c r="A269" s="21">
        <v>45650</v>
      </c>
      <c r="B269" s="21"/>
      <c r="C269" s="31"/>
      <c r="D269" s="301" t="s">
        <v>48</v>
      </c>
      <c r="E269" s="39"/>
      <c r="F269" s="39"/>
      <c r="G269" s="61"/>
      <c r="H269" s="61"/>
      <c r="I269" s="1"/>
      <c r="J269" s="1"/>
      <c r="K269" s="1"/>
      <c r="L269" s="1"/>
      <c r="M269" s="17"/>
      <c r="N269" s="80"/>
      <c r="O269" s="80"/>
      <c r="P269" s="80"/>
      <c r="Q269" s="80"/>
      <c r="R269" s="1"/>
      <c r="S269" s="1"/>
      <c r="T269" s="371"/>
      <c r="U269" s="370"/>
      <c r="V269" s="370"/>
      <c r="W269" s="370"/>
      <c r="X269" s="370"/>
    </row>
    <row r="270" spans="1:24">
      <c r="A270" s="21">
        <v>45651</v>
      </c>
      <c r="B270" s="21"/>
      <c r="C270" s="30"/>
      <c r="D270" s="301" t="s">
        <v>48</v>
      </c>
      <c r="E270" s="39"/>
      <c r="F270" s="39"/>
      <c r="G270" s="61"/>
      <c r="H270" s="61"/>
      <c r="I270" s="1"/>
      <c r="J270" s="1"/>
      <c r="K270" s="1"/>
      <c r="L270" s="1"/>
      <c r="M270" s="17"/>
      <c r="N270" s="80"/>
      <c r="O270" s="80"/>
      <c r="P270" s="80"/>
      <c r="Q270" s="80"/>
      <c r="R270" s="1"/>
      <c r="S270" s="1"/>
      <c r="T270" s="371"/>
      <c r="U270" s="370"/>
      <c r="V270" s="370"/>
      <c r="W270" s="370"/>
      <c r="X270" s="370"/>
    </row>
    <row r="271" spans="1:24">
      <c r="A271" s="21">
        <v>45652</v>
      </c>
      <c r="B271" s="21"/>
      <c r="C271" s="31"/>
      <c r="D271" s="301" t="s">
        <v>48</v>
      </c>
      <c r="E271" s="39"/>
      <c r="F271" s="39"/>
      <c r="G271" s="61"/>
      <c r="H271" s="61"/>
      <c r="I271" s="1"/>
      <c r="J271" s="1"/>
      <c r="K271" s="1"/>
      <c r="L271" s="1"/>
      <c r="M271" s="17"/>
      <c r="N271" s="80"/>
      <c r="O271" s="80"/>
      <c r="P271" s="80"/>
      <c r="Q271" s="80"/>
      <c r="R271" s="1"/>
      <c r="S271" s="1"/>
      <c r="T271" s="371"/>
      <c r="U271" s="370"/>
      <c r="V271" s="370"/>
      <c r="W271" s="370"/>
      <c r="X271" s="370"/>
    </row>
    <row r="272" spans="1:24">
      <c r="A272" s="21">
        <v>45653</v>
      </c>
      <c r="B272" s="21"/>
      <c r="C272" s="30"/>
      <c r="D272" s="301" t="s">
        <v>48</v>
      </c>
      <c r="E272" s="38"/>
      <c r="F272" s="38"/>
      <c r="G272" s="61"/>
      <c r="H272" s="61"/>
      <c r="I272" s="28"/>
      <c r="J272" s="28"/>
      <c r="K272" s="28"/>
      <c r="L272" s="28"/>
      <c r="M272" s="33"/>
      <c r="N272" s="81"/>
      <c r="O272" s="81"/>
      <c r="P272" s="81"/>
      <c r="Q272" s="81"/>
      <c r="R272" s="1"/>
      <c r="S272" s="1"/>
      <c r="T272" s="371"/>
      <c r="U272" s="370"/>
      <c r="V272" s="370"/>
      <c r="W272" s="370"/>
      <c r="X272" s="370"/>
    </row>
    <row r="273" spans="1:24">
      <c r="A273" s="21">
        <v>45654</v>
      </c>
      <c r="B273" s="21"/>
      <c r="C273" s="31"/>
      <c r="D273" s="301" t="s">
        <v>48</v>
      </c>
      <c r="E273" s="39"/>
      <c r="F273" s="39"/>
      <c r="G273" s="61"/>
      <c r="H273" s="61"/>
      <c r="I273" s="1"/>
      <c r="J273" s="1"/>
      <c r="K273" s="1"/>
      <c r="L273" s="1"/>
      <c r="M273" s="17"/>
      <c r="N273" s="80"/>
      <c r="O273" s="80"/>
      <c r="P273" s="80"/>
      <c r="Q273" s="80"/>
      <c r="R273" s="1"/>
      <c r="S273" s="1"/>
      <c r="T273" s="371"/>
      <c r="U273" s="370"/>
      <c r="V273" s="370"/>
      <c r="W273" s="370"/>
      <c r="X273" s="370"/>
    </row>
    <row r="274" spans="1:24">
      <c r="A274" s="21">
        <v>45655</v>
      </c>
      <c r="B274" s="21"/>
      <c r="C274" s="30"/>
      <c r="D274" s="301" t="s">
        <v>48</v>
      </c>
      <c r="E274" s="38"/>
      <c r="F274" s="38"/>
      <c r="G274" s="61"/>
      <c r="H274" s="61"/>
      <c r="I274" s="1"/>
      <c r="J274" s="1"/>
      <c r="K274" s="1"/>
      <c r="L274" s="1"/>
      <c r="M274" s="33"/>
      <c r="N274" s="81"/>
      <c r="O274" s="81"/>
      <c r="P274" s="81"/>
      <c r="Q274" s="81"/>
      <c r="R274" s="1"/>
      <c r="S274" s="1"/>
      <c r="T274" s="371"/>
      <c r="U274" s="370"/>
      <c r="V274" s="370"/>
      <c r="W274" s="370"/>
      <c r="X274" s="370"/>
    </row>
    <row r="275" spans="1:24">
      <c r="A275" s="21">
        <v>45656</v>
      </c>
      <c r="B275" s="21"/>
      <c r="C275" s="31"/>
      <c r="D275" s="301" t="s">
        <v>48</v>
      </c>
      <c r="E275" s="39"/>
      <c r="F275" s="39"/>
      <c r="G275" s="61"/>
      <c r="H275" s="61"/>
      <c r="I275" s="1"/>
      <c r="J275" s="1"/>
      <c r="K275" s="1"/>
      <c r="L275" s="1"/>
      <c r="M275" s="17"/>
      <c r="N275" s="80"/>
      <c r="O275" s="80"/>
      <c r="P275" s="80"/>
      <c r="Q275" s="80"/>
      <c r="R275" s="1"/>
      <c r="S275" s="1"/>
      <c r="T275" s="371"/>
      <c r="U275" s="370"/>
      <c r="V275" s="370"/>
      <c r="W275" s="370"/>
      <c r="X275" s="370"/>
    </row>
    <row r="276" spans="1:24">
      <c r="A276" s="21">
        <v>45657</v>
      </c>
      <c r="B276" s="21"/>
      <c r="C276" s="30"/>
      <c r="D276" s="301" t="s">
        <v>48</v>
      </c>
      <c r="E276" s="38"/>
      <c r="F276" s="38"/>
      <c r="G276" s="61"/>
      <c r="H276" s="61"/>
      <c r="I276" s="1"/>
      <c r="J276" s="1"/>
      <c r="K276" s="1"/>
      <c r="L276" s="1"/>
      <c r="M276" s="33"/>
      <c r="N276" s="81"/>
      <c r="O276" s="81"/>
      <c r="P276" s="81"/>
      <c r="Q276" s="81"/>
      <c r="R276" s="1"/>
      <c r="S276" s="1"/>
      <c r="T276" s="371"/>
      <c r="U276" s="370"/>
      <c r="V276" s="370"/>
      <c r="W276" s="370"/>
      <c r="X276" s="370"/>
    </row>
    <row r="277" spans="1:24" s="44" customFormat="1">
      <c r="A277" s="21">
        <v>45658</v>
      </c>
      <c r="B277" s="21"/>
      <c r="C277" s="72"/>
      <c r="D277" s="301" t="s">
        <v>48</v>
      </c>
      <c r="E277" s="132"/>
      <c r="F277" s="132"/>
      <c r="G277" s="61"/>
      <c r="H277" s="61"/>
      <c r="I277" s="62"/>
      <c r="J277" s="62"/>
      <c r="K277" s="62"/>
      <c r="L277" s="62"/>
      <c r="M277" s="2"/>
      <c r="N277" s="133"/>
      <c r="O277" s="133"/>
      <c r="P277" s="133"/>
      <c r="Q277" s="133"/>
      <c r="R277" s="62"/>
      <c r="S277" s="62"/>
      <c r="T277" s="371"/>
      <c r="U277" s="370"/>
      <c r="V277" s="370"/>
      <c r="W277" s="370"/>
      <c r="X277" s="370"/>
    </row>
    <row r="278" spans="1:24">
      <c r="A278" s="21">
        <v>45659</v>
      </c>
      <c r="B278" s="21"/>
      <c r="C278" s="30"/>
      <c r="D278" s="301" t="s">
        <v>48</v>
      </c>
      <c r="E278" s="38"/>
      <c r="F278" s="38"/>
      <c r="G278" s="61"/>
      <c r="H278" s="61"/>
      <c r="I278" s="28"/>
      <c r="J278" s="28"/>
      <c r="K278" s="28"/>
      <c r="L278" s="28"/>
      <c r="M278" s="33"/>
      <c r="N278" s="81"/>
      <c r="O278" s="81"/>
      <c r="P278" s="81"/>
      <c r="Q278" s="81"/>
      <c r="R278" s="1"/>
      <c r="S278" s="1"/>
      <c r="T278" s="371"/>
      <c r="U278" s="370"/>
      <c r="V278" s="370"/>
      <c r="W278" s="370"/>
      <c r="X278" s="370"/>
    </row>
    <row r="279" spans="1:24">
      <c r="A279" s="21">
        <v>45660</v>
      </c>
      <c r="B279" s="21"/>
      <c r="C279" s="31"/>
      <c r="D279" s="301" t="s">
        <v>48</v>
      </c>
      <c r="E279" s="39"/>
      <c r="F279" s="39"/>
      <c r="G279" s="61"/>
      <c r="H279" s="61"/>
      <c r="I279" s="1"/>
      <c r="J279" s="1"/>
      <c r="K279" s="1"/>
      <c r="L279" s="1"/>
      <c r="M279" s="17"/>
      <c r="N279" s="80"/>
      <c r="O279" s="80"/>
      <c r="P279" s="80"/>
      <c r="Q279" s="80"/>
      <c r="R279" s="1"/>
      <c r="S279" s="1"/>
      <c r="T279" s="371"/>
      <c r="U279" s="370"/>
      <c r="V279" s="370"/>
      <c r="W279" s="370"/>
      <c r="X279" s="370"/>
    </row>
    <row r="280" spans="1:24">
      <c r="A280" s="21">
        <v>45661</v>
      </c>
      <c r="B280" s="21"/>
      <c r="C280" s="30"/>
      <c r="D280" s="301" t="s">
        <v>48</v>
      </c>
      <c r="E280" s="38"/>
      <c r="F280" s="38"/>
      <c r="G280" s="61"/>
      <c r="H280" s="61"/>
      <c r="I280" s="1"/>
      <c r="J280" s="1"/>
      <c r="K280" s="1"/>
      <c r="L280" s="1"/>
      <c r="M280" s="33"/>
      <c r="N280" s="81"/>
      <c r="O280" s="81"/>
      <c r="P280" s="81"/>
      <c r="Q280" s="81"/>
      <c r="R280" s="1"/>
      <c r="S280" s="1"/>
      <c r="T280" s="371"/>
      <c r="U280" s="370"/>
      <c r="V280" s="370"/>
      <c r="W280" s="370"/>
      <c r="X280" s="370"/>
    </row>
    <row r="281" spans="1:24">
      <c r="A281" s="21">
        <v>45662</v>
      </c>
      <c r="B281" s="21"/>
      <c r="C281" s="31"/>
      <c r="D281" s="301" t="s">
        <v>48</v>
      </c>
      <c r="E281" s="39"/>
      <c r="F281" s="39"/>
      <c r="G281" s="61"/>
      <c r="H281" s="61"/>
      <c r="I281" s="1"/>
      <c r="J281" s="1"/>
      <c r="K281" s="1"/>
      <c r="L281" s="1"/>
      <c r="M281" s="17"/>
      <c r="N281" s="80"/>
      <c r="O281" s="80"/>
      <c r="P281" s="80"/>
      <c r="Q281" s="80"/>
      <c r="R281" s="1"/>
      <c r="S281" s="1"/>
      <c r="T281" s="371"/>
      <c r="U281" s="370"/>
      <c r="V281" s="370"/>
      <c r="W281" s="370"/>
      <c r="X281" s="370"/>
    </row>
    <row r="282" spans="1:24">
      <c r="A282" s="21">
        <v>45663</v>
      </c>
      <c r="B282" s="21"/>
      <c r="C282" s="30"/>
      <c r="D282" s="301" t="s">
        <v>48</v>
      </c>
      <c r="E282" s="38"/>
      <c r="F282" s="38"/>
      <c r="G282" s="61"/>
      <c r="H282" s="61"/>
      <c r="I282" s="1"/>
      <c r="J282" s="1"/>
      <c r="K282" s="1"/>
      <c r="L282" s="1"/>
      <c r="M282" s="33"/>
      <c r="N282" s="81"/>
      <c r="O282" s="81"/>
      <c r="P282" s="81"/>
      <c r="Q282" s="81"/>
      <c r="R282" s="1"/>
      <c r="S282" s="1"/>
      <c r="T282" s="371"/>
      <c r="U282" s="370"/>
      <c r="V282" s="370"/>
      <c r="W282" s="370"/>
      <c r="X282" s="370"/>
    </row>
    <row r="283" spans="1:24">
      <c r="A283" s="21">
        <v>45664</v>
      </c>
      <c r="B283" s="21"/>
      <c r="C283" s="31"/>
      <c r="D283" s="301" t="s">
        <v>48</v>
      </c>
      <c r="E283" s="39"/>
      <c r="F283" s="39"/>
      <c r="G283" s="61"/>
      <c r="H283" s="61"/>
      <c r="I283" s="1"/>
      <c r="J283" s="1"/>
      <c r="K283" s="1"/>
      <c r="L283" s="1"/>
      <c r="M283" s="17"/>
      <c r="N283" s="80"/>
      <c r="O283" s="80"/>
      <c r="P283" s="80"/>
      <c r="Q283" s="80"/>
      <c r="R283" s="1"/>
      <c r="S283" s="1"/>
      <c r="T283" s="371"/>
      <c r="U283" s="370"/>
      <c r="V283" s="370"/>
      <c r="W283" s="370"/>
      <c r="X283" s="370"/>
    </row>
    <row r="284" spans="1:24">
      <c r="A284" s="21">
        <v>45665</v>
      </c>
      <c r="B284" s="21"/>
      <c r="C284" s="30"/>
      <c r="D284" s="301" t="s">
        <v>48</v>
      </c>
      <c r="E284" s="38"/>
      <c r="F284" s="38"/>
      <c r="G284" s="61"/>
      <c r="H284" s="61"/>
      <c r="I284" s="28"/>
      <c r="J284" s="28"/>
      <c r="K284" s="28"/>
      <c r="L284" s="28"/>
      <c r="M284" s="33"/>
      <c r="N284" s="81"/>
      <c r="O284" s="81"/>
      <c r="P284" s="81"/>
      <c r="Q284" s="81"/>
      <c r="R284" s="1"/>
      <c r="S284" s="1"/>
      <c r="T284" s="371"/>
      <c r="U284" s="370"/>
      <c r="V284" s="370"/>
      <c r="W284" s="370"/>
      <c r="X284" s="370"/>
    </row>
    <row r="285" spans="1:24">
      <c r="A285" s="21">
        <v>45666</v>
      </c>
      <c r="B285" s="21"/>
      <c r="C285" s="31"/>
      <c r="D285" s="301" t="s">
        <v>48</v>
      </c>
      <c r="E285" s="39"/>
      <c r="F285" s="39"/>
      <c r="G285" s="61"/>
      <c r="H285" s="61"/>
      <c r="I285" s="1"/>
      <c r="J285" s="1"/>
      <c r="K285" s="1"/>
      <c r="L285" s="1"/>
      <c r="M285" s="17"/>
      <c r="N285" s="80"/>
      <c r="O285" s="80"/>
      <c r="P285" s="80"/>
      <c r="Q285" s="80"/>
      <c r="R285" s="1"/>
      <c r="S285" s="1"/>
      <c r="T285" s="371"/>
      <c r="U285" s="370"/>
      <c r="V285" s="370"/>
      <c r="W285" s="370"/>
      <c r="X285" s="370"/>
    </row>
    <row r="286" spans="1:24">
      <c r="A286" s="21">
        <v>45667</v>
      </c>
      <c r="B286" s="21"/>
      <c r="C286" s="30"/>
      <c r="D286" s="301" t="s">
        <v>48</v>
      </c>
      <c r="E286" s="38"/>
      <c r="F286" s="38"/>
      <c r="G286" s="61"/>
      <c r="H286" s="61"/>
      <c r="I286" s="1"/>
      <c r="J286" s="1"/>
      <c r="K286" s="1"/>
      <c r="L286" s="1"/>
      <c r="M286" s="33"/>
      <c r="N286" s="81"/>
      <c r="O286" s="81"/>
      <c r="P286" s="81"/>
      <c r="Q286" s="81"/>
      <c r="R286" s="1"/>
      <c r="S286" s="1"/>
      <c r="T286" s="371"/>
      <c r="U286" s="370"/>
      <c r="V286" s="370"/>
      <c r="W286" s="370"/>
      <c r="X286" s="370"/>
    </row>
    <row r="287" spans="1:24">
      <c r="A287" s="21">
        <v>45668</v>
      </c>
      <c r="B287" s="21"/>
      <c r="C287" s="31"/>
      <c r="D287" s="301" t="s">
        <v>48</v>
      </c>
      <c r="E287" s="39"/>
      <c r="F287" s="39"/>
      <c r="G287" s="61"/>
      <c r="H287" s="61"/>
      <c r="I287" s="1"/>
      <c r="J287" s="1"/>
      <c r="K287" s="1"/>
      <c r="L287" s="1"/>
      <c r="M287" s="17"/>
      <c r="N287" s="80"/>
      <c r="O287" s="80"/>
      <c r="P287" s="80"/>
      <c r="Q287" s="80"/>
      <c r="R287" s="1"/>
      <c r="S287" s="1"/>
      <c r="T287" s="371"/>
      <c r="U287" s="370"/>
      <c r="V287" s="370"/>
      <c r="W287" s="370"/>
      <c r="X287" s="370"/>
    </row>
    <row r="288" spans="1:24">
      <c r="A288" s="21">
        <v>45669</v>
      </c>
      <c r="B288" s="21"/>
      <c r="C288" s="30"/>
      <c r="D288" s="301" t="s">
        <v>48</v>
      </c>
      <c r="E288" s="38"/>
      <c r="F288" s="38"/>
      <c r="G288" s="61"/>
      <c r="H288" s="61"/>
      <c r="I288" s="1"/>
      <c r="J288" s="1"/>
      <c r="K288" s="1"/>
      <c r="L288" s="1"/>
      <c r="M288" s="33"/>
      <c r="N288" s="81"/>
      <c r="O288" s="81"/>
      <c r="P288" s="81"/>
      <c r="Q288" s="81"/>
      <c r="R288" s="1"/>
      <c r="S288" s="1"/>
      <c r="T288" s="371"/>
      <c r="U288" s="370"/>
      <c r="V288" s="370"/>
      <c r="W288" s="370"/>
      <c r="X288" s="370"/>
    </row>
    <row r="289" spans="1:24">
      <c r="A289" s="21">
        <v>45670</v>
      </c>
      <c r="B289" s="21"/>
      <c r="C289" s="31"/>
      <c r="D289" s="301" t="s">
        <v>48</v>
      </c>
      <c r="E289" s="39"/>
      <c r="F289" s="39"/>
      <c r="G289" s="61"/>
      <c r="H289" s="61"/>
      <c r="I289" s="1"/>
      <c r="J289" s="1"/>
      <c r="K289" s="1"/>
      <c r="L289" s="1"/>
      <c r="M289" s="17"/>
      <c r="N289" s="80"/>
      <c r="O289" s="80"/>
      <c r="P289" s="80"/>
      <c r="Q289" s="80"/>
      <c r="R289" s="1"/>
      <c r="S289" s="1"/>
      <c r="T289" s="371"/>
      <c r="U289" s="370"/>
      <c r="V289" s="370"/>
      <c r="W289" s="370"/>
      <c r="X289" s="370"/>
    </row>
    <row r="290" spans="1:24">
      <c r="A290" s="21">
        <v>45671</v>
      </c>
      <c r="B290" s="21"/>
      <c r="C290" s="30"/>
      <c r="D290" s="301" t="s">
        <v>48</v>
      </c>
      <c r="E290" s="38"/>
      <c r="F290" s="38"/>
      <c r="G290" s="61"/>
      <c r="H290" s="61"/>
      <c r="I290" s="1"/>
      <c r="J290" s="1"/>
      <c r="K290" s="1"/>
      <c r="L290" s="1"/>
      <c r="M290" s="33"/>
      <c r="N290" s="81"/>
      <c r="O290" s="81"/>
      <c r="P290" s="81"/>
      <c r="Q290" s="81"/>
      <c r="R290" s="1"/>
      <c r="S290" s="1"/>
      <c r="T290" s="371"/>
      <c r="U290" s="370"/>
      <c r="V290" s="370"/>
      <c r="W290" s="370"/>
      <c r="X290" s="370"/>
    </row>
    <row r="291" spans="1:24">
      <c r="A291" s="21">
        <v>45672</v>
      </c>
      <c r="B291" s="21"/>
      <c r="C291" s="31"/>
      <c r="D291" s="301" t="s">
        <v>48</v>
      </c>
      <c r="E291" s="39"/>
      <c r="F291" s="39"/>
      <c r="G291" s="61"/>
      <c r="H291" s="61"/>
      <c r="I291" s="1"/>
      <c r="J291" s="1"/>
      <c r="K291" s="1"/>
      <c r="L291" s="1"/>
      <c r="M291" s="17"/>
      <c r="N291" s="80"/>
      <c r="O291" s="80"/>
      <c r="P291" s="80"/>
      <c r="Q291" s="80"/>
      <c r="R291" s="1"/>
      <c r="S291" s="1"/>
      <c r="T291" s="371"/>
      <c r="U291" s="370"/>
      <c r="V291" s="370"/>
      <c r="W291" s="370"/>
      <c r="X291" s="370"/>
    </row>
    <row r="292" spans="1:24">
      <c r="A292" s="21">
        <v>45673</v>
      </c>
      <c r="B292" s="21"/>
      <c r="C292" s="30"/>
      <c r="D292" s="301" t="s">
        <v>48</v>
      </c>
      <c r="E292" s="38"/>
      <c r="F292" s="38"/>
      <c r="G292" s="61"/>
      <c r="H292" s="61"/>
      <c r="I292" s="1"/>
      <c r="J292" s="1"/>
      <c r="K292" s="1"/>
      <c r="L292" s="1"/>
      <c r="M292" s="33"/>
      <c r="N292" s="81"/>
      <c r="O292" s="81"/>
      <c r="P292" s="81"/>
      <c r="Q292" s="81"/>
      <c r="R292" s="1"/>
      <c r="S292" s="1"/>
      <c r="T292" s="371"/>
      <c r="U292" s="370"/>
      <c r="V292" s="370"/>
      <c r="W292" s="370"/>
      <c r="X292" s="370"/>
    </row>
    <row r="293" spans="1:24">
      <c r="A293" s="21">
        <v>45674</v>
      </c>
      <c r="B293" s="21"/>
      <c r="C293" s="31"/>
      <c r="D293" s="301" t="s">
        <v>48</v>
      </c>
      <c r="E293" s="39"/>
      <c r="F293" s="39"/>
      <c r="G293" s="61"/>
      <c r="H293" s="61"/>
      <c r="I293" s="1"/>
      <c r="J293" s="1"/>
      <c r="K293" s="1"/>
      <c r="L293" s="1"/>
      <c r="M293" s="17"/>
      <c r="N293" s="80"/>
      <c r="O293" s="80"/>
      <c r="P293" s="80"/>
      <c r="Q293" s="80"/>
      <c r="R293" s="1"/>
      <c r="S293" s="1"/>
      <c r="T293" s="371"/>
      <c r="U293" s="370"/>
      <c r="V293" s="370"/>
      <c r="W293" s="370"/>
      <c r="X293" s="370"/>
    </row>
    <row r="294" spans="1:24">
      <c r="A294" s="21">
        <v>45675</v>
      </c>
      <c r="B294" s="21"/>
      <c r="C294" s="30"/>
      <c r="D294" s="301" t="s">
        <v>48</v>
      </c>
      <c r="E294" s="38"/>
      <c r="F294" s="38"/>
      <c r="G294" s="61"/>
      <c r="H294" s="61"/>
      <c r="I294" s="1"/>
      <c r="J294" s="1"/>
      <c r="K294" s="1"/>
      <c r="L294" s="1"/>
      <c r="M294" s="33"/>
      <c r="N294" s="81"/>
      <c r="O294" s="81"/>
      <c r="P294" s="81"/>
      <c r="Q294" s="81"/>
      <c r="R294" s="1"/>
      <c r="S294" s="1"/>
      <c r="T294" s="371"/>
      <c r="U294" s="370"/>
      <c r="V294" s="370"/>
      <c r="W294" s="370"/>
      <c r="X294" s="370"/>
    </row>
    <row r="295" spans="1:24">
      <c r="A295" s="21">
        <v>45676</v>
      </c>
      <c r="B295" s="21"/>
      <c r="C295" s="31"/>
      <c r="D295" s="301" t="s">
        <v>48</v>
      </c>
      <c r="E295" s="39"/>
      <c r="F295" s="39"/>
      <c r="G295" s="61"/>
      <c r="H295" s="61"/>
      <c r="I295" s="1"/>
      <c r="J295" s="1"/>
      <c r="K295" s="1"/>
      <c r="L295" s="1"/>
      <c r="M295" s="17"/>
      <c r="N295" s="80"/>
      <c r="O295" s="80"/>
      <c r="P295" s="80"/>
      <c r="Q295" s="80"/>
      <c r="R295" s="1"/>
      <c r="S295" s="1"/>
      <c r="T295" s="371"/>
      <c r="U295" s="370"/>
      <c r="V295" s="370"/>
      <c r="W295" s="370"/>
      <c r="X295" s="370"/>
    </row>
    <row r="296" spans="1:24">
      <c r="A296" s="21">
        <v>45677</v>
      </c>
      <c r="B296" s="21"/>
      <c r="C296" s="30"/>
      <c r="D296" s="301" t="s">
        <v>48</v>
      </c>
      <c r="E296" s="38"/>
      <c r="F296" s="38"/>
      <c r="G296" s="61"/>
      <c r="H296" s="61"/>
      <c r="I296" s="1"/>
      <c r="J296" s="1"/>
      <c r="K296" s="1"/>
      <c r="L296" s="1"/>
      <c r="M296" s="33"/>
      <c r="N296" s="81"/>
      <c r="O296" s="81"/>
      <c r="P296" s="81"/>
      <c r="Q296" s="81"/>
      <c r="R296" s="1"/>
      <c r="S296" s="1"/>
      <c r="T296" s="371"/>
      <c r="U296" s="370"/>
      <c r="V296" s="370"/>
      <c r="W296" s="370"/>
      <c r="X296" s="370"/>
    </row>
    <row r="297" spans="1:24">
      <c r="A297" s="21">
        <v>45678</v>
      </c>
      <c r="B297" s="21"/>
      <c r="C297" s="31"/>
      <c r="D297" s="301" t="s">
        <v>48</v>
      </c>
      <c r="E297" s="39"/>
      <c r="F297" s="39"/>
      <c r="G297" s="61"/>
      <c r="H297" s="61"/>
      <c r="I297" s="1"/>
      <c r="J297" s="1"/>
      <c r="K297" s="1"/>
      <c r="L297" s="1"/>
      <c r="M297" s="17"/>
      <c r="N297" s="80"/>
      <c r="O297" s="80"/>
      <c r="P297" s="80"/>
      <c r="Q297" s="80"/>
      <c r="R297" s="1"/>
      <c r="S297" s="1"/>
      <c r="T297" s="371"/>
      <c r="U297" s="370"/>
      <c r="V297" s="370"/>
      <c r="W297" s="370"/>
      <c r="X297" s="370"/>
    </row>
    <row r="298" spans="1:24">
      <c r="A298" s="21">
        <v>45679</v>
      </c>
      <c r="B298" s="21"/>
      <c r="C298" s="30"/>
      <c r="D298" s="301" t="s">
        <v>48</v>
      </c>
      <c r="E298" s="38"/>
      <c r="F298" s="38"/>
      <c r="G298" s="61"/>
      <c r="H298" s="61"/>
      <c r="I298" s="28"/>
      <c r="J298" s="28"/>
      <c r="K298" s="28"/>
      <c r="L298" s="28"/>
      <c r="M298" s="33"/>
      <c r="N298" s="81"/>
      <c r="O298" s="81"/>
      <c r="P298" s="81"/>
      <c r="Q298" s="81"/>
      <c r="R298" s="1"/>
      <c r="S298" s="1"/>
      <c r="T298" s="371"/>
      <c r="U298" s="370"/>
      <c r="V298" s="370"/>
      <c r="W298" s="370"/>
      <c r="X298" s="370"/>
    </row>
    <row r="299" spans="1:24">
      <c r="A299" s="21">
        <v>45680</v>
      </c>
      <c r="B299" s="21"/>
      <c r="C299" s="31"/>
      <c r="D299" s="301" t="s">
        <v>48</v>
      </c>
      <c r="E299" s="39"/>
      <c r="F299" s="39"/>
      <c r="G299" s="61"/>
      <c r="H299" s="61"/>
      <c r="I299" s="1"/>
      <c r="J299" s="1"/>
      <c r="K299" s="1"/>
      <c r="L299" s="1"/>
      <c r="M299" s="17"/>
      <c r="N299" s="80"/>
      <c r="O299" s="80"/>
      <c r="P299" s="80"/>
      <c r="Q299" s="80"/>
      <c r="R299" s="1"/>
      <c r="S299" s="1"/>
      <c r="T299" s="371"/>
      <c r="U299" s="370"/>
      <c r="V299" s="370"/>
      <c r="W299" s="370"/>
      <c r="X299" s="370"/>
    </row>
    <row r="300" spans="1:24">
      <c r="A300" s="21">
        <v>45681</v>
      </c>
      <c r="B300" s="21"/>
      <c r="C300" s="30"/>
      <c r="D300" s="301" t="s">
        <v>48</v>
      </c>
      <c r="E300" s="38"/>
      <c r="F300" s="38"/>
      <c r="G300" s="61"/>
      <c r="H300" s="61"/>
      <c r="I300" s="1"/>
      <c r="J300" s="1"/>
      <c r="K300" s="1"/>
      <c r="L300" s="1"/>
      <c r="M300" s="33"/>
      <c r="N300" s="81"/>
      <c r="O300" s="81"/>
      <c r="P300" s="81"/>
      <c r="Q300" s="81"/>
      <c r="R300" s="1"/>
      <c r="S300" s="1"/>
      <c r="T300" s="371"/>
      <c r="U300" s="370"/>
      <c r="V300" s="370"/>
      <c r="W300" s="370"/>
      <c r="X300" s="370"/>
    </row>
    <row r="301" spans="1:24">
      <c r="A301" s="21">
        <v>45682</v>
      </c>
      <c r="B301" s="21"/>
      <c r="C301" s="31"/>
      <c r="D301" s="301" t="s">
        <v>48</v>
      </c>
      <c r="E301" s="39"/>
      <c r="F301" s="39"/>
      <c r="G301" s="61"/>
      <c r="H301" s="61"/>
      <c r="I301" s="1"/>
      <c r="J301" s="1"/>
      <c r="K301" s="1"/>
      <c r="L301" s="1"/>
      <c r="M301" s="17"/>
      <c r="N301" s="80"/>
      <c r="O301" s="80"/>
      <c r="P301" s="80"/>
      <c r="Q301" s="80"/>
      <c r="R301" s="1"/>
      <c r="S301" s="1"/>
      <c r="T301" s="371"/>
      <c r="U301" s="370"/>
      <c r="V301" s="370"/>
      <c r="W301" s="370"/>
      <c r="X301" s="370"/>
    </row>
    <row r="302" spans="1:24">
      <c r="A302" s="21">
        <v>45683</v>
      </c>
      <c r="B302" s="21"/>
      <c r="C302" s="30"/>
      <c r="D302" s="301" t="s">
        <v>48</v>
      </c>
      <c r="E302" s="38"/>
      <c r="F302" s="38"/>
      <c r="G302" s="61"/>
      <c r="H302" s="61"/>
      <c r="I302" s="1"/>
      <c r="J302" s="1"/>
      <c r="K302" s="1"/>
      <c r="L302" s="1"/>
      <c r="M302" s="33"/>
      <c r="N302" s="81"/>
      <c r="O302" s="81"/>
      <c r="P302" s="81"/>
      <c r="Q302" s="81"/>
      <c r="R302" s="1"/>
      <c r="S302" s="1"/>
      <c r="T302" s="371"/>
      <c r="U302" s="370"/>
      <c r="V302" s="370"/>
      <c r="W302" s="370"/>
      <c r="X302" s="370"/>
    </row>
    <row r="303" spans="1:24">
      <c r="A303" s="21">
        <v>45684</v>
      </c>
      <c r="B303" s="21"/>
      <c r="C303" s="31"/>
      <c r="D303" s="301" t="s">
        <v>48</v>
      </c>
      <c r="E303" s="39"/>
      <c r="F303" s="39"/>
      <c r="G303" s="61"/>
      <c r="H303" s="61"/>
      <c r="I303" s="1"/>
      <c r="J303" s="1"/>
      <c r="K303" s="1"/>
      <c r="L303" s="1"/>
      <c r="M303" s="17"/>
      <c r="N303" s="80"/>
      <c r="O303" s="80"/>
      <c r="P303" s="80"/>
      <c r="Q303" s="80"/>
      <c r="R303" s="1"/>
      <c r="S303" s="1"/>
      <c r="T303" s="371"/>
      <c r="U303" s="370"/>
      <c r="V303" s="370"/>
      <c r="W303" s="370"/>
      <c r="X303" s="370"/>
    </row>
    <row r="304" spans="1:24">
      <c r="A304" s="21">
        <v>45685</v>
      </c>
      <c r="B304" s="21"/>
      <c r="C304" s="30"/>
      <c r="D304" s="301" t="s">
        <v>48</v>
      </c>
      <c r="E304" s="38"/>
      <c r="F304" s="38"/>
      <c r="G304" s="61"/>
      <c r="H304" s="61"/>
      <c r="I304" s="1"/>
      <c r="J304" s="1"/>
      <c r="K304" s="1"/>
      <c r="L304" s="1"/>
      <c r="M304" s="33"/>
      <c r="N304" s="81"/>
      <c r="O304" s="81"/>
      <c r="P304" s="81"/>
      <c r="Q304" s="81"/>
      <c r="R304" s="1"/>
      <c r="S304" s="1"/>
      <c r="T304" s="371"/>
      <c r="U304" s="370"/>
      <c r="V304" s="370"/>
      <c r="W304" s="370"/>
      <c r="X304" s="370"/>
    </row>
    <row r="305" spans="1:24">
      <c r="A305" s="21">
        <v>45686</v>
      </c>
      <c r="B305" s="21"/>
      <c r="C305" s="31"/>
      <c r="D305" s="301" t="s">
        <v>48</v>
      </c>
      <c r="E305" s="39"/>
      <c r="F305" s="39"/>
      <c r="G305" s="61"/>
      <c r="H305" s="61"/>
      <c r="I305" s="1"/>
      <c r="J305" s="1"/>
      <c r="K305" s="1"/>
      <c r="L305" s="1"/>
      <c r="M305" s="17"/>
      <c r="N305" s="80"/>
      <c r="O305" s="80"/>
      <c r="P305" s="80"/>
      <c r="Q305" s="80"/>
      <c r="R305" s="1"/>
      <c r="S305" s="1"/>
      <c r="T305" s="371"/>
      <c r="U305" s="370"/>
      <c r="V305" s="370"/>
      <c r="W305" s="370"/>
      <c r="X305" s="370"/>
    </row>
    <row r="306" spans="1:24">
      <c r="A306" s="21">
        <v>45687</v>
      </c>
      <c r="B306" s="21"/>
      <c r="C306" s="30"/>
      <c r="D306" s="301" t="s">
        <v>48</v>
      </c>
      <c r="E306" s="38"/>
      <c r="F306" s="38"/>
      <c r="G306" s="61"/>
      <c r="H306" s="61"/>
      <c r="I306" s="1"/>
      <c r="J306" s="1"/>
      <c r="K306" s="1"/>
      <c r="L306" s="1"/>
      <c r="M306" s="33"/>
      <c r="N306" s="81"/>
      <c r="O306" s="81"/>
      <c r="P306" s="81"/>
      <c r="Q306" s="81"/>
      <c r="R306" s="1"/>
      <c r="S306" s="1"/>
      <c r="T306" s="371"/>
      <c r="U306" s="370"/>
      <c r="V306" s="370"/>
      <c r="W306" s="370"/>
      <c r="X306" s="370"/>
    </row>
    <row r="307" spans="1:24" s="45" customFormat="1">
      <c r="A307" s="21">
        <v>45688</v>
      </c>
      <c r="B307" s="21"/>
      <c r="C307" s="46"/>
      <c r="D307" s="301" t="s">
        <v>48</v>
      </c>
      <c r="E307" s="88"/>
      <c r="F307" s="88"/>
      <c r="G307" s="61"/>
      <c r="H307" s="61"/>
      <c r="I307" s="47"/>
      <c r="J307" s="47"/>
      <c r="K307" s="47"/>
      <c r="L307" s="47"/>
      <c r="M307" s="48"/>
      <c r="N307" s="89"/>
      <c r="O307" s="89"/>
      <c r="P307" s="89"/>
      <c r="Q307" s="89"/>
      <c r="R307" s="47"/>
      <c r="S307" s="47"/>
      <c r="T307" s="371"/>
      <c r="U307" s="370"/>
      <c r="V307" s="370"/>
      <c r="W307" s="370"/>
      <c r="X307" s="370"/>
    </row>
    <row r="308" spans="1:24">
      <c r="A308" s="21">
        <v>45689</v>
      </c>
      <c r="B308" s="21"/>
      <c r="C308" s="30"/>
      <c r="D308" s="301" t="s">
        <v>48</v>
      </c>
      <c r="E308" s="38"/>
      <c r="F308" s="38"/>
      <c r="G308" s="61"/>
      <c r="H308" s="61"/>
      <c r="I308" s="1"/>
      <c r="J308" s="1"/>
      <c r="K308" s="1"/>
      <c r="L308" s="1"/>
      <c r="M308" s="33"/>
      <c r="N308" s="81"/>
      <c r="O308" s="81"/>
      <c r="P308" s="81"/>
      <c r="Q308" s="81"/>
      <c r="R308" s="1"/>
      <c r="S308" s="1"/>
      <c r="T308" s="371"/>
      <c r="U308" s="370"/>
      <c r="V308" s="370"/>
      <c r="W308" s="370"/>
      <c r="X308" s="370"/>
    </row>
    <row r="309" spans="1:24">
      <c r="A309" s="21">
        <v>45690</v>
      </c>
      <c r="B309" s="21"/>
      <c r="C309" s="31"/>
      <c r="D309" s="301" t="s">
        <v>48</v>
      </c>
      <c r="E309" s="39"/>
      <c r="F309" s="39"/>
      <c r="G309" s="61"/>
      <c r="H309" s="61"/>
      <c r="I309" s="1"/>
      <c r="J309" s="1"/>
      <c r="K309" s="1"/>
      <c r="L309" s="1"/>
      <c r="M309" s="17"/>
      <c r="N309" s="80"/>
      <c r="O309" s="80"/>
      <c r="P309" s="80"/>
      <c r="Q309" s="80"/>
      <c r="R309" s="1"/>
      <c r="S309" s="1"/>
      <c r="T309" s="371"/>
      <c r="U309" s="370"/>
      <c r="V309" s="370"/>
      <c r="W309" s="370"/>
      <c r="X309" s="370"/>
    </row>
    <row r="310" spans="1:24">
      <c r="A310" s="21">
        <v>45691</v>
      </c>
      <c r="B310" s="21"/>
      <c r="C310" s="30"/>
      <c r="D310" s="301" t="s">
        <v>48</v>
      </c>
      <c r="E310" s="38"/>
      <c r="F310" s="38"/>
      <c r="G310" s="61"/>
      <c r="H310" s="61"/>
      <c r="I310" s="1"/>
      <c r="J310" s="1"/>
      <c r="K310" s="1"/>
      <c r="L310" s="1"/>
      <c r="M310" s="33"/>
      <c r="N310" s="81"/>
      <c r="O310" s="81"/>
      <c r="P310" s="81"/>
      <c r="Q310" s="81"/>
      <c r="R310" s="1"/>
      <c r="S310" s="1"/>
      <c r="T310" s="371"/>
      <c r="U310" s="370"/>
      <c r="V310" s="370"/>
      <c r="W310" s="370"/>
      <c r="X310" s="370"/>
    </row>
    <row r="311" spans="1:24">
      <c r="A311" s="21">
        <v>45692</v>
      </c>
      <c r="B311" s="21"/>
      <c r="C311" s="31"/>
      <c r="D311" s="301" t="s">
        <v>48</v>
      </c>
      <c r="E311" s="39"/>
      <c r="F311" s="39"/>
      <c r="G311" s="61"/>
      <c r="H311" s="61"/>
      <c r="I311" s="1"/>
      <c r="J311" s="1"/>
      <c r="K311" s="1"/>
      <c r="L311" s="1"/>
      <c r="M311" s="17"/>
      <c r="N311" s="80"/>
      <c r="O311" s="80"/>
      <c r="P311" s="80"/>
      <c r="Q311" s="80"/>
      <c r="R311" s="1"/>
      <c r="S311" s="1"/>
      <c r="T311" s="371"/>
      <c r="U311" s="370"/>
      <c r="V311" s="370"/>
      <c r="W311" s="370"/>
      <c r="X311" s="370"/>
    </row>
    <row r="312" spans="1:24">
      <c r="A312" s="21">
        <v>45693</v>
      </c>
      <c r="B312" s="21"/>
      <c r="C312" s="32"/>
      <c r="D312" s="301" t="s">
        <v>48</v>
      </c>
      <c r="E312" s="28"/>
      <c r="F312" s="28"/>
      <c r="G312" s="61"/>
      <c r="H312" s="61"/>
      <c r="I312" s="28"/>
      <c r="J312" s="28"/>
      <c r="K312" s="28"/>
      <c r="L312" s="28"/>
      <c r="M312" s="33"/>
      <c r="N312" s="33"/>
      <c r="O312" s="33"/>
      <c r="P312" s="33"/>
      <c r="Q312" s="33"/>
      <c r="R312" s="28"/>
      <c r="S312" s="28"/>
      <c r="T312" s="371"/>
      <c r="U312" s="370"/>
      <c r="V312" s="370"/>
      <c r="W312" s="370"/>
      <c r="X312" s="370"/>
    </row>
    <row r="313" spans="1:24">
      <c r="A313" s="21">
        <v>45694</v>
      </c>
      <c r="B313" s="21"/>
      <c r="C313" s="31"/>
      <c r="D313" s="301" t="s">
        <v>48</v>
      </c>
      <c r="E313" s="39"/>
      <c r="F313" s="39"/>
      <c r="G313" s="61"/>
      <c r="H313" s="61"/>
      <c r="I313" s="1"/>
      <c r="J313" s="1"/>
      <c r="K313" s="1"/>
      <c r="L313" s="1"/>
      <c r="M313" s="17"/>
      <c r="N313" s="80"/>
      <c r="O313" s="80"/>
      <c r="P313" s="80"/>
      <c r="Q313" s="80"/>
      <c r="R313" s="1"/>
      <c r="S313" s="1"/>
      <c r="T313" s="371"/>
      <c r="U313" s="370"/>
      <c r="V313" s="370"/>
      <c r="W313" s="370"/>
      <c r="X313" s="370"/>
    </row>
    <row r="314" spans="1:24">
      <c r="A314" s="21">
        <v>45695</v>
      </c>
      <c r="B314" s="21"/>
      <c r="C314" s="30"/>
      <c r="D314" s="301" t="s">
        <v>48</v>
      </c>
      <c r="E314" s="39"/>
      <c r="F314" s="39"/>
      <c r="G314" s="61"/>
      <c r="H314" s="61"/>
      <c r="I314" s="1"/>
      <c r="J314" s="1"/>
      <c r="K314" s="1"/>
      <c r="L314" s="1"/>
      <c r="M314" s="17"/>
      <c r="N314" s="80"/>
      <c r="O314" s="80"/>
      <c r="P314" s="80"/>
      <c r="Q314" s="80"/>
      <c r="R314" s="1"/>
      <c r="S314" s="1"/>
      <c r="T314" s="371"/>
      <c r="U314" s="370"/>
      <c r="V314" s="370"/>
      <c r="W314" s="370"/>
      <c r="X314" s="370"/>
    </row>
    <row r="315" spans="1:24">
      <c r="A315" s="21">
        <v>45696</v>
      </c>
      <c r="B315" s="21"/>
      <c r="C315" s="31"/>
      <c r="D315" s="301" t="s">
        <v>48</v>
      </c>
      <c r="E315" s="39"/>
      <c r="F315" s="39"/>
      <c r="G315" s="61"/>
      <c r="H315" s="61"/>
      <c r="I315" s="1"/>
      <c r="J315" s="1"/>
      <c r="K315" s="1"/>
      <c r="L315" s="1"/>
      <c r="M315" s="17"/>
      <c r="N315" s="80"/>
      <c r="O315" s="80"/>
      <c r="P315" s="80"/>
      <c r="Q315" s="80"/>
      <c r="R315" s="1"/>
      <c r="S315" s="1"/>
      <c r="T315" s="371"/>
      <c r="U315" s="370"/>
      <c r="V315" s="370"/>
      <c r="W315" s="370"/>
      <c r="X315" s="370"/>
    </row>
    <row r="316" spans="1:24">
      <c r="A316" s="21">
        <v>45697</v>
      </c>
      <c r="B316" s="21"/>
      <c r="C316" s="30"/>
      <c r="D316" s="301" t="s">
        <v>48</v>
      </c>
      <c r="E316" s="39"/>
      <c r="F316" s="39"/>
      <c r="G316" s="61"/>
      <c r="H316" s="61"/>
      <c r="I316" s="1"/>
      <c r="J316" s="1"/>
      <c r="K316" s="1"/>
      <c r="L316" s="1"/>
      <c r="M316" s="17"/>
      <c r="N316" s="80"/>
      <c r="O316" s="80"/>
      <c r="P316" s="80"/>
      <c r="Q316" s="80"/>
      <c r="R316" s="1"/>
      <c r="S316" s="1"/>
      <c r="T316" s="371"/>
      <c r="U316" s="370"/>
      <c r="V316" s="370"/>
      <c r="W316" s="370"/>
      <c r="X316" s="370"/>
    </row>
    <row r="317" spans="1:24">
      <c r="A317" s="21">
        <v>45698</v>
      </c>
      <c r="B317" s="21"/>
      <c r="C317" s="31"/>
      <c r="D317" s="301" t="s">
        <v>48</v>
      </c>
      <c r="E317" s="39"/>
      <c r="F317" s="39"/>
      <c r="G317" s="61"/>
      <c r="H317" s="61"/>
      <c r="I317" s="1"/>
      <c r="J317" s="1"/>
      <c r="K317" s="1"/>
      <c r="L317" s="1"/>
      <c r="M317" s="17"/>
      <c r="N317" s="80"/>
      <c r="O317" s="80"/>
      <c r="P317" s="80"/>
      <c r="Q317" s="80"/>
      <c r="R317" s="1"/>
      <c r="S317" s="1"/>
      <c r="T317" s="371"/>
      <c r="U317" s="370"/>
      <c r="V317" s="370"/>
      <c r="W317" s="370"/>
      <c r="X317" s="370"/>
    </row>
    <row r="318" spans="1:24">
      <c r="A318" s="21">
        <v>45699</v>
      </c>
      <c r="B318" s="21"/>
      <c r="C318" s="30"/>
      <c r="D318" s="301" t="s">
        <v>48</v>
      </c>
      <c r="E318" s="39"/>
      <c r="F318" s="39"/>
      <c r="G318" s="61"/>
      <c r="H318" s="61"/>
      <c r="I318" s="1"/>
      <c r="J318" s="1"/>
      <c r="K318" s="1"/>
      <c r="L318" s="1"/>
      <c r="M318" s="17"/>
      <c r="N318" s="80"/>
      <c r="O318" s="80"/>
      <c r="P318" s="80"/>
      <c r="Q318" s="80"/>
      <c r="R318" s="1"/>
      <c r="S318" s="1"/>
      <c r="T318" s="371"/>
      <c r="U318" s="370"/>
      <c r="V318" s="370"/>
      <c r="W318" s="370"/>
      <c r="X318" s="370"/>
    </row>
    <row r="319" spans="1:24">
      <c r="A319" s="21">
        <v>45700</v>
      </c>
      <c r="B319" s="21"/>
      <c r="C319" s="31"/>
      <c r="D319" s="301" t="s">
        <v>48</v>
      </c>
      <c r="E319" s="39"/>
      <c r="F319" s="39"/>
      <c r="G319" s="61"/>
      <c r="H319" s="61"/>
      <c r="I319" s="1"/>
      <c r="J319" s="1"/>
      <c r="K319" s="1"/>
      <c r="L319" s="1"/>
      <c r="M319" s="17"/>
      <c r="N319" s="80"/>
      <c r="O319" s="80"/>
      <c r="P319" s="80"/>
      <c r="Q319" s="80"/>
      <c r="R319" s="1"/>
      <c r="S319" s="1"/>
      <c r="T319" s="371"/>
      <c r="U319" s="370"/>
      <c r="V319" s="370"/>
      <c r="W319" s="370"/>
      <c r="X319" s="370"/>
    </row>
    <row r="320" spans="1:24">
      <c r="A320" s="21">
        <v>45701</v>
      </c>
      <c r="B320" s="21"/>
      <c r="C320" s="30"/>
      <c r="D320" s="301" t="s">
        <v>48</v>
      </c>
      <c r="E320" s="39"/>
      <c r="F320" s="39"/>
      <c r="G320" s="61"/>
      <c r="H320" s="61"/>
      <c r="I320" s="1"/>
      <c r="J320" s="1"/>
      <c r="K320" s="1"/>
      <c r="L320" s="1"/>
      <c r="M320" s="17"/>
      <c r="N320" s="80"/>
      <c r="O320" s="80"/>
      <c r="P320" s="80"/>
      <c r="Q320" s="80"/>
      <c r="R320" s="1"/>
      <c r="S320" s="1"/>
      <c r="T320" s="371"/>
      <c r="U320" s="370"/>
      <c r="V320" s="370"/>
      <c r="W320" s="370"/>
      <c r="X320" s="370"/>
    </row>
    <row r="321" spans="1:24">
      <c r="A321" s="21">
        <v>45702</v>
      </c>
      <c r="B321" s="21"/>
      <c r="C321" s="31"/>
      <c r="D321" s="301" t="s">
        <v>48</v>
      </c>
      <c r="E321" s="39"/>
      <c r="F321" s="39"/>
      <c r="G321" s="61"/>
      <c r="H321" s="61"/>
      <c r="I321" s="1"/>
      <c r="J321" s="1"/>
      <c r="K321" s="1"/>
      <c r="L321" s="1"/>
      <c r="M321" s="17"/>
      <c r="N321" s="80"/>
      <c r="O321" s="80"/>
      <c r="P321" s="80"/>
      <c r="Q321" s="80"/>
      <c r="R321" s="1"/>
      <c r="S321" s="1"/>
      <c r="T321" s="371"/>
      <c r="U321" s="370"/>
      <c r="V321" s="370"/>
      <c r="W321" s="370"/>
      <c r="X321" s="370"/>
    </row>
    <row r="322" spans="1:24">
      <c r="A322" s="21">
        <v>45703</v>
      </c>
      <c r="B322" s="21"/>
      <c r="C322" s="30"/>
      <c r="D322" s="301" t="s">
        <v>48</v>
      </c>
      <c r="E322" s="39"/>
      <c r="F322" s="39"/>
      <c r="G322" s="61"/>
      <c r="H322" s="61"/>
      <c r="I322" s="1"/>
      <c r="J322" s="1"/>
      <c r="K322" s="1"/>
      <c r="L322" s="1"/>
      <c r="M322" s="17"/>
      <c r="N322" s="80"/>
      <c r="O322" s="80"/>
      <c r="P322" s="80"/>
      <c r="Q322" s="80"/>
      <c r="R322" s="1"/>
      <c r="S322" s="1"/>
      <c r="T322" s="371"/>
      <c r="U322" s="370"/>
      <c r="V322" s="370"/>
      <c r="W322" s="370"/>
      <c r="X322" s="370"/>
    </row>
    <row r="323" spans="1:24">
      <c r="A323" s="21">
        <v>45704</v>
      </c>
      <c r="B323" s="21"/>
      <c r="C323" s="31"/>
      <c r="D323" s="301" t="s">
        <v>48</v>
      </c>
      <c r="E323" s="39"/>
      <c r="F323" s="39"/>
      <c r="G323" s="61"/>
      <c r="H323" s="61"/>
      <c r="I323" s="1"/>
      <c r="J323" s="1"/>
      <c r="K323" s="1"/>
      <c r="L323" s="1"/>
      <c r="M323" s="17"/>
      <c r="N323" s="80"/>
      <c r="O323" s="80"/>
      <c r="P323" s="80"/>
      <c r="Q323" s="80"/>
      <c r="R323" s="1"/>
      <c r="S323" s="1"/>
      <c r="T323" s="371"/>
      <c r="U323" s="370"/>
      <c r="V323" s="370"/>
      <c r="W323" s="370"/>
      <c r="X323" s="370"/>
    </row>
    <row r="324" spans="1:24">
      <c r="A324" s="21">
        <v>45705</v>
      </c>
      <c r="B324" s="21"/>
      <c r="C324" s="30"/>
      <c r="D324" s="301" t="s">
        <v>48</v>
      </c>
      <c r="E324" s="39"/>
      <c r="F324" s="39"/>
      <c r="G324" s="61"/>
      <c r="H324" s="61"/>
      <c r="I324" s="1"/>
      <c r="J324" s="1"/>
      <c r="K324" s="1"/>
      <c r="L324" s="1"/>
      <c r="M324" s="17"/>
      <c r="N324" s="80"/>
      <c r="O324" s="80"/>
      <c r="P324" s="80"/>
      <c r="Q324" s="80"/>
      <c r="R324" s="1"/>
      <c r="S324" s="1"/>
      <c r="T324" s="371"/>
      <c r="U324" s="370"/>
      <c r="V324" s="370"/>
      <c r="W324" s="370"/>
      <c r="X324" s="370"/>
    </row>
    <row r="325" spans="1:24">
      <c r="A325" s="21">
        <v>45706</v>
      </c>
      <c r="B325" s="21"/>
      <c r="C325" s="31"/>
      <c r="D325" s="301" t="s">
        <v>48</v>
      </c>
      <c r="E325" s="39"/>
      <c r="F325" s="39"/>
      <c r="G325" s="61"/>
      <c r="H325" s="61"/>
      <c r="I325" s="1"/>
      <c r="J325" s="1"/>
      <c r="K325" s="1"/>
      <c r="L325" s="1"/>
      <c r="M325" s="17"/>
      <c r="N325" s="80"/>
      <c r="O325" s="80"/>
      <c r="P325" s="80"/>
      <c r="Q325" s="80"/>
      <c r="R325" s="1"/>
      <c r="S325" s="1"/>
      <c r="T325" s="371"/>
      <c r="U325" s="370"/>
      <c r="V325" s="370"/>
      <c r="W325" s="370"/>
      <c r="X325" s="370"/>
    </row>
    <row r="326" spans="1:24">
      <c r="A326" s="21">
        <v>45707</v>
      </c>
      <c r="B326" s="21"/>
      <c r="C326" s="30"/>
      <c r="D326" s="301" t="s">
        <v>48</v>
      </c>
      <c r="E326" s="39"/>
      <c r="F326" s="39"/>
      <c r="G326" s="61"/>
      <c r="H326" s="61"/>
      <c r="I326" s="1"/>
      <c r="J326" s="1"/>
      <c r="K326" s="1"/>
      <c r="L326" s="1"/>
      <c r="M326" s="17"/>
      <c r="N326" s="80"/>
      <c r="O326" s="80"/>
      <c r="P326" s="80"/>
      <c r="Q326" s="80"/>
      <c r="R326" s="1"/>
      <c r="S326" s="1"/>
      <c r="T326" s="371"/>
      <c r="U326" s="370"/>
      <c r="V326" s="370"/>
      <c r="W326" s="370"/>
      <c r="X326" s="370"/>
    </row>
    <row r="327" spans="1:24">
      <c r="A327" s="21">
        <v>45708</v>
      </c>
      <c r="B327" s="21"/>
      <c r="C327" s="31"/>
      <c r="D327" s="301" t="s">
        <v>48</v>
      </c>
      <c r="E327" s="39"/>
      <c r="F327" s="39"/>
      <c r="G327" s="61"/>
      <c r="H327" s="61"/>
      <c r="I327" s="1"/>
      <c r="J327" s="1"/>
      <c r="K327" s="1"/>
      <c r="L327" s="1"/>
      <c r="M327" s="17"/>
      <c r="N327" s="80"/>
      <c r="O327" s="80"/>
      <c r="P327" s="80"/>
      <c r="Q327" s="80"/>
      <c r="R327" s="1"/>
      <c r="S327" s="1"/>
      <c r="T327" s="371"/>
      <c r="U327" s="370"/>
      <c r="V327" s="370"/>
      <c r="W327" s="370"/>
      <c r="X327" s="370"/>
    </row>
    <row r="328" spans="1:24">
      <c r="A328" s="21">
        <v>45709</v>
      </c>
      <c r="B328" s="21"/>
      <c r="C328" s="30"/>
      <c r="D328" s="301" t="s">
        <v>48</v>
      </c>
      <c r="E328" s="39"/>
      <c r="F328" s="39"/>
      <c r="G328" s="61"/>
      <c r="H328" s="61"/>
      <c r="I328" s="1"/>
      <c r="J328" s="1"/>
      <c r="K328" s="1"/>
      <c r="L328" s="1"/>
      <c r="M328" s="17"/>
      <c r="N328" s="80"/>
      <c r="O328" s="80"/>
      <c r="P328" s="80"/>
      <c r="Q328" s="80"/>
      <c r="R328" s="1"/>
      <c r="S328" s="1"/>
      <c r="T328" s="371"/>
      <c r="U328" s="370"/>
      <c r="V328" s="370"/>
      <c r="W328" s="370"/>
      <c r="X328" s="370"/>
    </row>
    <row r="329" spans="1:24">
      <c r="A329" s="21">
        <v>45710</v>
      </c>
      <c r="B329" s="21"/>
      <c r="C329" s="31"/>
      <c r="D329" s="301" t="s">
        <v>48</v>
      </c>
      <c r="E329" s="39"/>
      <c r="F329" s="39"/>
      <c r="G329" s="61"/>
      <c r="H329" s="61"/>
      <c r="I329" s="1"/>
      <c r="J329" s="1"/>
      <c r="K329" s="1"/>
      <c r="L329" s="1"/>
      <c r="M329" s="17"/>
      <c r="N329" s="80"/>
      <c r="O329" s="80"/>
      <c r="P329" s="80"/>
      <c r="Q329" s="80"/>
      <c r="R329" s="1"/>
      <c r="S329" s="1"/>
      <c r="T329" s="371"/>
      <c r="U329" s="370"/>
      <c r="V329" s="370"/>
      <c r="W329" s="370"/>
      <c r="X329" s="370"/>
    </row>
    <row r="330" spans="1:24">
      <c r="A330" s="21">
        <v>45711</v>
      </c>
      <c r="B330" s="21"/>
      <c r="C330" s="30"/>
      <c r="D330" s="301" t="s">
        <v>48</v>
      </c>
      <c r="E330" s="39"/>
      <c r="F330" s="39"/>
      <c r="G330" s="61"/>
      <c r="H330" s="61"/>
      <c r="I330" s="1"/>
      <c r="J330" s="1"/>
      <c r="K330" s="1"/>
      <c r="L330" s="1"/>
      <c r="M330" s="17"/>
      <c r="N330" s="80"/>
      <c r="O330" s="80"/>
      <c r="P330" s="80"/>
      <c r="Q330" s="80"/>
      <c r="R330" s="1"/>
      <c r="S330" s="1"/>
      <c r="T330" s="371"/>
      <c r="U330" s="370"/>
      <c r="V330" s="370"/>
      <c r="W330" s="370"/>
      <c r="X330" s="370"/>
    </row>
    <row r="331" spans="1:24">
      <c r="A331" s="21">
        <v>45712</v>
      </c>
      <c r="B331" s="21"/>
      <c r="C331" s="31"/>
      <c r="D331" s="301" t="s">
        <v>48</v>
      </c>
      <c r="E331" s="39"/>
      <c r="F331" s="39"/>
      <c r="G331" s="61"/>
      <c r="H331" s="61"/>
      <c r="I331" s="1"/>
      <c r="J331" s="1"/>
      <c r="K331" s="1"/>
      <c r="L331" s="1"/>
      <c r="M331" s="17"/>
      <c r="N331" s="80"/>
      <c r="O331" s="80"/>
      <c r="P331" s="80"/>
      <c r="Q331" s="80"/>
      <c r="R331" s="1"/>
      <c r="S331" s="1"/>
      <c r="T331" s="371"/>
      <c r="U331" s="370"/>
      <c r="V331" s="370"/>
      <c r="W331" s="370"/>
      <c r="X331" s="370"/>
    </row>
    <row r="332" spans="1:24">
      <c r="A332" s="21">
        <v>45713</v>
      </c>
      <c r="B332" s="21"/>
      <c r="C332" s="30"/>
      <c r="D332" s="301" t="s">
        <v>48</v>
      </c>
      <c r="E332" s="39"/>
      <c r="F332" s="39"/>
      <c r="G332" s="61"/>
      <c r="H332" s="61"/>
      <c r="I332" s="1"/>
      <c r="J332" s="1"/>
      <c r="K332" s="1"/>
      <c r="L332" s="1"/>
      <c r="M332" s="17"/>
      <c r="N332" s="80"/>
      <c r="O332" s="80"/>
      <c r="P332" s="80"/>
      <c r="Q332" s="80"/>
      <c r="R332" s="1"/>
      <c r="S332" s="1"/>
      <c r="T332" s="371"/>
      <c r="U332" s="370"/>
      <c r="V332" s="370"/>
      <c r="W332" s="370"/>
      <c r="X332" s="370"/>
    </row>
    <row r="333" spans="1:24">
      <c r="A333" s="21">
        <v>45714</v>
      </c>
      <c r="B333" s="21"/>
      <c r="C333" s="31"/>
      <c r="D333" s="301" t="s">
        <v>48</v>
      </c>
      <c r="E333" s="39"/>
      <c r="F333" s="39"/>
      <c r="G333" s="61"/>
      <c r="H333" s="61"/>
      <c r="I333" s="1"/>
      <c r="J333" s="1"/>
      <c r="K333" s="1"/>
      <c r="L333" s="1"/>
      <c r="M333" s="17"/>
      <c r="N333" s="80"/>
      <c r="O333" s="80"/>
      <c r="P333" s="80"/>
      <c r="Q333" s="80"/>
      <c r="R333" s="1"/>
      <c r="S333" s="1"/>
      <c r="T333" s="371"/>
      <c r="U333" s="370"/>
      <c r="V333" s="370"/>
      <c r="W333" s="370"/>
      <c r="X333" s="370"/>
    </row>
    <row r="334" spans="1:24">
      <c r="A334" s="21">
        <v>45715</v>
      </c>
      <c r="B334" s="21"/>
      <c r="C334" s="30"/>
      <c r="D334" s="301" t="s">
        <v>48</v>
      </c>
      <c r="E334" s="39"/>
      <c r="F334" s="39"/>
      <c r="G334" s="61"/>
      <c r="H334" s="61"/>
      <c r="I334" s="1"/>
      <c r="J334" s="1"/>
      <c r="K334" s="1"/>
      <c r="L334" s="1"/>
      <c r="M334" s="17"/>
      <c r="N334" s="80"/>
      <c r="O334" s="80"/>
      <c r="P334" s="80"/>
      <c r="Q334" s="80"/>
      <c r="R334" s="1"/>
      <c r="S334" s="1"/>
      <c r="T334" s="371"/>
      <c r="U334" s="370"/>
      <c r="V334" s="370"/>
      <c r="W334" s="370"/>
      <c r="X334" s="370"/>
    </row>
    <row r="335" spans="1:24">
      <c r="A335" s="21">
        <v>45716</v>
      </c>
      <c r="B335" s="21"/>
      <c r="C335" s="31"/>
      <c r="D335" s="301" t="s">
        <v>48</v>
      </c>
      <c r="E335" s="39"/>
      <c r="F335" s="39"/>
      <c r="G335" s="61"/>
      <c r="H335" s="61"/>
      <c r="I335" s="1"/>
      <c r="J335" s="1"/>
      <c r="K335" s="1"/>
      <c r="L335" s="1"/>
      <c r="M335" s="17"/>
      <c r="N335" s="80"/>
      <c r="O335" s="80"/>
      <c r="P335" s="80"/>
      <c r="Q335" s="80"/>
      <c r="R335" s="1"/>
      <c r="S335" s="1"/>
      <c r="T335" s="371"/>
      <c r="U335" s="370"/>
      <c r="V335" s="370"/>
      <c r="W335" s="370"/>
      <c r="X335" s="370"/>
    </row>
    <row r="336" spans="1:24">
      <c r="A336" s="21">
        <v>45717</v>
      </c>
      <c r="B336" s="21"/>
      <c r="C336" s="32"/>
      <c r="D336" s="301" t="s">
        <v>48</v>
      </c>
      <c r="E336" s="28"/>
      <c r="F336" s="28"/>
      <c r="G336" s="61"/>
      <c r="H336" s="61"/>
      <c r="I336" s="1"/>
      <c r="J336" s="1"/>
      <c r="K336" s="1"/>
      <c r="L336" s="1"/>
      <c r="M336" s="33"/>
      <c r="N336" s="33"/>
      <c r="O336" s="33"/>
      <c r="P336" s="33"/>
      <c r="Q336" s="33"/>
      <c r="R336" s="1"/>
      <c r="S336" s="1"/>
      <c r="T336" s="371"/>
      <c r="U336" s="370"/>
      <c r="V336" s="370"/>
      <c r="W336" s="370"/>
      <c r="X336" s="370"/>
    </row>
    <row r="337" spans="1:24">
      <c r="A337" s="21">
        <v>45718</v>
      </c>
      <c r="B337" s="21"/>
      <c r="C337" s="31"/>
      <c r="D337" s="301" t="s">
        <v>48</v>
      </c>
      <c r="E337" s="39"/>
      <c r="F337" s="39"/>
      <c r="G337" s="61"/>
      <c r="H337" s="61"/>
      <c r="I337" s="1"/>
      <c r="J337" s="1"/>
      <c r="K337" s="1"/>
      <c r="L337" s="1"/>
      <c r="M337" s="17"/>
      <c r="N337" s="80"/>
      <c r="O337" s="80"/>
      <c r="P337" s="80"/>
      <c r="Q337" s="80"/>
      <c r="R337" s="1"/>
      <c r="S337" s="1"/>
      <c r="T337" s="371"/>
      <c r="U337" s="370"/>
      <c r="V337" s="370"/>
      <c r="W337" s="370"/>
      <c r="X337" s="370"/>
    </row>
    <row r="338" spans="1:24">
      <c r="A338" s="21">
        <v>45719</v>
      </c>
      <c r="B338" s="21"/>
      <c r="C338" s="30"/>
      <c r="D338" s="301" t="s">
        <v>48</v>
      </c>
      <c r="E338" s="39"/>
      <c r="F338" s="39"/>
      <c r="G338" s="61"/>
      <c r="H338" s="61"/>
      <c r="I338" s="1"/>
      <c r="J338" s="1"/>
      <c r="K338" s="1"/>
      <c r="L338" s="1"/>
      <c r="M338" s="17"/>
      <c r="N338" s="80"/>
      <c r="O338" s="80"/>
      <c r="P338" s="80"/>
      <c r="Q338" s="80"/>
      <c r="R338" s="1"/>
      <c r="S338" s="1"/>
      <c r="T338" s="371"/>
      <c r="U338" s="370"/>
      <c r="V338" s="370"/>
      <c r="W338" s="370"/>
      <c r="X338" s="370"/>
    </row>
    <row r="339" spans="1:24">
      <c r="A339" s="21">
        <v>45720</v>
      </c>
      <c r="B339" s="21"/>
      <c r="C339" s="31"/>
      <c r="D339" s="301" t="s">
        <v>48</v>
      </c>
      <c r="E339" s="39"/>
      <c r="F339" s="39"/>
      <c r="G339" s="61"/>
      <c r="H339" s="61"/>
      <c r="I339" s="1"/>
      <c r="J339" s="1"/>
      <c r="K339" s="1"/>
      <c r="L339" s="1"/>
      <c r="M339" s="17"/>
      <c r="N339" s="80"/>
      <c r="O339" s="80"/>
      <c r="P339" s="80"/>
      <c r="Q339" s="80"/>
      <c r="R339" s="1"/>
      <c r="S339" s="1"/>
      <c r="T339" s="371"/>
      <c r="U339" s="370"/>
      <c r="V339" s="370"/>
      <c r="W339" s="370"/>
      <c r="X339" s="370"/>
    </row>
    <row r="340" spans="1:24">
      <c r="A340" s="21">
        <v>45721</v>
      </c>
      <c r="B340" s="21"/>
      <c r="C340" s="30"/>
      <c r="D340" s="301" t="s">
        <v>48</v>
      </c>
      <c r="E340" s="39"/>
      <c r="F340" s="39"/>
      <c r="G340" s="61"/>
      <c r="H340" s="61"/>
      <c r="I340" s="1"/>
      <c r="J340" s="1"/>
      <c r="K340" s="1"/>
      <c r="L340" s="1"/>
      <c r="M340" s="17"/>
      <c r="N340" s="80"/>
      <c r="O340" s="80"/>
      <c r="P340" s="80"/>
      <c r="Q340" s="80"/>
      <c r="R340" s="1"/>
      <c r="S340" s="1"/>
      <c r="T340" s="371"/>
      <c r="U340" s="370"/>
      <c r="V340" s="370"/>
      <c r="W340" s="370"/>
      <c r="X340" s="370"/>
    </row>
    <row r="341" spans="1:24">
      <c r="A341" s="21">
        <v>45722</v>
      </c>
      <c r="B341" s="21"/>
      <c r="C341" s="31"/>
      <c r="D341" s="301" t="s">
        <v>48</v>
      </c>
      <c r="E341" s="39"/>
      <c r="F341" s="39"/>
      <c r="G341" s="61"/>
      <c r="H341" s="61"/>
      <c r="I341" s="1"/>
      <c r="J341" s="1"/>
      <c r="K341" s="1"/>
      <c r="L341" s="1"/>
      <c r="M341" s="17"/>
      <c r="N341" s="80"/>
      <c r="O341" s="80"/>
      <c r="P341" s="80"/>
      <c r="Q341" s="80"/>
      <c r="R341" s="1"/>
      <c r="S341" s="1"/>
      <c r="T341" s="371"/>
      <c r="U341" s="370"/>
      <c r="V341" s="370"/>
      <c r="W341" s="370"/>
      <c r="X341" s="370"/>
    </row>
    <row r="342" spans="1:24">
      <c r="A342" s="21">
        <v>45723</v>
      </c>
      <c r="B342" s="21"/>
      <c r="C342" s="32"/>
      <c r="D342" s="301" t="s">
        <v>48</v>
      </c>
      <c r="E342" s="28"/>
      <c r="F342" s="28"/>
      <c r="G342" s="61"/>
      <c r="H342" s="61"/>
      <c r="I342" s="1"/>
      <c r="J342" s="1"/>
      <c r="K342" s="1"/>
      <c r="L342" s="1"/>
      <c r="M342" s="33"/>
      <c r="N342" s="33"/>
      <c r="O342" s="33"/>
      <c r="P342" s="33"/>
      <c r="Q342" s="33"/>
      <c r="R342" s="1"/>
      <c r="S342" s="1"/>
      <c r="T342" s="371"/>
      <c r="U342" s="370"/>
      <c r="V342" s="370"/>
      <c r="W342" s="370"/>
      <c r="X342" s="370"/>
    </row>
    <row r="343" spans="1:24">
      <c r="A343" s="21">
        <v>45724</v>
      </c>
      <c r="B343" s="21"/>
      <c r="C343" s="31"/>
      <c r="D343" s="301" t="s">
        <v>48</v>
      </c>
      <c r="E343" s="39"/>
      <c r="F343" s="39"/>
      <c r="G343" s="61"/>
      <c r="H343" s="61"/>
      <c r="I343" s="1"/>
      <c r="J343" s="1"/>
      <c r="K343" s="1"/>
      <c r="L343" s="1"/>
      <c r="M343" s="17"/>
      <c r="N343" s="80"/>
      <c r="O343" s="80"/>
      <c r="P343" s="80"/>
      <c r="Q343" s="80"/>
      <c r="R343" s="1"/>
      <c r="S343" s="1"/>
      <c r="T343" s="371"/>
      <c r="U343" s="370"/>
      <c r="V343" s="370"/>
      <c r="W343" s="370"/>
      <c r="X343" s="370"/>
    </row>
    <row r="344" spans="1:24">
      <c r="A344" s="21">
        <v>45725</v>
      </c>
      <c r="B344" s="21"/>
      <c r="C344" s="30"/>
      <c r="D344" s="301" t="s">
        <v>48</v>
      </c>
      <c r="E344" s="39"/>
      <c r="F344" s="39"/>
      <c r="G344" s="61"/>
      <c r="H344" s="61"/>
      <c r="I344" s="1"/>
      <c r="J344" s="1"/>
      <c r="K344" s="1"/>
      <c r="L344" s="1"/>
      <c r="M344" s="17"/>
      <c r="N344" s="80"/>
      <c r="O344" s="80"/>
      <c r="P344" s="80"/>
      <c r="Q344" s="80"/>
      <c r="R344" s="1"/>
      <c r="S344" s="1"/>
      <c r="T344" s="371"/>
      <c r="U344" s="370"/>
      <c r="V344" s="370"/>
      <c r="W344" s="370"/>
      <c r="X344" s="370"/>
    </row>
    <row r="345" spans="1:24">
      <c r="A345" s="21">
        <v>45726</v>
      </c>
      <c r="B345" s="21"/>
      <c r="C345" s="31"/>
      <c r="D345" s="301" t="s">
        <v>48</v>
      </c>
      <c r="E345" s="39"/>
      <c r="F345" s="39"/>
      <c r="G345" s="61"/>
      <c r="H345" s="61"/>
      <c r="I345" s="1"/>
      <c r="J345" s="1"/>
      <c r="K345" s="1"/>
      <c r="L345" s="1"/>
      <c r="M345" s="17"/>
      <c r="N345" s="80"/>
      <c r="O345" s="80"/>
      <c r="P345" s="80"/>
      <c r="Q345" s="80"/>
      <c r="R345" s="1"/>
      <c r="S345" s="1"/>
      <c r="T345" s="371"/>
      <c r="U345" s="370"/>
      <c r="V345" s="370"/>
      <c r="W345" s="370"/>
      <c r="X345" s="370"/>
    </row>
    <row r="346" spans="1:24">
      <c r="A346" s="21">
        <v>45727</v>
      </c>
      <c r="B346" s="21"/>
      <c r="C346" s="30"/>
      <c r="D346" s="301" t="s">
        <v>48</v>
      </c>
      <c r="E346" s="39"/>
      <c r="F346" s="39"/>
      <c r="G346" s="61"/>
      <c r="H346" s="61"/>
      <c r="I346" s="1"/>
      <c r="J346" s="1"/>
      <c r="K346" s="1"/>
      <c r="L346" s="1"/>
      <c r="M346" s="17"/>
      <c r="N346" s="80"/>
      <c r="O346" s="80"/>
      <c r="P346" s="80"/>
      <c r="Q346" s="80"/>
      <c r="R346" s="1"/>
      <c r="S346" s="1"/>
      <c r="T346" s="371"/>
      <c r="U346" s="370"/>
      <c r="V346" s="370"/>
      <c r="W346" s="370"/>
      <c r="X346" s="370"/>
    </row>
    <row r="347" spans="1:24">
      <c r="A347" s="21">
        <v>45728</v>
      </c>
      <c r="B347" s="21"/>
      <c r="C347" s="31"/>
      <c r="D347" s="301" t="s">
        <v>48</v>
      </c>
      <c r="E347" s="39"/>
      <c r="F347" s="39"/>
      <c r="G347" s="61"/>
      <c r="H347" s="61"/>
      <c r="I347" s="1"/>
      <c r="J347" s="1"/>
      <c r="K347" s="1"/>
      <c r="L347" s="1"/>
      <c r="M347" s="17"/>
      <c r="N347" s="80"/>
      <c r="O347" s="80"/>
      <c r="P347" s="80"/>
      <c r="Q347" s="80"/>
      <c r="R347" s="1"/>
      <c r="S347" s="1"/>
      <c r="T347" s="371"/>
      <c r="U347" s="370"/>
      <c r="V347" s="370"/>
      <c r="W347" s="370"/>
      <c r="X347" s="370"/>
    </row>
    <row r="348" spans="1:24">
      <c r="A348" s="21">
        <v>45729</v>
      </c>
      <c r="B348" s="21"/>
      <c r="C348" s="30"/>
      <c r="D348" s="301" t="s">
        <v>48</v>
      </c>
      <c r="E348" s="39"/>
      <c r="F348" s="39"/>
      <c r="G348" s="61"/>
      <c r="H348" s="61"/>
      <c r="I348" s="1"/>
      <c r="J348" s="1"/>
      <c r="K348" s="1"/>
      <c r="L348" s="1"/>
      <c r="M348" s="17"/>
      <c r="N348" s="80"/>
      <c r="O348" s="80"/>
      <c r="P348" s="80"/>
      <c r="Q348" s="80"/>
      <c r="R348" s="1"/>
      <c r="S348" s="1"/>
      <c r="T348" s="371"/>
      <c r="U348" s="370"/>
      <c r="V348" s="370"/>
      <c r="W348" s="370"/>
      <c r="X348" s="370"/>
    </row>
    <row r="349" spans="1:24">
      <c r="A349" s="21">
        <v>45730</v>
      </c>
      <c r="B349" s="21"/>
      <c r="C349" s="31"/>
      <c r="D349" s="301" t="s">
        <v>48</v>
      </c>
      <c r="E349" s="39"/>
      <c r="F349" s="39"/>
      <c r="G349" s="61"/>
      <c r="H349" s="61"/>
      <c r="I349" s="1"/>
      <c r="J349" s="1"/>
      <c r="K349" s="1"/>
      <c r="L349" s="1"/>
      <c r="M349" s="17"/>
      <c r="N349" s="80"/>
      <c r="O349" s="80"/>
      <c r="P349" s="80"/>
      <c r="Q349" s="80"/>
      <c r="R349" s="1"/>
      <c r="S349" s="1"/>
      <c r="T349" s="371"/>
      <c r="U349" s="370"/>
      <c r="V349" s="370"/>
      <c r="W349" s="370"/>
      <c r="X349" s="370"/>
    </row>
    <row r="350" spans="1:24">
      <c r="A350" s="21">
        <v>45731</v>
      </c>
      <c r="B350" s="21"/>
      <c r="C350" s="32"/>
      <c r="D350" s="301" t="s">
        <v>48</v>
      </c>
      <c r="E350" s="28"/>
      <c r="F350" s="28"/>
      <c r="G350" s="61"/>
      <c r="H350" s="61"/>
      <c r="I350" s="1"/>
      <c r="J350" s="1"/>
      <c r="K350" s="1"/>
      <c r="L350" s="1"/>
      <c r="M350" s="33"/>
      <c r="N350" s="33"/>
      <c r="O350" s="33"/>
      <c r="P350" s="33"/>
      <c r="Q350" s="33"/>
      <c r="R350" s="1"/>
      <c r="S350" s="1"/>
      <c r="T350" s="371"/>
      <c r="U350" s="370"/>
      <c r="V350" s="370"/>
      <c r="W350" s="370"/>
      <c r="X350" s="370"/>
    </row>
    <row r="351" spans="1:24">
      <c r="A351" s="21">
        <v>45732</v>
      </c>
      <c r="B351" s="21"/>
      <c r="C351" s="31"/>
      <c r="D351" s="301" t="s">
        <v>48</v>
      </c>
      <c r="E351" s="39"/>
      <c r="F351" s="39"/>
      <c r="G351" s="61"/>
      <c r="H351" s="61"/>
      <c r="I351" s="1"/>
      <c r="J351" s="1"/>
      <c r="K351" s="1"/>
      <c r="L351" s="1"/>
      <c r="M351" s="17"/>
      <c r="N351" s="80"/>
      <c r="O351" s="80"/>
      <c r="P351" s="80"/>
      <c r="Q351" s="80"/>
      <c r="R351" s="1"/>
      <c r="S351" s="1"/>
      <c r="T351" s="371"/>
      <c r="U351" s="370"/>
      <c r="V351" s="370"/>
      <c r="W351" s="370"/>
      <c r="X351" s="370"/>
    </row>
    <row r="352" spans="1:24">
      <c r="A352" s="21">
        <v>45733</v>
      </c>
      <c r="B352" s="21"/>
      <c r="C352" s="32"/>
      <c r="D352" s="301" t="s">
        <v>48</v>
      </c>
      <c r="E352" s="39"/>
      <c r="F352" s="39"/>
      <c r="G352" s="61"/>
      <c r="H352" s="61"/>
      <c r="I352" s="1"/>
      <c r="J352" s="1"/>
      <c r="K352" s="1"/>
      <c r="L352" s="1"/>
      <c r="M352" s="17"/>
      <c r="N352" s="80"/>
      <c r="O352" s="80"/>
      <c r="P352" s="80"/>
      <c r="Q352" s="80"/>
      <c r="R352" s="1"/>
      <c r="S352" s="1"/>
      <c r="T352" s="371"/>
      <c r="U352" s="370"/>
      <c r="V352" s="370"/>
      <c r="W352" s="370"/>
      <c r="X352" s="370"/>
    </row>
    <row r="353" spans="1:24">
      <c r="A353" s="21">
        <v>45734</v>
      </c>
      <c r="B353" s="21"/>
      <c r="C353" s="31"/>
      <c r="D353" s="301" t="s">
        <v>48</v>
      </c>
      <c r="E353" s="39"/>
      <c r="F353" s="39"/>
      <c r="G353" s="61"/>
      <c r="H353" s="61"/>
      <c r="I353" s="1"/>
      <c r="J353" s="1"/>
      <c r="K353" s="1"/>
      <c r="L353" s="1"/>
      <c r="M353" s="17"/>
      <c r="N353" s="80"/>
      <c r="O353" s="80"/>
      <c r="P353" s="80"/>
      <c r="Q353" s="80"/>
      <c r="R353" s="1"/>
      <c r="S353" s="1"/>
      <c r="T353" s="371"/>
      <c r="U353" s="370"/>
      <c r="V353" s="370"/>
      <c r="W353" s="370"/>
      <c r="X353" s="370"/>
    </row>
    <row r="354" spans="1:24">
      <c r="A354" s="21">
        <v>45735</v>
      </c>
      <c r="B354" s="21"/>
      <c r="C354" s="32"/>
      <c r="D354" s="301" t="s">
        <v>48</v>
      </c>
      <c r="E354" s="39"/>
      <c r="F354" s="39"/>
      <c r="G354" s="61"/>
      <c r="H354" s="61"/>
      <c r="I354" s="1"/>
      <c r="J354" s="1"/>
      <c r="K354" s="1"/>
      <c r="L354" s="1"/>
      <c r="M354" s="17"/>
      <c r="N354" s="80"/>
      <c r="O354" s="80"/>
      <c r="P354" s="80"/>
      <c r="Q354" s="80"/>
      <c r="R354" s="1"/>
      <c r="S354" s="1"/>
      <c r="T354" s="371"/>
      <c r="U354" s="370"/>
      <c r="V354" s="370"/>
      <c r="W354" s="370"/>
      <c r="X354" s="370"/>
    </row>
    <row r="355" spans="1:24">
      <c r="A355" s="21">
        <v>45736</v>
      </c>
      <c r="B355" s="21"/>
      <c r="C355" s="31"/>
      <c r="D355" s="301" t="s">
        <v>48</v>
      </c>
      <c r="E355" s="39"/>
      <c r="F355" s="39"/>
      <c r="G355" s="61"/>
      <c r="H355" s="61"/>
      <c r="I355" s="1"/>
      <c r="J355" s="1"/>
      <c r="K355" s="1"/>
      <c r="L355" s="1"/>
      <c r="M355" s="17"/>
      <c r="N355" s="80"/>
      <c r="O355" s="80"/>
      <c r="P355" s="80"/>
      <c r="Q355" s="80"/>
      <c r="R355" s="1"/>
      <c r="S355" s="1"/>
      <c r="T355" s="371"/>
      <c r="U355" s="370"/>
      <c r="V355" s="370"/>
      <c r="W355" s="370"/>
      <c r="X355" s="370"/>
    </row>
    <row r="356" spans="1:24">
      <c r="A356" s="21">
        <v>45737</v>
      </c>
      <c r="B356" s="21"/>
      <c r="C356" s="31"/>
      <c r="D356" s="301" t="s">
        <v>48</v>
      </c>
      <c r="E356" s="39"/>
      <c r="F356" s="39"/>
      <c r="G356" s="61"/>
      <c r="H356" s="61"/>
      <c r="I356" s="1"/>
      <c r="J356" s="1"/>
      <c r="K356" s="1"/>
      <c r="L356" s="1"/>
      <c r="M356" s="17"/>
      <c r="N356" s="80"/>
      <c r="O356" s="80"/>
      <c r="P356" s="80"/>
      <c r="Q356" s="80"/>
      <c r="R356" s="1"/>
      <c r="S356" s="1"/>
      <c r="T356" s="371"/>
      <c r="U356" s="370"/>
      <c r="V356" s="370"/>
      <c r="W356" s="370"/>
      <c r="X356" s="370"/>
    </row>
    <row r="357" spans="1:24">
      <c r="A357" s="21">
        <v>45738</v>
      </c>
      <c r="B357" s="21"/>
      <c r="C357" s="31"/>
      <c r="D357" s="301" t="s">
        <v>48</v>
      </c>
      <c r="E357" s="39"/>
      <c r="F357" s="39"/>
      <c r="G357" s="61"/>
      <c r="H357" s="61"/>
      <c r="I357" s="1"/>
      <c r="J357" s="1"/>
      <c r="K357" s="1"/>
      <c r="L357" s="1"/>
      <c r="M357" s="17"/>
      <c r="N357" s="80"/>
      <c r="O357" s="80"/>
      <c r="P357" s="80"/>
      <c r="Q357" s="80"/>
      <c r="R357" s="1"/>
      <c r="S357" s="1"/>
      <c r="T357" s="371"/>
      <c r="U357" s="370"/>
      <c r="V357" s="370"/>
      <c r="W357" s="370"/>
      <c r="X357" s="370"/>
    </row>
    <row r="358" spans="1:24">
      <c r="A358" s="21">
        <v>45739</v>
      </c>
      <c r="B358" s="21"/>
      <c r="C358" s="32"/>
      <c r="D358" s="301" t="s">
        <v>48</v>
      </c>
      <c r="E358" s="28"/>
      <c r="F358" s="28"/>
      <c r="G358" s="61"/>
      <c r="H358" s="61"/>
      <c r="I358" s="1"/>
      <c r="J358" s="1"/>
      <c r="K358" s="1"/>
      <c r="L358" s="1"/>
      <c r="M358" s="33"/>
      <c r="N358" s="33"/>
      <c r="O358" s="33"/>
      <c r="P358" s="33"/>
      <c r="Q358" s="33"/>
      <c r="R358" s="1"/>
      <c r="S358" s="1"/>
      <c r="T358" s="371"/>
      <c r="U358" s="370"/>
      <c r="V358" s="370"/>
      <c r="W358" s="370"/>
      <c r="X358" s="370"/>
    </row>
    <row r="359" spans="1:24">
      <c r="A359" s="21">
        <v>45740</v>
      </c>
      <c r="B359" s="21"/>
      <c r="C359" s="31"/>
      <c r="D359" s="301" t="s">
        <v>48</v>
      </c>
      <c r="E359" s="39"/>
      <c r="F359" s="39"/>
      <c r="G359" s="61"/>
      <c r="H359" s="61"/>
      <c r="I359" s="1"/>
      <c r="J359" s="1"/>
      <c r="K359" s="1"/>
      <c r="L359" s="1"/>
      <c r="M359" s="17"/>
      <c r="N359" s="80"/>
      <c r="O359" s="80"/>
      <c r="P359" s="80"/>
      <c r="Q359" s="80"/>
      <c r="R359" s="1"/>
      <c r="S359" s="1"/>
      <c r="T359" s="371"/>
      <c r="U359" s="370"/>
      <c r="V359" s="370"/>
      <c r="W359" s="370"/>
      <c r="X359" s="370"/>
    </row>
    <row r="360" spans="1:24">
      <c r="A360" s="21">
        <v>45741</v>
      </c>
      <c r="B360" s="21"/>
      <c r="C360" s="31"/>
      <c r="D360" s="301" t="s">
        <v>48</v>
      </c>
      <c r="E360" s="39"/>
      <c r="F360" s="39"/>
      <c r="G360" s="61"/>
      <c r="H360" s="61"/>
      <c r="I360" s="1"/>
      <c r="J360" s="1"/>
      <c r="K360" s="1"/>
      <c r="L360" s="1"/>
      <c r="M360" s="17"/>
      <c r="N360" s="80"/>
      <c r="O360" s="80"/>
      <c r="P360" s="80"/>
      <c r="Q360" s="80"/>
      <c r="R360" s="1"/>
      <c r="S360" s="1"/>
      <c r="T360" s="371"/>
      <c r="U360" s="370"/>
      <c r="V360" s="370"/>
      <c r="W360" s="370"/>
      <c r="X360" s="370"/>
    </row>
    <row r="361" spans="1:24">
      <c r="A361" s="21">
        <v>45742</v>
      </c>
      <c r="B361" s="21"/>
      <c r="C361" s="31"/>
      <c r="D361" s="301" t="s">
        <v>48</v>
      </c>
      <c r="E361" s="39"/>
      <c r="F361" s="39"/>
      <c r="G361" s="61"/>
      <c r="H361" s="61"/>
      <c r="I361" s="1"/>
      <c r="J361" s="1"/>
      <c r="K361" s="1"/>
      <c r="L361" s="1"/>
      <c r="M361" s="17"/>
      <c r="N361" s="80"/>
      <c r="O361" s="80"/>
      <c r="P361" s="80"/>
      <c r="Q361" s="80"/>
      <c r="R361" s="1"/>
      <c r="S361" s="1"/>
      <c r="T361" s="371"/>
      <c r="U361" s="370"/>
      <c r="V361" s="370"/>
      <c r="W361" s="370"/>
      <c r="X361" s="370"/>
    </row>
    <row r="362" spans="1:24">
      <c r="A362" s="21">
        <v>45743</v>
      </c>
      <c r="B362" s="21"/>
      <c r="C362" s="31"/>
      <c r="D362" s="301" t="s">
        <v>48</v>
      </c>
      <c r="E362" s="39"/>
      <c r="F362" s="39"/>
      <c r="G362" s="61"/>
      <c r="H362" s="61"/>
      <c r="I362" s="1"/>
      <c r="J362" s="1"/>
      <c r="K362" s="1"/>
      <c r="L362" s="1"/>
      <c r="M362" s="17"/>
      <c r="N362" s="80"/>
      <c r="O362" s="80"/>
      <c r="P362" s="80"/>
      <c r="Q362" s="80"/>
      <c r="R362" s="1"/>
      <c r="S362" s="1"/>
      <c r="T362" s="371"/>
      <c r="U362" s="370"/>
      <c r="V362" s="370"/>
      <c r="W362" s="370"/>
      <c r="X362" s="370"/>
    </row>
    <row r="363" spans="1:24">
      <c r="A363" s="21">
        <v>45744</v>
      </c>
      <c r="B363" s="21"/>
      <c r="C363" s="31"/>
      <c r="D363" s="301" t="s">
        <v>48</v>
      </c>
      <c r="E363" s="39"/>
      <c r="F363" s="39"/>
      <c r="G363" s="61"/>
      <c r="H363" s="61"/>
      <c r="I363" s="1"/>
      <c r="J363" s="1"/>
      <c r="K363" s="1"/>
      <c r="L363" s="1"/>
      <c r="M363" s="17"/>
      <c r="N363" s="80"/>
      <c r="O363" s="80"/>
      <c r="P363" s="80"/>
      <c r="Q363" s="80"/>
      <c r="R363" s="1"/>
      <c r="S363" s="1"/>
      <c r="T363" s="371"/>
      <c r="U363" s="370"/>
      <c r="V363" s="370"/>
      <c r="W363" s="370"/>
      <c r="X363" s="370"/>
    </row>
    <row r="364" spans="1:24">
      <c r="A364" s="21">
        <v>45745</v>
      </c>
      <c r="B364" s="21"/>
      <c r="C364" s="31"/>
      <c r="D364" s="301" t="s">
        <v>48</v>
      </c>
      <c r="E364" s="39"/>
      <c r="F364" s="39"/>
      <c r="G364" s="61"/>
      <c r="H364" s="61"/>
      <c r="I364" s="1"/>
      <c r="J364" s="1"/>
      <c r="K364" s="1"/>
      <c r="L364" s="1"/>
      <c r="M364" s="17"/>
      <c r="N364" s="80"/>
      <c r="O364" s="80"/>
      <c r="P364" s="80"/>
      <c r="Q364" s="80"/>
      <c r="R364" s="1"/>
      <c r="S364" s="1"/>
      <c r="T364" s="371"/>
      <c r="U364" s="370"/>
      <c r="V364" s="370"/>
      <c r="W364" s="370"/>
      <c r="X364" s="370"/>
    </row>
    <row r="365" spans="1:24">
      <c r="A365" s="21">
        <v>45746</v>
      </c>
      <c r="B365" s="21"/>
      <c r="C365" s="31"/>
      <c r="D365" s="301" t="s">
        <v>48</v>
      </c>
      <c r="E365" s="39"/>
      <c r="F365" s="39"/>
      <c r="G365" s="61"/>
      <c r="H365" s="61"/>
      <c r="I365" s="1"/>
      <c r="J365" s="1"/>
      <c r="K365" s="1"/>
      <c r="L365" s="1"/>
      <c r="M365" s="17"/>
      <c r="N365" s="80"/>
      <c r="O365" s="80"/>
      <c r="P365" s="80"/>
      <c r="Q365" s="80"/>
      <c r="R365" s="1"/>
      <c r="S365" s="1"/>
      <c r="T365" s="371"/>
      <c r="U365" s="370"/>
      <c r="V365" s="370"/>
      <c r="W365" s="370"/>
      <c r="X365" s="370"/>
    </row>
    <row r="366" spans="1:24">
      <c r="A366" s="21">
        <v>45747</v>
      </c>
      <c r="B366" s="21"/>
      <c r="C366" s="31"/>
      <c r="D366" s="301" t="s">
        <v>48</v>
      </c>
      <c r="E366" s="39"/>
      <c r="F366" s="39"/>
      <c r="G366" s="61"/>
      <c r="H366" s="61"/>
      <c r="I366" s="1"/>
      <c r="J366" s="1"/>
      <c r="K366" s="1"/>
      <c r="L366" s="1"/>
      <c r="M366" s="17"/>
      <c r="N366" s="80"/>
      <c r="O366" s="80"/>
      <c r="P366" s="80"/>
      <c r="Q366" s="80"/>
      <c r="R366" s="1"/>
      <c r="S366" s="34"/>
      <c r="T366" s="382"/>
      <c r="U366" s="372"/>
      <c r="V366" s="372"/>
      <c r="W366" s="372"/>
      <c r="X366" s="372"/>
    </row>
  </sheetData>
  <mergeCells count="6">
    <mergeCell ref="AK134:AL134"/>
    <mergeCell ref="AB3:AD3"/>
    <mergeCell ref="AF3:AG3"/>
    <mergeCell ref="AI3:AJ3"/>
    <mergeCell ref="AB8:AC8"/>
    <mergeCell ref="AF8:AG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AW366"/>
  <sheetViews>
    <sheetView tabSelected="1" zoomScale="70" zoomScaleNormal="70" workbookViewId="0">
      <pane xSplit="1" ySplit="1" topLeftCell="E37" activePane="bottomRight" state="frozen"/>
      <selection pane="topRight" activeCell="B1" sqref="B1"/>
      <selection pane="bottomLeft" activeCell="A3" sqref="A3"/>
      <selection pane="bottomRight" activeCell="K129" sqref="K129"/>
    </sheetView>
  </sheetViews>
  <sheetFormatPr defaultRowHeight="14.5"/>
  <cols>
    <col min="2" max="2" width="22.90625" customWidth="1"/>
    <col min="3" max="3" width="19" bestFit="1" customWidth="1"/>
    <col min="4" max="4" width="18.08984375" bestFit="1" customWidth="1"/>
    <col min="5" max="5" width="10.453125" customWidth="1"/>
    <col min="6" max="6" width="13.6328125" bestFit="1" customWidth="1"/>
    <col min="7" max="7" width="24.90625" bestFit="1" customWidth="1"/>
    <col min="8" max="8" width="24.08984375" bestFit="1" customWidth="1"/>
    <col min="9" max="9" width="21.90625" bestFit="1" customWidth="1"/>
    <col min="10" max="10" width="18.453125" bestFit="1" customWidth="1"/>
    <col min="11" max="11" width="24.6328125" bestFit="1" customWidth="1"/>
    <col min="12" max="12" width="23.26953125" bestFit="1" customWidth="1"/>
    <col min="16" max="16" width="9" customWidth="1"/>
    <col min="20" max="20" width="20.453125" style="108" bestFit="1" customWidth="1"/>
    <col min="21" max="21" width="26.90625" style="108" customWidth="1"/>
    <col min="22" max="22" width="26.453125" style="108" customWidth="1"/>
    <col min="23" max="23" width="39.08984375" style="108" bestFit="1" customWidth="1"/>
    <col min="24" max="24" width="34.7265625" style="108" bestFit="1" customWidth="1"/>
    <col min="29" max="29" width="15.08984375" bestFit="1" customWidth="1"/>
    <col min="30" max="30" width="14.1796875" bestFit="1" customWidth="1"/>
    <col min="45" max="45" width="17.26953125" bestFit="1" customWidth="1"/>
    <col min="46" max="46" width="19.08984375" bestFit="1" customWidth="1"/>
    <col min="47" max="47" width="19.7265625" bestFit="1" customWidth="1"/>
    <col min="48" max="48" width="17.26953125" bestFit="1" customWidth="1"/>
    <col min="49" max="49" width="17" bestFit="1" customWidth="1"/>
  </cols>
  <sheetData>
    <row r="1" spans="1:49" ht="53.4" customHeight="1">
      <c r="A1" s="35" t="s">
        <v>30</v>
      </c>
      <c r="B1" s="35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7" t="s">
        <v>43</v>
      </c>
      <c r="R1" s="37" t="s">
        <v>44</v>
      </c>
      <c r="S1" s="37" t="s">
        <v>45</v>
      </c>
      <c r="T1" s="109" t="s">
        <v>46</v>
      </c>
      <c r="U1" s="374" t="s">
        <v>164</v>
      </c>
      <c r="V1" s="374" t="s">
        <v>163</v>
      </c>
      <c r="W1" s="375" t="s">
        <v>171</v>
      </c>
      <c r="X1" s="375" t="s">
        <v>170</v>
      </c>
    </row>
    <row r="2" spans="1:49">
      <c r="A2" s="29">
        <v>45383</v>
      </c>
      <c r="B2" s="393">
        <f>IF(YEAR(Table6[[#This Row],[Date]]) = 2024, WEEKNUM(Table6[[#This Row],[Date]])-13, WEEKNUM(Table6[[#This Row],[Date]])+40)</f>
        <v>1</v>
      </c>
      <c r="C2" s="31" t="s">
        <v>47</v>
      </c>
      <c r="D2" s="295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0</f>
        <v>0</v>
      </c>
      <c r="L2" s="1">
        <f>0</f>
        <v>0</v>
      </c>
      <c r="M2" s="17">
        <v>0</v>
      </c>
      <c r="N2" s="17">
        <v>0</v>
      </c>
      <c r="O2" s="17">
        <v>0</v>
      </c>
      <c r="P2" s="17">
        <v>0</v>
      </c>
      <c r="Q2" s="22">
        <v>0</v>
      </c>
      <c r="R2" s="284">
        <v>0</v>
      </c>
      <c r="S2" s="284">
        <v>0</v>
      </c>
      <c r="T2" s="110">
        <v>0</v>
      </c>
      <c r="U2" s="111" t="str">
        <f>IF(OR(G2&lt;$AC$5,G2&gt;$AD$5), "Outlier", "Normal")</f>
        <v>Normal</v>
      </c>
      <c r="V2" s="111" t="str">
        <f>IF(OR(H2&lt;$AC$6,H2&gt;$AD$6), "Outlier", "Normal")</f>
        <v>Normal</v>
      </c>
      <c r="W2" s="18">
        <f>IF(U2="Normal",$G2,IF($G2&lt;150%, $G2, $AC$9))</f>
        <v>0</v>
      </c>
      <c r="X2" s="18">
        <f>IF(V2="Normal",$H2,IF($H2&lt;150%, $H2, $AG$9))</f>
        <v>0</v>
      </c>
    </row>
    <row r="3" spans="1:49">
      <c r="A3" s="29">
        <v>45384</v>
      </c>
      <c r="B3" s="393">
        <f>IF(YEAR(Table6[[#This Row],[Date]]) = 2024, WEEKNUM(Table6[[#This Row],[Date]])-13, WEEKNUM(Table6[[#This Row],[Date]])+40)</f>
        <v>1</v>
      </c>
      <c r="C3" s="31" t="s">
        <v>49</v>
      </c>
      <c r="D3" s="295" t="s">
        <v>48</v>
      </c>
      <c r="E3" s="1">
        <v>560</v>
      </c>
      <c r="F3" s="1">
        <v>503</v>
      </c>
      <c r="G3" s="61">
        <f>(E3-738)/738</f>
        <v>-0.24119241192411925</v>
      </c>
      <c r="H3" s="61">
        <f>(F3-557)/557</f>
        <v>-9.6947935368043081E-2</v>
      </c>
      <c r="I3" s="1">
        <f>E3</f>
        <v>560</v>
      </c>
      <c r="J3" s="1">
        <f>F3</f>
        <v>503</v>
      </c>
      <c r="K3" s="1">
        <f>K2+Table9[[#This Row],[Calls Off]]</f>
        <v>560</v>
      </c>
      <c r="L3" s="1">
        <f>L2+Table9[[#This Row],[Calls Ans]]</f>
        <v>503</v>
      </c>
      <c r="M3" s="17">
        <v>0.56000000000000005</v>
      </c>
      <c r="N3" s="17">
        <v>0.1</v>
      </c>
      <c r="O3" s="17">
        <v>0.9</v>
      </c>
      <c r="P3" s="17">
        <v>0.65</v>
      </c>
      <c r="Q3" s="17">
        <v>1</v>
      </c>
      <c r="R3" s="1">
        <v>210</v>
      </c>
      <c r="S3" s="1">
        <v>0</v>
      </c>
      <c r="T3" s="111">
        <v>5</v>
      </c>
      <c r="U3" s="111" t="str">
        <f t="shared" ref="U3:U66" si="0">IF(OR(G3&lt;$AC$5,G3&gt;$AD$5), "Outlier", "Normal")</f>
        <v>Normal</v>
      </c>
      <c r="V3" s="111" t="str">
        <f t="shared" ref="V3:V66" si="1">IF(OR(H3&lt;$AC$6,H3&gt;$AD$6), "Outlier", "Normal")</f>
        <v>Normal</v>
      </c>
      <c r="W3" s="18">
        <f t="shared" ref="W3:W66" si="2">IF(U3="Normal",$G3,IF($G3&lt;150%, $G3, $AC$9))</f>
        <v>-0.24119241192411925</v>
      </c>
      <c r="X3" s="18">
        <f t="shared" ref="X3:X66" si="3">IF(V3="Normal",$H3,IF($H3&lt;150%, $H3, $AG$9))</f>
        <v>-9.6947935368043081E-2</v>
      </c>
      <c r="AB3" s="431" t="s">
        <v>153</v>
      </c>
      <c r="AC3" s="431"/>
      <c r="AD3" s="431"/>
      <c r="AF3" s="431" t="s">
        <v>159</v>
      </c>
      <c r="AG3" s="431"/>
      <c r="AI3" s="431" t="s">
        <v>160</v>
      </c>
      <c r="AJ3" s="431"/>
    </row>
    <row r="4" spans="1:49">
      <c r="A4" s="29">
        <v>45385</v>
      </c>
      <c r="B4" s="393">
        <f>IF(YEAR(Table6[[#This Row],[Date]]) = 2024, WEEKNUM(Table6[[#This Row],[Date]])-13, WEEKNUM(Table6[[#This Row],[Date]])+40)</f>
        <v>1</v>
      </c>
      <c r="C4" s="31" t="s">
        <v>50</v>
      </c>
      <c r="D4" s="295" t="s">
        <v>48</v>
      </c>
      <c r="E4" s="1">
        <v>684</v>
      </c>
      <c r="F4" s="1">
        <v>540</v>
      </c>
      <c r="G4" s="61">
        <f>(E4-712)/712</f>
        <v>-3.9325842696629212E-2</v>
      </c>
      <c r="H4" s="61">
        <f>(F4-568)/568</f>
        <v>-4.9295774647887321E-2</v>
      </c>
      <c r="I4" s="1">
        <f>I3+E4</f>
        <v>1244</v>
      </c>
      <c r="J4" s="1">
        <f>J3+F4</f>
        <v>1043</v>
      </c>
      <c r="K4" s="1">
        <f>K3+Table9[[#This Row],[Calls Off]]</f>
        <v>1244</v>
      </c>
      <c r="L4" s="1">
        <f>L3+Table9[[#This Row],[Calls Ans]]</f>
        <v>1043</v>
      </c>
      <c r="M4" s="17">
        <v>0.8</v>
      </c>
      <c r="N4" s="17">
        <v>0.21</v>
      </c>
      <c r="O4" s="17">
        <v>0.79</v>
      </c>
      <c r="P4" s="17">
        <v>0.8</v>
      </c>
      <c r="Q4" s="22">
        <v>1</v>
      </c>
      <c r="R4" s="285">
        <v>219</v>
      </c>
      <c r="S4" s="285">
        <v>0</v>
      </c>
      <c r="T4" s="111">
        <v>4</v>
      </c>
      <c r="U4" s="111" t="str">
        <f t="shared" si="0"/>
        <v>Normal</v>
      </c>
      <c r="V4" s="111" t="str">
        <f t="shared" si="1"/>
        <v>Normal</v>
      </c>
      <c r="W4" s="18">
        <f t="shared" si="2"/>
        <v>-3.9325842696629212E-2</v>
      </c>
      <c r="X4" s="18">
        <f t="shared" si="3"/>
        <v>-4.9295774647887321E-2</v>
      </c>
      <c r="AB4" s="361" t="s">
        <v>161</v>
      </c>
      <c r="AC4" s="1" t="s">
        <v>156</v>
      </c>
      <c r="AD4" s="1" t="s">
        <v>157</v>
      </c>
      <c r="AF4" s="1" t="s">
        <v>154</v>
      </c>
      <c r="AG4" s="359">
        <f>_xlfn.QUARTILE.INC(G:G, 1)</f>
        <v>-0.12370386542032115</v>
      </c>
      <c r="AI4" s="1" t="s">
        <v>154</v>
      </c>
      <c r="AJ4" s="360">
        <f>_xlfn.QUARTILE.INC(H:H, 1)</f>
        <v>-9.2697389585016984E-2</v>
      </c>
    </row>
    <row r="5" spans="1:49">
      <c r="A5" s="29">
        <v>45386</v>
      </c>
      <c r="B5" s="393">
        <f>IF(YEAR(Table6[[#This Row],[Date]]) = 2024, WEEKNUM(Table6[[#This Row],[Date]])-13, WEEKNUM(Table6[[#This Row],[Date]])+40)</f>
        <v>1</v>
      </c>
      <c r="C5" s="31" t="s">
        <v>51</v>
      </c>
      <c r="D5" s="295" t="s">
        <v>48</v>
      </c>
      <c r="E5" s="1">
        <v>546</v>
      </c>
      <c r="F5" s="1">
        <v>445</v>
      </c>
      <c r="G5" s="61">
        <f>(E5-670)/670</f>
        <v>-0.18507462686567164</v>
      </c>
      <c r="H5" s="61">
        <f>(F5-633)/633</f>
        <v>-0.29699842022116901</v>
      </c>
      <c r="I5" s="1">
        <f t="shared" ref="I5:I7" si="4">I4+E5</f>
        <v>1790</v>
      </c>
      <c r="J5" s="1">
        <f t="shared" ref="J5:J7" si="5">J4+F5</f>
        <v>1488</v>
      </c>
      <c r="K5" s="1">
        <f>K4+Table9[[#This Row],[Calls Off]]</f>
        <v>1790</v>
      </c>
      <c r="L5" s="1">
        <f>L4+Table9[[#This Row],[Calls Ans]]</f>
        <v>1488</v>
      </c>
      <c r="M5" s="17">
        <v>0.78</v>
      </c>
      <c r="N5" s="17">
        <v>0.19</v>
      </c>
      <c r="O5" s="17">
        <v>0.81</v>
      </c>
      <c r="P5" s="17">
        <v>0.66</v>
      </c>
      <c r="Q5" s="22">
        <v>1</v>
      </c>
      <c r="R5" s="285">
        <v>248</v>
      </c>
      <c r="S5" s="285">
        <v>0</v>
      </c>
      <c r="T5" s="111">
        <v>4</v>
      </c>
      <c r="U5" s="111" t="str">
        <f t="shared" si="0"/>
        <v>Normal</v>
      </c>
      <c r="V5" s="111" t="str">
        <f t="shared" si="1"/>
        <v>Normal</v>
      </c>
      <c r="W5" s="18">
        <f t="shared" si="2"/>
        <v>-0.18507462686567164</v>
      </c>
      <c r="X5" s="18">
        <f t="shared" si="3"/>
        <v>-0.29699842022116901</v>
      </c>
      <c r="AB5" s="361" t="s">
        <v>162</v>
      </c>
      <c r="AC5" s="1">
        <f>AG4-1.5*AG6</f>
        <v>-0.4914246901015582</v>
      </c>
      <c r="AD5" s="1">
        <f>AG5+1.5*AG6</f>
        <v>0.48916417571507398</v>
      </c>
      <c r="AF5" s="1" t="s">
        <v>155</v>
      </c>
      <c r="AG5" s="359">
        <f>_xlfn.QUARTILE.INC(G:G, 3)</f>
        <v>0.1214433510338369</v>
      </c>
      <c r="AI5" s="1" t="s">
        <v>155</v>
      </c>
      <c r="AJ5" s="360">
        <f>_xlfn.QUARTILE.INC(H:H, 3)</f>
        <v>5.0289351851851856E-2</v>
      </c>
    </row>
    <row r="6" spans="1:49">
      <c r="A6" s="29">
        <v>45387</v>
      </c>
      <c r="B6" s="393">
        <f>IF(YEAR(Table6[[#This Row],[Date]]) = 2024, WEEKNUM(Table6[[#This Row],[Date]])-13, WEEKNUM(Table6[[#This Row],[Date]])+40)</f>
        <v>1</v>
      </c>
      <c r="C6" s="31" t="s">
        <v>52</v>
      </c>
      <c r="D6" s="295" t="s">
        <v>48</v>
      </c>
      <c r="E6" s="1">
        <v>577</v>
      </c>
      <c r="F6" s="1">
        <v>484</v>
      </c>
      <c r="G6" s="61">
        <v>0</v>
      </c>
      <c r="H6" s="61">
        <v>0</v>
      </c>
      <c r="I6" s="1">
        <f t="shared" si="4"/>
        <v>2367</v>
      </c>
      <c r="J6" s="1">
        <f t="shared" si="5"/>
        <v>1972</v>
      </c>
      <c r="K6" s="1">
        <f>K5+Table9[[#This Row],[Calls Off]]</f>
        <v>2367</v>
      </c>
      <c r="L6" s="1">
        <f>L5+Table9[[#This Row],[Calls Ans]]</f>
        <v>1972</v>
      </c>
      <c r="M6" s="17">
        <v>0.78</v>
      </c>
      <c r="N6" s="17">
        <v>0.16</v>
      </c>
      <c r="O6" s="17">
        <v>0.84</v>
      </c>
      <c r="P6" s="17">
        <v>0.68</v>
      </c>
      <c r="Q6" s="22">
        <v>1</v>
      </c>
      <c r="R6" s="285">
        <v>121</v>
      </c>
      <c r="S6" s="285">
        <v>0</v>
      </c>
      <c r="T6" s="111">
        <v>4</v>
      </c>
      <c r="U6" s="111" t="str">
        <f t="shared" si="0"/>
        <v>Normal</v>
      </c>
      <c r="V6" s="111" t="str">
        <f t="shared" si="1"/>
        <v>Normal</v>
      </c>
      <c r="W6" s="18">
        <f t="shared" si="2"/>
        <v>0</v>
      </c>
      <c r="X6" s="18">
        <f t="shared" si="3"/>
        <v>0</v>
      </c>
      <c r="AB6" s="361" t="s">
        <v>34</v>
      </c>
      <c r="AC6" s="1">
        <f>AJ4-1.5*AJ6</f>
        <v>-0.30717750174032027</v>
      </c>
      <c r="AD6" s="1">
        <f>AJ5+1.5*AJ6</f>
        <v>0.26476946400715512</v>
      </c>
      <c r="AF6" s="62" t="s">
        <v>158</v>
      </c>
      <c r="AG6" s="62">
        <f>AG5-AG4</f>
        <v>0.24514721645415805</v>
      </c>
      <c r="AI6" s="62" t="s">
        <v>158</v>
      </c>
      <c r="AJ6" s="112">
        <f>AJ5-AJ4</f>
        <v>0.14298674143686885</v>
      </c>
    </row>
    <row r="7" spans="1:49">
      <c r="A7" s="29">
        <v>45388</v>
      </c>
      <c r="B7" s="393">
        <f>IF(YEAR(Table6[[#This Row],[Date]]) = 2024, WEEKNUM(Table6[[#This Row],[Date]])-13, WEEKNUM(Table6[[#This Row],[Date]])+40)</f>
        <v>1</v>
      </c>
      <c r="C7" s="31" t="s">
        <v>53</v>
      </c>
      <c r="D7" s="295" t="s">
        <v>48</v>
      </c>
      <c r="E7" s="1">
        <v>354</v>
      </c>
      <c r="F7" s="1">
        <v>310</v>
      </c>
      <c r="G7" s="61">
        <f>(E7-523)/523</f>
        <v>-0.32313575525812621</v>
      </c>
      <c r="H7" s="61">
        <f>(F7-495)/495</f>
        <v>-0.37373737373737376</v>
      </c>
      <c r="I7" s="1">
        <f t="shared" si="4"/>
        <v>2721</v>
      </c>
      <c r="J7" s="1">
        <f t="shared" si="5"/>
        <v>2282</v>
      </c>
      <c r="K7" s="1">
        <f>K6+Table9[[#This Row],[Calls Off]]</f>
        <v>2721</v>
      </c>
      <c r="L7" s="1">
        <f>L6+Table9[[#This Row],[Calls Ans]]</f>
        <v>2282</v>
      </c>
      <c r="M7" s="17">
        <v>0.6</v>
      </c>
      <c r="N7" s="17">
        <v>0.12</v>
      </c>
      <c r="O7" s="17">
        <v>0.88</v>
      </c>
      <c r="P7" s="17">
        <v>0.59</v>
      </c>
      <c r="Q7" s="22">
        <v>1</v>
      </c>
      <c r="R7" s="285">
        <v>95</v>
      </c>
      <c r="S7" s="285">
        <v>0</v>
      </c>
      <c r="T7" s="111">
        <v>3</v>
      </c>
      <c r="U7" s="111" t="str">
        <f t="shared" si="0"/>
        <v>Normal</v>
      </c>
      <c r="V7" s="111" t="str">
        <f t="shared" si="1"/>
        <v>Outlier</v>
      </c>
      <c r="W7" s="18">
        <f t="shared" si="2"/>
        <v>-0.32313575525812621</v>
      </c>
      <c r="X7" s="18">
        <f t="shared" si="3"/>
        <v>-0.37373737373737376</v>
      </c>
    </row>
    <row r="8" spans="1:49">
      <c r="A8" s="29">
        <v>45389</v>
      </c>
      <c r="B8" s="393">
        <f>IF(YEAR(Table6[[#This Row],[Date]]) = 2024, WEEKNUM(Table6[[#This Row],[Date]])-13, WEEKNUM(Table6[[#This Row],[Date]])+40)</f>
        <v>2</v>
      </c>
      <c r="C8" s="31" t="s">
        <v>54</v>
      </c>
      <c r="D8" s="295" t="s">
        <v>48</v>
      </c>
      <c r="E8" s="1">
        <v>0</v>
      </c>
      <c r="F8" s="1">
        <v>0</v>
      </c>
      <c r="G8" s="61">
        <v>0</v>
      </c>
      <c r="H8" s="61">
        <v>0</v>
      </c>
      <c r="I8" s="1">
        <v>0</v>
      </c>
      <c r="J8" s="1">
        <v>0</v>
      </c>
      <c r="K8" s="1">
        <v>0</v>
      </c>
      <c r="L8" s="1">
        <v>0</v>
      </c>
      <c r="M8" s="17">
        <v>0</v>
      </c>
      <c r="N8" s="17">
        <v>0</v>
      </c>
      <c r="O8" s="17">
        <v>0</v>
      </c>
      <c r="P8" s="17">
        <v>0</v>
      </c>
      <c r="Q8" s="22">
        <v>0</v>
      </c>
      <c r="R8" s="285">
        <v>0</v>
      </c>
      <c r="S8" s="285">
        <v>0</v>
      </c>
      <c r="T8" s="111">
        <v>0</v>
      </c>
      <c r="U8" s="111" t="str">
        <f t="shared" si="0"/>
        <v>Normal</v>
      </c>
      <c r="V8" s="111" t="str">
        <f t="shared" si="1"/>
        <v>Normal</v>
      </c>
      <c r="W8" s="18">
        <f t="shared" si="2"/>
        <v>0</v>
      </c>
      <c r="X8" s="18">
        <f t="shared" si="3"/>
        <v>0</v>
      </c>
      <c r="AB8" s="432" t="s">
        <v>169</v>
      </c>
      <c r="AC8" s="433"/>
      <c r="AF8" s="432" t="s">
        <v>168</v>
      </c>
      <c r="AG8" s="433"/>
      <c r="AS8" s="410" t="s">
        <v>173</v>
      </c>
      <c r="AT8" t="s">
        <v>175</v>
      </c>
      <c r="AU8" t="s">
        <v>176</v>
      </c>
      <c r="AV8" t="s">
        <v>178</v>
      </c>
      <c r="AW8" t="s">
        <v>177</v>
      </c>
    </row>
    <row r="9" spans="1:49">
      <c r="A9" s="29">
        <v>45390</v>
      </c>
      <c r="B9" s="393">
        <f>IF(YEAR(Table6[[#This Row],[Date]]) = 2024, WEEKNUM(Table6[[#This Row],[Date]])-13, WEEKNUM(Table6[[#This Row],[Date]])+40)</f>
        <v>2</v>
      </c>
      <c r="C9" s="31" t="s">
        <v>55</v>
      </c>
      <c r="D9" s="295" t="s">
        <v>48</v>
      </c>
      <c r="E9" s="1">
        <v>656</v>
      </c>
      <c r="F9" s="1">
        <v>552</v>
      </c>
      <c r="G9" s="61">
        <v>0</v>
      </c>
      <c r="H9" s="61">
        <v>0</v>
      </c>
      <c r="I9" s="1">
        <f>I7+E9</f>
        <v>3377</v>
      </c>
      <c r="J9" s="1">
        <f>J7+F9</f>
        <v>2834</v>
      </c>
      <c r="K9" s="1">
        <f>K7+Table9[[#This Row],[Calls Off]]</f>
        <v>3377</v>
      </c>
      <c r="L9" s="1">
        <f>L7+Table9[[#This Row],[Calls Ans]]</f>
        <v>2834</v>
      </c>
      <c r="M9" s="17">
        <v>0.74</v>
      </c>
      <c r="N9" s="17">
        <v>0.16</v>
      </c>
      <c r="O9" s="17">
        <v>0.84</v>
      </c>
      <c r="P9" s="17">
        <v>0.77</v>
      </c>
      <c r="Q9" s="22">
        <v>1</v>
      </c>
      <c r="R9" s="285">
        <v>98</v>
      </c>
      <c r="S9" s="285">
        <v>0</v>
      </c>
      <c r="T9" s="111">
        <v>4</v>
      </c>
      <c r="U9" s="111" t="str">
        <f t="shared" si="0"/>
        <v>Normal</v>
      </c>
      <c r="V9" s="111" t="str">
        <f t="shared" si="1"/>
        <v>Normal</v>
      </c>
      <c r="W9" s="18">
        <f t="shared" si="2"/>
        <v>0</v>
      </c>
      <c r="X9" s="18">
        <f t="shared" si="3"/>
        <v>0</v>
      </c>
      <c r="AB9" s="1" t="s">
        <v>165</v>
      </c>
      <c r="AC9" s="61">
        <f>AVERAGE(G2:G123)</f>
        <v>7.2767513360115863E-3</v>
      </c>
      <c r="AF9" s="1" t="s">
        <v>165</v>
      </c>
      <c r="AG9" s="61">
        <f>AVERAGE(H2:H123)</f>
        <v>1.5205025801883906E-3</v>
      </c>
      <c r="AS9" s="411">
        <v>1</v>
      </c>
      <c r="AT9" s="412">
        <v>2721</v>
      </c>
      <c r="AU9" s="412">
        <v>2282</v>
      </c>
      <c r="AV9" s="413">
        <v>0.56333333333333335</v>
      </c>
      <c r="AW9" s="413">
        <v>0.58666666666666667</v>
      </c>
    </row>
    <row r="10" spans="1:49">
      <c r="A10" s="29">
        <v>45391</v>
      </c>
      <c r="B10" s="393">
        <f>IF(YEAR(Table6[[#This Row],[Date]]) = 2024, WEEKNUM(Table6[[#This Row],[Date]])-13, WEEKNUM(Table6[[#This Row],[Date]])+40)</f>
        <v>2</v>
      </c>
      <c r="C10" s="31" t="s">
        <v>49</v>
      </c>
      <c r="D10" s="295" t="s">
        <v>48</v>
      </c>
      <c r="E10" s="1">
        <v>586</v>
      </c>
      <c r="F10" s="1">
        <v>483</v>
      </c>
      <c r="G10" s="61">
        <f>(E10-E3)/E3</f>
        <v>4.642857142857143E-2</v>
      </c>
      <c r="H10" s="61">
        <f>(F10-F3)/F3</f>
        <v>-3.9761431411530816E-2</v>
      </c>
      <c r="I10" s="1">
        <f>E10+I9</f>
        <v>3963</v>
      </c>
      <c r="J10" s="1">
        <f>F10+J9</f>
        <v>3317</v>
      </c>
      <c r="K10" s="1">
        <f>K9+Table9[[#This Row],[Calls Off]]</f>
        <v>3963</v>
      </c>
      <c r="L10" s="1">
        <f>L9+Table9[[#This Row],[Calls Ans]]</f>
        <v>3317</v>
      </c>
      <c r="M10" s="17">
        <v>0.68</v>
      </c>
      <c r="N10" s="17">
        <v>0.18</v>
      </c>
      <c r="O10" s="17">
        <v>0.82</v>
      </c>
      <c r="P10" s="17">
        <v>0.65</v>
      </c>
      <c r="Q10" s="22">
        <v>1</v>
      </c>
      <c r="R10" s="285">
        <v>96</v>
      </c>
      <c r="S10" s="285">
        <v>0</v>
      </c>
      <c r="T10" s="111">
        <v>4</v>
      </c>
      <c r="U10" s="111" t="str">
        <f t="shared" si="0"/>
        <v>Normal</v>
      </c>
      <c r="V10" s="111" t="str">
        <f t="shared" si="1"/>
        <v>Normal</v>
      </c>
      <c r="W10" s="18">
        <f t="shared" si="2"/>
        <v>4.642857142857143E-2</v>
      </c>
      <c r="X10" s="18">
        <f t="shared" si="3"/>
        <v>-3.9761431411530816E-2</v>
      </c>
      <c r="AB10" s="1" t="s">
        <v>166</v>
      </c>
      <c r="AC10" s="18">
        <f>MEDIAN(G2:G123)</f>
        <v>0</v>
      </c>
      <c r="AF10" s="1" t="s">
        <v>166</v>
      </c>
      <c r="AG10" s="18">
        <f>MEDIAN(H2:H123)</f>
        <v>0</v>
      </c>
      <c r="AS10" s="411">
        <v>2</v>
      </c>
      <c r="AT10" s="412">
        <v>3396</v>
      </c>
      <c r="AU10" s="412">
        <v>2810</v>
      </c>
      <c r="AV10" s="413">
        <v>0.55000000000000004</v>
      </c>
      <c r="AW10" s="413">
        <v>0.54428571428571437</v>
      </c>
    </row>
    <row r="11" spans="1:49">
      <c r="A11" s="29">
        <v>45392</v>
      </c>
      <c r="B11" s="393">
        <f>IF(YEAR(Table6[[#This Row],[Date]]) = 2024, WEEKNUM(Table6[[#This Row],[Date]])-13, WEEKNUM(Table6[[#This Row],[Date]])+40)</f>
        <v>2</v>
      </c>
      <c r="C11" s="31" t="s">
        <v>50</v>
      </c>
      <c r="D11" s="295" t="s">
        <v>48</v>
      </c>
      <c r="E11" s="1">
        <v>530</v>
      </c>
      <c r="F11" s="1">
        <v>461</v>
      </c>
      <c r="G11" s="61">
        <f t="shared" ref="G11:H11" si="6">(E11-E4)/E4</f>
        <v>-0.22514619883040934</v>
      </c>
      <c r="H11" s="61">
        <f t="shared" si="6"/>
        <v>-0.14629629629629629</v>
      </c>
      <c r="I11" s="1">
        <f t="shared" ref="I11:I14" si="7">E11+I10</f>
        <v>4493</v>
      </c>
      <c r="J11" s="1">
        <f t="shared" ref="J11:J14" si="8">F11+J10</f>
        <v>3778</v>
      </c>
      <c r="K11" s="1">
        <f>K10+Table9[[#This Row],[Calls Off]]</f>
        <v>4493</v>
      </c>
      <c r="L11" s="1">
        <f>L10+Table9[[#This Row],[Calls Ans]]</f>
        <v>3778</v>
      </c>
      <c r="M11" s="17">
        <v>0.78</v>
      </c>
      <c r="N11" s="17">
        <v>0.13</v>
      </c>
      <c r="O11" s="17">
        <v>0.87</v>
      </c>
      <c r="P11" s="17">
        <v>0.64</v>
      </c>
      <c r="Q11" s="22">
        <v>1</v>
      </c>
      <c r="R11" s="285">
        <v>94</v>
      </c>
      <c r="S11" s="285">
        <v>0</v>
      </c>
      <c r="T11" s="111">
        <v>4</v>
      </c>
      <c r="U11" s="111" t="str">
        <f t="shared" si="0"/>
        <v>Normal</v>
      </c>
      <c r="V11" s="111" t="str">
        <f t="shared" si="1"/>
        <v>Normal</v>
      </c>
      <c r="W11" s="18">
        <f t="shared" si="2"/>
        <v>-0.22514619883040934</v>
      </c>
      <c r="X11" s="18">
        <f t="shared" si="3"/>
        <v>-0.14629629629629629</v>
      </c>
      <c r="AB11" s="1" t="s">
        <v>167</v>
      </c>
      <c r="AC11" s="16">
        <f>_xlfn.MODE.SNGL(G2:G123)</f>
        <v>0</v>
      </c>
      <c r="AF11" s="1" t="s">
        <v>167</v>
      </c>
      <c r="AG11" s="1">
        <f>_xlfn.MODE.SNGL(I2:I123)</f>
        <v>0</v>
      </c>
      <c r="AS11" s="411">
        <v>3</v>
      </c>
      <c r="AT11" s="412">
        <v>2903</v>
      </c>
      <c r="AU11" s="412">
        <v>2562</v>
      </c>
      <c r="AV11" s="413">
        <v>0.4871428571428571</v>
      </c>
      <c r="AW11" s="413">
        <v>0.72428571428571431</v>
      </c>
    </row>
    <row r="12" spans="1:49">
      <c r="A12" s="29">
        <v>45393</v>
      </c>
      <c r="B12" s="393">
        <f>IF(YEAR(Table6[[#This Row],[Date]]) = 2024, WEEKNUM(Table6[[#This Row],[Date]])-13, WEEKNUM(Table6[[#This Row],[Date]])+40)</f>
        <v>2</v>
      </c>
      <c r="C12" s="31" t="s">
        <v>51</v>
      </c>
      <c r="D12" s="295" t="s">
        <v>48</v>
      </c>
      <c r="E12" s="1">
        <v>637</v>
      </c>
      <c r="F12" s="1">
        <v>518</v>
      </c>
      <c r="G12" s="61">
        <f t="shared" ref="G12:H12" si="9">(E12-E5)/E5</f>
        <v>0.16666666666666666</v>
      </c>
      <c r="H12" s="61">
        <f t="shared" si="9"/>
        <v>0.16404494382022472</v>
      </c>
      <c r="I12" s="1">
        <f t="shared" si="7"/>
        <v>5130</v>
      </c>
      <c r="J12" s="1">
        <f t="shared" si="8"/>
        <v>4296</v>
      </c>
      <c r="K12" s="1">
        <f>K11+Table9[[#This Row],[Calls Off]]</f>
        <v>5130</v>
      </c>
      <c r="L12" s="1">
        <f>L11+Table9[[#This Row],[Calls Ans]]</f>
        <v>4296</v>
      </c>
      <c r="M12" s="17">
        <v>0.53</v>
      </c>
      <c r="N12" s="17">
        <v>0.18</v>
      </c>
      <c r="O12" s="17">
        <v>0.82</v>
      </c>
      <c r="P12" s="17">
        <v>0.69</v>
      </c>
      <c r="Q12" s="22">
        <v>1</v>
      </c>
      <c r="R12" s="285">
        <v>133</v>
      </c>
      <c r="S12" s="285">
        <v>0</v>
      </c>
      <c r="T12" s="111">
        <v>4</v>
      </c>
      <c r="U12" s="111" t="str">
        <f t="shared" si="0"/>
        <v>Normal</v>
      </c>
      <c r="V12" s="111" t="str">
        <f t="shared" si="1"/>
        <v>Normal</v>
      </c>
      <c r="W12" s="18">
        <f t="shared" si="2"/>
        <v>0.16666666666666666</v>
      </c>
      <c r="X12" s="18">
        <f t="shared" si="3"/>
        <v>0.16404494382022472</v>
      </c>
      <c r="AS12" s="411">
        <v>4</v>
      </c>
      <c r="AT12" s="412">
        <v>3116</v>
      </c>
      <c r="AU12" s="412">
        <v>2758</v>
      </c>
      <c r="AV12" s="413">
        <v>0.55714285714285716</v>
      </c>
      <c r="AW12" s="413">
        <v>0.66428571428571426</v>
      </c>
    </row>
    <row r="13" spans="1:49">
      <c r="A13" s="29">
        <v>45394</v>
      </c>
      <c r="B13" s="393">
        <f>IF(YEAR(Table6[[#This Row],[Date]]) = 2024, WEEKNUM(Table6[[#This Row],[Date]])-13, WEEKNUM(Table6[[#This Row],[Date]])+40)</f>
        <v>2</v>
      </c>
      <c r="C13" s="31" t="s">
        <v>52</v>
      </c>
      <c r="D13" s="295" t="s">
        <v>48</v>
      </c>
      <c r="E13" s="1">
        <v>504</v>
      </c>
      <c r="F13" s="1">
        <v>437</v>
      </c>
      <c r="G13" s="61">
        <f t="shared" ref="G13:H13" si="10">(E13-E6)/E6</f>
        <v>-0.1265164644714038</v>
      </c>
      <c r="H13" s="61">
        <f t="shared" si="10"/>
        <v>-9.7107438016528921E-2</v>
      </c>
      <c r="I13" s="1">
        <f t="shared" si="7"/>
        <v>5634</v>
      </c>
      <c r="J13" s="1">
        <f t="shared" si="8"/>
        <v>4733</v>
      </c>
      <c r="K13" s="1">
        <f>K12+Table9[[#This Row],[Calls Off]]</f>
        <v>5634</v>
      </c>
      <c r="L13" s="1">
        <f>L12+Table9[[#This Row],[Calls Ans]]</f>
        <v>4733</v>
      </c>
      <c r="M13" s="17">
        <v>0.63</v>
      </c>
      <c r="N13" s="17">
        <v>0.13</v>
      </c>
      <c r="O13" s="17">
        <v>0.87</v>
      </c>
      <c r="P13" s="17">
        <v>0.6</v>
      </c>
      <c r="Q13" s="22">
        <v>0.99</v>
      </c>
      <c r="R13" s="285">
        <v>137</v>
      </c>
      <c r="S13" s="285">
        <v>0</v>
      </c>
      <c r="T13" s="111">
        <v>4</v>
      </c>
      <c r="U13" s="111" t="str">
        <f t="shared" si="0"/>
        <v>Normal</v>
      </c>
      <c r="V13" s="111" t="str">
        <f t="shared" si="1"/>
        <v>Normal</v>
      </c>
      <c r="W13" s="18">
        <f t="shared" si="2"/>
        <v>-0.1265164644714038</v>
      </c>
      <c r="X13" s="18">
        <f t="shared" si="3"/>
        <v>-9.7107438016528921E-2</v>
      </c>
      <c r="AS13" s="411">
        <v>5</v>
      </c>
      <c r="AT13" s="412">
        <v>3248</v>
      </c>
      <c r="AU13" s="412">
        <v>2492</v>
      </c>
      <c r="AV13" s="413">
        <v>0.45571428571428579</v>
      </c>
      <c r="AW13" s="413">
        <v>0.29428571428571432</v>
      </c>
    </row>
    <row r="14" spans="1:49">
      <c r="A14" s="29">
        <v>45395</v>
      </c>
      <c r="B14" s="393">
        <f>IF(YEAR(Table6[[#This Row],[Date]]) = 2024, WEEKNUM(Table6[[#This Row],[Date]])-13, WEEKNUM(Table6[[#This Row],[Date]])+40)</f>
        <v>2</v>
      </c>
      <c r="C14" s="31" t="s">
        <v>53</v>
      </c>
      <c r="D14" s="295" t="s">
        <v>48</v>
      </c>
      <c r="E14" s="1">
        <v>483</v>
      </c>
      <c r="F14" s="1">
        <v>359</v>
      </c>
      <c r="G14" s="61">
        <f t="shared" ref="G14:H14" si="11">(E14-E7)/E7</f>
        <v>0.36440677966101692</v>
      </c>
      <c r="H14" s="61">
        <f t="shared" si="11"/>
        <v>0.15806451612903225</v>
      </c>
      <c r="I14" s="1">
        <f t="shared" si="7"/>
        <v>6117</v>
      </c>
      <c r="J14" s="1">
        <f t="shared" si="8"/>
        <v>5092</v>
      </c>
      <c r="K14" s="1">
        <f>K13+Table9[[#This Row],[Calls Off]]</f>
        <v>6117</v>
      </c>
      <c r="L14" s="1">
        <f>L13+Table9[[#This Row],[Calls Ans]]</f>
        <v>5092</v>
      </c>
      <c r="M14" s="17">
        <v>0.45</v>
      </c>
      <c r="N14" s="17">
        <v>0.26</v>
      </c>
      <c r="O14" s="17">
        <v>0.74</v>
      </c>
      <c r="P14" s="17">
        <v>0.5</v>
      </c>
      <c r="Q14" s="22">
        <v>1</v>
      </c>
      <c r="R14" s="285">
        <v>109</v>
      </c>
      <c r="S14" s="285">
        <v>0</v>
      </c>
      <c r="T14" s="111">
        <v>4</v>
      </c>
      <c r="U14" s="111" t="str">
        <f t="shared" si="0"/>
        <v>Normal</v>
      </c>
      <c r="V14" s="111" t="str">
        <f t="shared" si="1"/>
        <v>Normal</v>
      </c>
      <c r="W14" s="18">
        <f t="shared" si="2"/>
        <v>0.36440677966101692</v>
      </c>
      <c r="X14" s="18">
        <f t="shared" si="3"/>
        <v>0.15806451612903225</v>
      </c>
      <c r="AS14" s="411">
        <v>6</v>
      </c>
      <c r="AT14" s="412">
        <v>3590</v>
      </c>
      <c r="AU14" s="412">
        <v>2659</v>
      </c>
      <c r="AV14" s="413">
        <v>0.51571428571428579</v>
      </c>
      <c r="AW14" s="413">
        <v>0.38142857142857139</v>
      </c>
    </row>
    <row r="15" spans="1:49">
      <c r="A15" s="29">
        <v>45396</v>
      </c>
      <c r="B15" s="393">
        <f>IF(YEAR(Table6[[#This Row],[Date]]) = 2024, WEEKNUM(Table6[[#This Row],[Date]])-13, WEEKNUM(Table6[[#This Row],[Date]])+40)</f>
        <v>3</v>
      </c>
      <c r="C15" s="31" t="s">
        <v>54</v>
      </c>
      <c r="D15" s="295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v>0</v>
      </c>
      <c r="L15" s="1">
        <v>0</v>
      </c>
      <c r="M15" s="17">
        <v>0</v>
      </c>
      <c r="N15" s="17">
        <v>0</v>
      </c>
      <c r="O15" s="17">
        <v>0</v>
      </c>
      <c r="P15" s="17">
        <v>0</v>
      </c>
      <c r="Q15" s="22">
        <v>0</v>
      </c>
      <c r="R15" s="285">
        <v>0</v>
      </c>
      <c r="S15" s="285">
        <v>0</v>
      </c>
      <c r="T15" s="111">
        <v>0</v>
      </c>
      <c r="U15" s="111" t="str">
        <f t="shared" si="0"/>
        <v>Normal</v>
      </c>
      <c r="V15" s="111" t="str">
        <f t="shared" si="1"/>
        <v>Normal</v>
      </c>
      <c r="W15" s="18">
        <f t="shared" si="2"/>
        <v>0</v>
      </c>
      <c r="X15" s="18">
        <f t="shared" si="3"/>
        <v>0</v>
      </c>
      <c r="AS15" s="411">
        <v>7</v>
      </c>
      <c r="AT15" s="412">
        <v>4228</v>
      </c>
      <c r="AU15" s="412">
        <v>3176</v>
      </c>
      <c r="AV15" s="413">
        <v>0.61142857142857132</v>
      </c>
      <c r="AW15" s="413">
        <v>0.36142857142857138</v>
      </c>
    </row>
    <row r="16" spans="1:49">
      <c r="A16" s="29">
        <v>45397</v>
      </c>
      <c r="B16" s="393">
        <f>IF(YEAR(Table6[[#This Row],[Date]]) = 2024, WEEKNUM(Table6[[#This Row],[Date]])-13, WEEKNUM(Table6[[#This Row],[Date]])+40)</f>
        <v>3</v>
      </c>
      <c r="C16" s="31" t="s">
        <v>55</v>
      </c>
      <c r="D16" s="295" t="s">
        <v>48</v>
      </c>
      <c r="E16" s="1">
        <v>529</v>
      </c>
      <c r="F16" s="1">
        <v>484</v>
      </c>
      <c r="G16" s="61">
        <f>(E16-E9)/E9</f>
        <v>-0.19359756097560976</v>
      </c>
      <c r="H16" s="61">
        <f>(F16-F9)/F9</f>
        <v>-0.12318840579710146</v>
      </c>
      <c r="I16" s="1">
        <f>I14+E16</f>
        <v>6646</v>
      </c>
      <c r="J16" s="1">
        <f>J14+F16</f>
        <v>5576</v>
      </c>
      <c r="K16" s="1">
        <f>K14+Table9[[#This Row],[Calls Off]]</f>
        <v>6646</v>
      </c>
      <c r="L16" s="1">
        <f>L14+Table9[[#This Row],[Calls Ans]]</f>
        <v>5576</v>
      </c>
      <c r="M16" s="17">
        <v>0.85</v>
      </c>
      <c r="N16" s="17">
        <v>0.09</v>
      </c>
      <c r="O16" s="17">
        <v>0.91</v>
      </c>
      <c r="P16" s="17">
        <v>0.55000000000000004</v>
      </c>
      <c r="Q16" s="17">
        <v>1</v>
      </c>
      <c r="R16" s="285">
        <v>146</v>
      </c>
      <c r="S16" s="285">
        <v>0</v>
      </c>
      <c r="T16" s="111">
        <v>5</v>
      </c>
      <c r="U16" s="111" t="str">
        <f t="shared" si="0"/>
        <v>Normal</v>
      </c>
      <c r="V16" s="111" t="str">
        <f t="shared" si="1"/>
        <v>Normal</v>
      </c>
      <c r="W16" s="18">
        <f t="shared" si="2"/>
        <v>-0.19359756097560976</v>
      </c>
      <c r="X16" s="18">
        <f t="shared" si="3"/>
        <v>-0.12318840579710146</v>
      </c>
      <c r="AS16" s="411">
        <v>8</v>
      </c>
      <c r="AT16" s="412">
        <v>3867</v>
      </c>
      <c r="AU16" s="412">
        <v>2641</v>
      </c>
      <c r="AV16" s="413">
        <v>0.54714285714285715</v>
      </c>
      <c r="AW16" s="413">
        <v>0.28285714285714286</v>
      </c>
    </row>
    <row r="17" spans="1:49">
      <c r="A17" s="29">
        <v>45398</v>
      </c>
      <c r="B17" s="393">
        <f>IF(YEAR(Table6[[#This Row],[Date]]) = 2024, WEEKNUM(Table6[[#This Row],[Date]])-13, WEEKNUM(Table6[[#This Row],[Date]])+40)</f>
        <v>3</v>
      </c>
      <c r="C17" s="31" t="s">
        <v>49</v>
      </c>
      <c r="D17" s="295" t="s">
        <v>48</v>
      </c>
      <c r="E17" s="1">
        <v>530</v>
      </c>
      <c r="F17" s="1">
        <v>474</v>
      </c>
      <c r="G17" s="61">
        <f t="shared" ref="G17:H21" si="12">(E17-E10)/E10</f>
        <v>-9.556313993174062E-2</v>
      </c>
      <c r="H17" s="61">
        <f t="shared" si="12"/>
        <v>-1.8633540372670808E-2</v>
      </c>
      <c r="I17" s="1">
        <f>I16+E17</f>
        <v>7176</v>
      </c>
      <c r="J17" s="1">
        <f>J16+F17</f>
        <v>6050</v>
      </c>
      <c r="K17" s="1">
        <f>K16+Table9[[#This Row],[Calls Off]]</f>
        <v>7176</v>
      </c>
      <c r="L17" s="1">
        <f>L16+Table9[[#This Row],[Calls Ans]]</f>
        <v>6050</v>
      </c>
      <c r="M17" s="17">
        <v>0.79</v>
      </c>
      <c r="N17" s="17">
        <v>0.11</v>
      </c>
      <c r="O17" s="17">
        <v>0.89</v>
      </c>
      <c r="P17" s="17">
        <v>0.6</v>
      </c>
      <c r="Q17" s="22">
        <v>1</v>
      </c>
      <c r="R17" s="285">
        <v>130</v>
      </c>
      <c r="S17" s="285">
        <v>0</v>
      </c>
      <c r="T17" s="111">
        <v>4</v>
      </c>
      <c r="U17" s="111" t="str">
        <f t="shared" si="0"/>
        <v>Normal</v>
      </c>
      <c r="V17" s="111" t="str">
        <f t="shared" si="1"/>
        <v>Normal</v>
      </c>
      <c r="W17" s="18">
        <f t="shared" si="2"/>
        <v>-9.556313993174062E-2</v>
      </c>
      <c r="X17" s="18">
        <f t="shared" si="3"/>
        <v>-1.8633540372670808E-2</v>
      </c>
      <c r="AS17" s="411">
        <v>9</v>
      </c>
      <c r="AT17" s="412">
        <v>3387</v>
      </c>
      <c r="AU17" s="412">
        <v>2237</v>
      </c>
      <c r="AV17" s="413">
        <v>0.49714285714285716</v>
      </c>
      <c r="AW17" s="413">
        <v>0.27714285714285714</v>
      </c>
    </row>
    <row r="18" spans="1:49">
      <c r="A18" s="29">
        <v>45399</v>
      </c>
      <c r="B18" s="393">
        <f>IF(YEAR(Table6[[#This Row],[Date]]) = 2024, WEEKNUM(Table6[[#This Row],[Date]])-13, WEEKNUM(Table6[[#This Row],[Date]])+40)</f>
        <v>3</v>
      </c>
      <c r="C18" s="31" t="s">
        <v>50</v>
      </c>
      <c r="D18" s="295" t="s">
        <v>48</v>
      </c>
      <c r="E18" s="1">
        <v>474</v>
      </c>
      <c r="F18" s="1">
        <v>422</v>
      </c>
      <c r="G18" s="61">
        <f t="shared" si="12"/>
        <v>-0.10566037735849057</v>
      </c>
      <c r="H18" s="61">
        <f t="shared" si="12"/>
        <v>-8.4598698481561818E-2</v>
      </c>
      <c r="I18" s="1">
        <f t="shared" ref="I18:I21" si="13">I17+E18</f>
        <v>7650</v>
      </c>
      <c r="J18" s="1">
        <f t="shared" ref="J18:J21" si="14">J17+F18</f>
        <v>6472</v>
      </c>
      <c r="K18" s="1">
        <f>K17+Table9[[#This Row],[Calls Off]]</f>
        <v>7650</v>
      </c>
      <c r="L18" s="1">
        <f>L17+Table9[[#This Row],[Calls Ans]]</f>
        <v>6472</v>
      </c>
      <c r="M18" s="17">
        <v>0.85</v>
      </c>
      <c r="N18" s="17">
        <v>0.11</v>
      </c>
      <c r="O18" s="17">
        <v>0.89</v>
      </c>
      <c r="P18" s="17">
        <v>0.56999999999999995</v>
      </c>
      <c r="Q18" s="22">
        <v>1</v>
      </c>
      <c r="R18" s="285">
        <v>101</v>
      </c>
      <c r="S18" s="285">
        <v>0</v>
      </c>
      <c r="T18" s="111">
        <v>4</v>
      </c>
      <c r="U18" s="111" t="str">
        <f t="shared" si="0"/>
        <v>Normal</v>
      </c>
      <c r="V18" s="111" t="str">
        <f t="shared" si="1"/>
        <v>Normal</v>
      </c>
      <c r="W18" s="18">
        <f t="shared" si="2"/>
        <v>-0.10566037735849057</v>
      </c>
      <c r="X18" s="18">
        <f t="shared" si="3"/>
        <v>-8.4598698481561818E-2</v>
      </c>
      <c r="AS18" s="411">
        <v>10</v>
      </c>
      <c r="AT18" s="412">
        <v>3795</v>
      </c>
      <c r="AU18" s="412">
        <v>2965</v>
      </c>
      <c r="AV18" s="413">
        <v>0.48571428571428571</v>
      </c>
      <c r="AW18" s="413">
        <v>0.52857142857142858</v>
      </c>
    </row>
    <row r="19" spans="1:49">
      <c r="A19" s="29">
        <v>45400</v>
      </c>
      <c r="B19" s="393">
        <f>IF(YEAR(Table6[[#This Row],[Date]]) = 2024, WEEKNUM(Table6[[#This Row],[Date]])-13, WEEKNUM(Table6[[#This Row],[Date]])+40)</f>
        <v>3</v>
      </c>
      <c r="C19" s="31" t="s">
        <v>51</v>
      </c>
      <c r="D19" s="295" t="s">
        <v>48</v>
      </c>
      <c r="E19" s="1">
        <v>549</v>
      </c>
      <c r="F19" s="1">
        <v>443</v>
      </c>
      <c r="G19" s="61">
        <f t="shared" si="12"/>
        <v>-0.13814756671899528</v>
      </c>
      <c r="H19" s="61">
        <f t="shared" si="12"/>
        <v>-0.14478764478764478</v>
      </c>
      <c r="I19" s="1">
        <f t="shared" si="13"/>
        <v>8199</v>
      </c>
      <c r="J19" s="1">
        <f t="shared" si="14"/>
        <v>6915</v>
      </c>
      <c r="K19" s="1">
        <f>K18+Table9[[#This Row],[Calls Off]]</f>
        <v>8199</v>
      </c>
      <c r="L19" s="1">
        <f>L18+Table9[[#This Row],[Calls Ans]]</f>
        <v>6915</v>
      </c>
      <c r="M19" s="17">
        <v>0.88</v>
      </c>
      <c r="N19" s="17">
        <v>0.19</v>
      </c>
      <c r="O19" s="17">
        <v>0.81</v>
      </c>
      <c r="P19" s="17">
        <v>0.65</v>
      </c>
      <c r="Q19" s="22">
        <v>1</v>
      </c>
      <c r="R19" s="285">
        <v>140</v>
      </c>
      <c r="S19" s="285">
        <v>0</v>
      </c>
      <c r="T19" s="111">
        <v>4</v>
      </c>
      <c r="U19" s="111" t="str">
        <f t="shared" si="0"/>
        <v>Normal</v>
      </c>
      <c r="V19" s="111" t="str">
        <f t="shared" si="1"/>
        <v>Normal</v>
      </c>
      <c r="W19" s="18">
        <f t="shared" si="2"/>
        <v>-0.13814756671899528</v>
      </c>
      <c r="X19" s="18">
        <f t="shared" si="3"/>
        <v>-0.14478764478764478</v>
      </c>
      <c r="AS19" s="411">
        <v>11</v>
      </c>
      <c r="AT19" s="412">
        <v>3282</v>
      </c>
      <c r="AU19" s="412">
        <v>2827</v>
      </c>
      <c r="AV19" s="413">
        <v>0.53428571428571425</v>
      </c>
      <c r="AW19" s="413">
        <v>0.54</v>
      </c>
    </row>
    <row r="20" spans="1:49">
      <c r="A20" s="29">
        <v>45401</v>
      </c>
      <c r="B20" s="393">
        <f>IF(YEAR(Table6[[#This Row],[Date]]) = 2024, WEEKNUM(Table6[[#This Row],[Date]])-13, WEEKNUM(Table6[[#This Row],[Date]])+40)</f>
        <v>3</v>
      </c>
      <c r="C20" s="31" t="s">
        <v>52</v>
      </c>
      <c r="D20" s="295" t="s">
        <v>48</v>
      </c>
      <c r="E20" s="1">
        <v>485</v>
      </c>
      <c r="F20" s="1">
        <v>435</v>
      </c>
      <c r="G20" s="61">
        <f t="shared" si="12"/>
        <v>-3.7698412698412696E-2</v>
      </c>
      <c r="H20" s="61">
        <f t="shared" si="12"/>
        <v>-4.5766590389016018E-3</v>
      </c>
      <c r="I20" s="1">
        <f t="shared" si="13"/>
        <v>8684</v>
      </c>
      <c r="J20" s="1">
        <f t="shared" si="14"/>
        <v>7350</v>
      </c>
      <c r="K20" s="1">
        <f>K19+Table9[[#This Row],[Calls Off]]</f>
        <v>8684</v>
      </c>
      <c r="L20" s="1">
        <f>L19+Table9[[#This Row],[Calls Ans]]</f>
        <v>7350</v>
      </c>
      <c r="M20" s="17">
        <v>0.89</v>
      </c>
      <c r="N20" s="17">
        <v>0.1</v>
      </c>
      <c r="O20" s="17">
        <v>0.9</v>
      </c>
      <c r="P20" s="17">
        <v>0.59</v>
      </c>
      <c r="Q20" s="22">
        <v>0.99</v>
      </c>
      <c r="R20" s="285">
        <v>113</v>
      </c>
      <c r="S20" s="285">
        <v>0</v>
      </c>
      <c r="T20" s="111">
        <v>4</v>
      </c>
      <c r="U20" s="111" t="str">
        <f t="shared" si="0"/>
        <v>Normal</v>
      </c>
      <c r="V20" s="111" t="str">
        <f t="shared" si="1"/>
        <v>Normal</v>
      </c>
      <c r="W20" s="18">
        <f t="shared" si="2"/>
        <v>-3.7698412698412696E-2</v>
      </c>
      <c r="X20" s="18">
        <f t="shared" si="3"/>
        <v>-4.5766590389016018E-3</v>
      </c>
      <c r="AS20" s="411">
        <v>12</v>
      </c>
      <c r="AT20" s="412">
        <v>3089</v>
      </c>
      <c r="AU20" s="412">
        <v>2540</v>
      </c>
      <c r="AV20" s="413">
        <v>0.51428571428571435</v>
      </c>
      <c r="AW20" s="413">
        <v>0.46285714285714291</v>
      </c>
    </row>
    <row r="21" spans="1:49">
      <c r="A21" s="29">
        <v>45402</v>
      </c>
      <c r="B21" s="393">
        <f>IF(YEAR(Table6[[#This Row],[Date]]) = 2024, WEEKNUM(Table6[[#This Row],[Date]])-13, WEEKNUM(Table6[[#This Row],[Date]])+40)</f>
        <v>3</v>
      </c>
      <c r="C21" s="31" t="s">
        <v>53</v>
      </c>
      <c r="D21" s="295" t="s">
        <v>48</v>
      </c>
      <c r="E21" s="1">
        <v>336</v>
      </c>
      <c r="F21" s="1">
        <v>304</v>
      </c>
      <c r="G21" s="61">
        <f t="shared" si="12"/>
        <v>-0.30434782608695654</v>
      </c>
      <c r="H21" s="61">
        <f t="shared" si="12"/>
        <v>-0.15320334261838439</v>
      </c>
      <c r="I21" s="1">
        <f t="shared" si="13"/>
        <v>9020</v>
      </c>
      <c r="J21" s="1">
        <f t="shared" si="14"/>
        <v>7654</v>
      </c>
      <c r="K21" s="1">
        <f>K20+Table9[[#This Row],[Calls Off]]</f>
        <v>9020</v>
      </c>
      <c r="L21" s="1">
        <f>L20+Table9[[#This Row],[Calls Ans]]</f>
        <v>7654</v>
      </c>
      <c r="M21" s="17">
        <v>0.81</v>
      </c>
      <c r="N21" s="17">
        <v>0.1</v>
      </c>
      <c r="O21" s="17">
        <v>0.9</v>
      </c>
      <c r="P21" s="17">
        <v>0.45</v>
      </c>
      <c r="Q21" s="22">
        <v>1</v>
      </c>
      <c r="R21" s="285">
        <v>232</v>
      </c>
      <c r="S21" s="285">
        <v>0</v>
      </c>
      <c r="T21" s="111">
        <v>4</v>
      </c>
      <c r="U21" s="111" t="str">
        <f t="shared" si="0"/>
        <v>Normal</v>
      </c>
      <c r="V21" s="111" t="str">
        <f t="shared" si="1"/>
        <v>Normal</v>
      </c>
      <c r="W21" s="18">
        <f t="shared" si="2"/>
        <v>-0.30434782608695654</v>
      </c>
      <c r="X21" s="18">
        <f t="shared" si="3"/>
        <v>-0.15320334261838439</v>
      </c>
      <c r="AS21" s="411">
        <v>13</v>
      </c>
      <c r="AT21" s="412">
        <v>3767</v>
      </c>
      <c r="AU21" s="412">
        <v>3136</v>
      </c>
      <c r="AV21" s="413">
        <v>0.56571428571428573</v>
      </c>
      <c r="AW21" s="413">
        <v>0.55142857142857149</v>
      </c>
    </row>
    <row r="22" spans="1:49">
      <c r="A22" s="29">
        <v>45403</v>
      </c>
      <c r="B22" s="393">
        <f>IF(YEAR(Table6[[#This Row],[Date]]) = 2024, WEEKNUM(Table6[[#This Row],[Date]])-13, WEEKNUM(Table6[[#This Row],[Date]])+40)</f>
        <v>4</v>
      </c>
      <c r="C22" s="31" t="s">
        <v>54</v>
      </c>
      <c r="D22" s="295" t="s">
        <v>48</v>
      </c>
      <c r="E22" s="1">
        <v>0</v>
      </c>
      <c r="F22" s="1">
        <v>0</v>
      </c>
      <c r="G22" s="61">
        <v>0</v>
      </c>
      <c r="H22" s="61">
        <v>0</v>
      </c>
      <c r="I22" s="1">
        <v>0</v>
      </c>
      <c r="J22" s="1">
        <v>0</v>
      </c>
      <c r="K22" s="1">
        <v>0</v>
      </c>
      <c r="L22" s="1">
        <v>0</v>
      </c>
      <c r="M22" s="17">
        <v>0</v>
      </c>
      <c r="N22" s="17">
        <v>0</v>
      </c>
      <c r="O22" s="17">
        <v>0</v>
      </c>
      <c r="P22" s="17">
        <v>0</v>
      </c>
      <c r="Q22" s="22">
        <v>0</v>
      </c>
      <c r="R22" s="285">
        <v>0</v>
      </c>
      <c r="S22" s="285">
        <v>0</v>
      </c>
      <c r="T22" s="111">
        <v>0</v>
      </c>
      <c r="U22" s="111" t="str">
        <f t="shared" si="0"/>
        <v>Normal</v>
      </c>
      <c r="V22" s="111" t="str">
        <f t="shared" si="1"/>
        <v>Normal</v>
      </c>
      <c r="W22" s="18">
        <f t="shared" si="2"/>
        <v>0</v>
      </c>
      <c r="X22" s="18">
        <f t="shared" si="3"/>
        <v>0</v>
      </c>
      <c r="AS22" s="411">
        <v>14</v>
      </c>
      <c r="AT22" s="412">
        <v>3159</v>
      </c>
      <c r="AU22" s="412">
        <v>2467</v>
      </c>
      <c r="AV22" s="413">
        <v>0.44571428571428573</v>
      </c>
      <c r="AW22" s="413">
        <v>0.31571428571428573</v>
      </c>
    </row>
    <row r="23" spans="1:49">
      <c r="A23" s="29">
        <v>45404</v>
      </c>
      <c r="B23" s="393">
        <f>IF(YEAR(Table6[[#This Row],[Date]]) = 2024, WEEKNUM(Table6[[#This Row],[Date]])-13, WEEKNUM(Table6[[#This Row],[Date]])+40)</f>
        <v>4</v>
      </c>
      <c r="C23" s="31" t="s">
        <v>55</v>
      </c>
      <c r="D23" s="295" t="s">
        <v>48</v>
      </c>
      <c r="E23" s="1">
        <v>597</v>
      </c>
      <c r="F23" s="1">
        <v>540</v>
      </c>
      <c r="G23" s="61">
        <f>(E23-E16)/E16</f>
        <v>0.12854442344045369</v>
      </c>
      <c r="H23" s="61">
        <f>(F23-F16)/F16</f>
        <v>0.11570247933884298</v>
      </c>
      <c r="I23" s="1">
        <f>I21+E23</f>
        <v>9617</v>
      </c>
      <c r="J23" s="1">
        <f>J21+F23</f>
        <v>8194</v>
      </c>
      <c r="K23" s="1">
        <f>K21+Table9[[#This Row],[Calls Off]]</f>
        <v>9617</v>
      </c>
      <c r="L23" s="1">
        <f>L21+Table9[[#This Row],[Calls Ans]]</f>
        <v>8194</v>
      </c>
      <c r="M23" s="17">
        <v>0.79</v>
      </c>
      <c r="N23" s="17">
        <v>0.1</v>
      </c>
      <c r="O23" s="17">
        <v>0.9</v>
      </c>
      <c r="P23" s="17">
        <v>0.65</v>
      </c>
      <c r="Q23" s="22">
        <v>1</v>
      </c>
      <c r="R23" s="285">
        <v>91</v>
      </c>
      <c r="S23" s="285">
        <v>0</v>
      </c>
      <c r="T23" s="111">
        <v>5</v>
      </c>
      <c r="U23" s="111" t="str">
        <f t="shared" si="0"/>
        <v>Normal</v>
      </c>
      <c r="V23" s="111" t="str">
        <f t="shared" si="1"/>
        <v>Normal</v>
      </c>
      <c r="W23" s="18">
        <f t="shared" si="2"/>
        <v>0.12854442344045369</v>
      </c>
      <c r="X23" s="18">
        <f t="shared" si="3"/>
        <v>0.11570247933884298</v>
      </c>
      <c r="AS23" s="411">
        <v>15</v>
      </c>
      <c r="AT23" s="412">
        <v>3559</v>
      </c>
      <c r="AU23" s="412">
        <v>2904</v>
      </c>
      <c r="AV23" s="413">
        <v>0.50142857142857145</v>
      </c>
      <c r="AW23" s="413">
        <v>0.57285714285714284</v>
      </c>
    </row>
    <row r="24" spans="1:49">
      <c r="A24" s="29">
        <v>45405</v>
      </c>
      <c r="B24" s="393">
        <f>IF(YEAR(Table6[[#This Row],[Date]]) = 2024, WEEKNUM(Table6[[#This Row],[Date]])-13, WEEKNUM(Table6[[#This Row],[Date]])+40)</f>
        <v>4</v>
      </c>
      <c r="C24" s="31" t="s">
        <v>49</v>
      </c>
      <c r="D24" s="295" t="s">
        <v>48</v>
      </c>
      <c r="E24" s="1">
        <v>457</v>
      </c>
      <c r="F24" s="1">
        <v>415</v>
      </c>
      <c r="G24" s="61">
        <f t="shared" ref="G24:G28" si="15">(E24-E17)/E17</f>
        <v>-0.13773584905660377</v>
      </c>
      <c r="H24" s="61">
        <f t="shared" ref="H24:H28" si="16">(F24-F17)/F17</f>
        <v>-0.12447257383966245</v>
      </c>
      <c r="I24" s="1">
        <f>I23+E24</f>
        <v>10074</v>
      </c>
      <c r="J24" s="1">
        <f>J23+F24</f>
        <v>8609</v>
      </c>
      <c r="K24" s="1">
        <f>K23+Table9[[#This Row],[Calls Off]]</f>
        <v>10074</v>
      </c>
      <c r="L24" s="1">
        <f>L23+Table9[[#This Row],[Calls Ans]]</f>
        <v>8609</v>
      </c>
      <c r="M24" s="17">
        <v>0.92</v>
      </c>
      <c r="N24" s="17">
        <v>0.09</v>
      </c>
      <c r="O24" s="17">
        <v>0.91</v>
      </c>
      <c r="P24" s="17">
        <v>0.65</v>
      </c>
      <c r="Q24" s="22">
        <v>0.99</v>
      </c>
      <c r="R24" s="285">
        <v>120</v>
      </c>
      <c r="S24" s="285">
        <v>0</v>
      </c>
      <c r="T24" s="111">
        <v>4</v>
      </c>
      <c r="U24" s="111" t="str">
        <f t="shared" si="0"/>
        <v>Normal</v>
      </c>
      <c r="V24" s="111" t="str">
        <f t="shared" si="1"/>
        <v>Normal</v>
      </c>
      <c r="W24" s="18">
        <f t="shared" si="2"/>
        <v>-0.13773584905660377</v>
      </c>
      <c r="X24" s="18">
        <f t="shared" si="3"/>
        <v>-0.12447257383966245</v>
      </c>
      <c r="AS24" s="411">
        <v>16</v>
      </c>
      <c r="AT24" s="412">
        <v>3429</v>
      </c>
      <c r="AU24" s="412">
        <v>2899</v>
      </c>
      <c r="AV24" s="413">
        <v>0.43428571428571427</v>
      </c>
      <c r="AW24" s="413">
        <v>0.61428571428571421</v>
      </c>
    </row>
    <row r="25" spans="1:49">
      <c r="A25" s="29">
        <v>45406</v>
      </c>
      <c r="B25" s="393">
        <f>IF(YEAR(Table6[[#This Row],[Date]]) = 2024, WEEKNUM(Table6[[#This Row],[Date]])-13, WEEKNUM(Table6[[#This Row],[Date]])+40)</f>
        <v>4</v>
      </c>
      <c r="C25" s="31" t="s">
        <v>50</v>
      </c>
      <c r="D25" s="295" t="s">
        <v>48</v>
      </c>
      <c r="E25" s="1">
        <v>615</v>
      </c>
      <c r="F25" s="1">
        <v>519</v>
      </c>
      <c r="G25" s="61">
        <f t="shared" si="15"/>
        <v>0.29746835443037972</v>
      </c>
      <c r="H25" s="61">
        <f t="shared" si="16"/>
        <v>0.22985781990521326</v>
      </c>
      <c r="I25" s="1">
        <f t="shared" ref="I25:I28" si="17">I24+E25</f>
        <v>10689</v>
      </c>
      <c r="J25" s="1">
        <f t="shared" ref="J25:J28" si="18">J24+F25</f>
        <v>9128</v>
      </c>
      <c r="K25" s="1">
        <f>K24+Table9[[#This Row],[Calls Off]]</f>
        <v>10689</v>
      </c>
      <c r="L25" s="1">
        <f>L24+Table9[[#This Row],[Calls Ans]]</f>
        <v>9128</v>
      </c>
      <c r="M25" s="17">
        <v>0.76</v>
      </c>
      <c r="N25" s="17">
        <v>0.16</v>
      </c>
      <c r="O25" s="17">
        <v>0.84</v>
      </c>
      <c r="P25" s="17">
        <v>0.67</v>
      </c>
      <c r="Q25" s="22">
        <v>1</v>
      </c>
      <c r="R25" s="285">
        <v>114</v>
      </c>
      <c r="S25" s="285">
        <v>0</v>
      </c>
      <c r="T25" s="111">
        <v>4</v>
      </c>
      <c r="U25" s="111" t="str">
        <f t="shared" si="0"/>
        <v>Normal</v>
      </c>
      <c r="V25" s="111" t="str">
        <f t="shared" si="1"/>
        <v>Normal</v>
      </c>
      <c r="W25" s="18">
        <f t="shared" si="2"/>
        <v>0.29746835443037972</v>
      </c>
      <c r="X25" s="18">
        <f t="shared" si="3"/>
        <v>0.22985781990521326</v>
      </c>
      <c r="AS25" s="411">
        <v>17</v>
      </c>
      <c r="AT25" s="412">
        <v>3809</v>
      </c>
      <c r="AU25" s="412">
        <v>3084</v>
      </c>
      <c r="AV25" s="413">
        <v>0.44</v>
      </c>
      <c r="AW25" s="413">
        <v>0.42571428571428566</v>
      </c>
    </row>
    <row r="26" spans="1:49">
      <c r="A26" s="29">
        <v>45407</v>
      </c>
      <c r="B26" s="393">
        <f>IF(YEAR(Table6[[#This Row],[Date]]) = 2024, WEEKNUM(Table6[[#This Row],[Date]])-13, WEEKNUM(Table6[[#This Row],[Date]])+40)</f>
        <v>4</v>
      </c>
      <c r="C26" s="31" t="s">
        <v>51</v>
      </c>
      <c r="D26" s="295" t="s">
        <v>48</v>
      </c>
      <c r="E26" s="1">
        <v>534</v>
      </c>
      <c r="F26" s="1">
        <v>480</v>
      </c>
      <c r="G26" s="61">
        <f t="shared" si="15"/>
        <v>-2.7322404371584699E-2</v>
      </c>
      <c r="H26" s="61">
        <f t="shared" si="16"/>
        <v>8.35214446952596E-2</v>
      </c>
      <c r="I26" s="1">
        <f t="shared" si="17"/>
        <v>11223</v>
      </c>
      <c r="J26" s="1">
        <f t="shared" si="18"/>
        <v>9608</v>
      </c>
      <c r="K26" s="1">
        <f>K25+Table9[[#This Row],[Calls Off]]</f>
        <v>11223</v>
      </c>
      <c r="L26" s="1">
        <f>L25+Table9[[#This Row],[Calls Ans]]</f>
        <v>9608</v>
      </c>
      <c r="M26" s="17">
        <v>0.76</v>
      </c>
      <c r="N26" s="17">
        <v>0.1</v>
      </c>
      <c r="O26" s="17">
        <v>0.9</v>
      </c>
      <c r="P26" s="17">
        <v>0.66</v>
      </c>
      <c r="Q26" s="22">
        <v>1</v>
      </c>
      <c r="R26" s="285">
        <v>122</v>
      </c>
      <c r="S26" s="285">
        <v>0</v>
      </c>
      <c r="T26" s="111">
        <v>4</v>
      </c>
      <c r="U26" s="111" t="str">
        <f t="shared" si="0"/>
        <v>Normal</v>
      </c>
      <c r="V26" s="111" t="str">
        <f t="shared" si="1"/>
        <v>Normal</v>
      </c>
      <c r="W26" s="18">
        <f t="shared" si="2"/>
        <v>-2.7322404371584699E-2</v>
      </c>
      <c r="X26" s="18">
        <f t="shared" si="3"/>
        <v>8.35214446952596E-2</v>
      </c>
      <c r="AS26" s="411">
        <v>18</v>
      </c>
      <c r="AT26" s="412">
        <v>2737</v>
      </c>
      <c r="AU26" s="412">
        <v>2248</v>
      </c>
      <c r="AV26" s="413">
        <v>0.44</v>
      </c>
      <c r="AW26" s="413">
        <v>0.42714285714285716</v>
      </c>
    </row>
    <row r="27" spans="1:49">
      <c r="A27" s="29">
        <v>45408</v>
      </c>
      <c r="B27" s="393">
        <f>IF(YEAR(Table6[[#This Row],[Date]]) = 2024, WEEKNUM(Table6[[#This Row],[Date]])-13, WEEKNUM(Table6[[#This Row],[Date]])+40)</f>
        <v>4</v>
      </c>
      <c r="C27" s="31" t="s">
        <v>52</v>
      </c>
      <c r="D27" s="295" t="s">
        <v>48</v>
      </c>
      <c r="E27" s="1">
        <v>517</v>
      </c>
      <c r="F27" s="1">
        <v>424</v>
      </c>
      <c r="G27" s="61">
        <f t="shared" si="15"/>
        <v>6.5979381443298971E-2</v>
      </c>
      <c r="H27" s="61">
        <f t="shared" si="16"/>
        <v>-2.528735632183908E-2</v>
      </c>
      <c r="I27" s="1">
        <f t="shared" si="17"/>
        <v>11740</v>
      </c>
      <c r="J27" s="1">
        <f t="shared" si="18"/>
        <v>10032</v>
      </c>
      <c r="K27" s="1">
        <f>K26+Table9[[#This Row],[Calls Off]]</f>
        <v>11740</v>
      </c>
      <c r="L27" s="1">
        <f>L26+Table9[[#This Row],[Calls Ans]]</f>
        <v>10032</v>
      </c>
      <c r="M27" s="17">
        <v>0.54</v>
      </c>
      <c r="N27" s="17">
        <v>0.18</v>
      </c>
      <c r="O27" s="17">
        <v>0.82</v>
      </c>
      <c r="P27" s="17">
        <v>0.65</v>
      </c>
      <c r="Q27" s="22">
        <v>1</v>
      </c>
      <c r="R27" s="285">
        <v>105</v>
      </c>
      <c r="S27" s="285">
        <v>0</v>
      </c>
      <c r="T27" s="111">
        <v>4</v>
      </c>
      <c r="U27" s="111" t="str">
        <f t="shared" si="0"/>
        <v>Normal</v>
      </c>
      <c r="V27" s="111" t="str">
        <f t="shared" si="1"/>
        <v>Normal</v>
      </c>
      <c r="W27" s="18">
        <f t="shared" si="2"/>
        <v>6.5979381443298971E-2</v>
      </c>
      <c r="X27" s="18">
        <f t="shared" si="3"/>
        <v>-2.528735632183908E-2</v>
      </c>
      <c r="AS27" s="411">
        <v>19</v>
      </c>
      <c r="AT27" s="412">
        <v>3066</v>
      </c>
      <c r="AU27" s="412">
        <v>2681</v>
      </c>
      <c r="AV27" s="413">
        <v>0.51</v>
      </c>
      <c r="AW27" s="413">
        <v>0.64857142857142847</v>
      </c>
    </row>
    <row r="28" spans="1:49">
      <c r="A28" s="29">
        <v>45409</v>
      </c>
      <c r="B28" s="393">
        <f>IF(YEAR(Table6[[#This Row],[Date]]) = 2024, WEEKNUM(Table6[[#This Row],[Date]])-13, WEEKNUM(Table6[[#This Row],[Date]])+40)</f>
        <v>4</v>
      </c>
      <c r="C28" s="31" t="s">
        <v>53</v>
      </c>
      <c r="D28" s="295" t="s">
        <v>48</v>
      </c>
      <c r="E28" s="1">
        <v>396</v>
      </c>
      <c r="F28" s="1">
        <v>380</v>
      </c>
      <c r="G28" s="61">
        <f t="shared" si="15"/>
        <v>0.17857142857142858</v>
      </c>
      <c r="H28" s="61">
        <f t="shared" si="16"/>
        <v>0.25</v>
      </c>
      <c r="I28" s="1">
        <f t="shared" si="17"/>
        <v>12136</v>
      </c>
      <c r="J28" s="1">
        <f t="shared" si="18"/>
        <v>10412</v>
      </c>
      <c r="K28" s="1">
        <f>K27+Table9[[#This Row],[Calls Off]]</f>
        <v>12136</v>
      </c>
      <c r="L28" s="1">
        <f>L27+Table9[[#This Row],[Calls Ans]]</f>
        <v>10412</v>
      </c>
      <c r="M28" s="17">
        <v>0.88</v>
      </c>
      <c r="N28" s="17">
        <v>0.04</v>
      </c>
      <c r="O28" s="17">
        <v>0.96</v>
      </c>
      <c r="P28" s="17">
        <v>0.62</v>
      </c>
      <c r="Q28" s="22">
        <v>1</v>
      </c>
      <c r="R28" s="285">
        <v>93</v>
      </c>
      <c r="S28" s="285">
        <v>0</v>
      </c>
      <c r="T28" s="111">
        <v>4</v>
      </c>
      <c r="U28" s="111" t="str">
        <f t="shared" si="0"/>
        <v>Normal</v>
      </c>
      <c r="V28" s="111" t="str">
        <f t="shared" si="1"/>
        <v>Normal</v>
      </c>
      <c r="W28" s="18">
        <f t="shared" si="2"/>
        <v>0.17857142857142858</v>
      </c>
      <c r="X28" s="18">
        <f t="shared" si="3"/>
        <v>0.25</v>
      </c>
      <c r="AS28" s="411" t="s">
        <v>174</v>
      </c>
      <c r="AT28" s="412">
        <v>64148</v>
      </c>
      <c r="AU28" s="412">
        <v>51368</v>
      </c>
      <c r="AV28" s="413">
        <v>0.50780303030303053</v>
      </c>
      <c r="AW28" s="413">
        <v>0.4836363636363637</v>
      </c>
    </row>
    <row r="29" spans="1:49">
      <c r="A29" s="29">
        <v>45410</v>
      </c>
      <c r="B29" s="393">
        <f>IF(YEAR(Table6[[#This Row],[Date]]) = 2024, WEEKNUM(Table6[[#This Row],[Date]])-13, WEEKNUM(Table6[[#This Row],[Date]])+40)</f>
        <v>5</v>
      </c>
      <c r="C29" s="31" t="s">
        <v>54</v>
      </c>
      <c r="D29" s="295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v>0</v>
      </c>
      <c r="L29" s="1">
        <v>0</v>
      </c>
      <c r="M29" s="17">
        <v>0</v>
      </c>
      <c r="N29" s="17">
        <v>0</v>
      </c>
      <c r="O29" s="17">
        <v>0</v>
      </c>
      <c r="P29" s="17">
        <v>0</v>
      </c>
      <c r="Q29" s="22">
        <v>0</v>
      </c>
      <c r="R29" s="285">
        <v>0</v>
      </c>
      <c r="S29" s="285">
        <v>0</v>
      </c>
      <c r="T29" s="111">
        <v>0</v>
      </c>
      <c r="U29" s="111" t="str">
        <f t="shared" si="0"/>
        <v>Normal</v>
      </c>
      <c r="V29" s="111" t="str">
        <f t="shared" si="1"/>
        <v>Normal</v>
      </c>
      <c r="W29" s="18">
        <f t="shared" si="2"/>
        <v>0</v>
      </c>
      <c r="X29" s="18">
        <f t="shared" si="3"/>
        <v>0</v>
      </c>
    </row>
    <row r="30" spans="1:49">
      <c r="A30" s="29">
        <v>45411</v>
      </c>
      <c r="B30" s="393">
        <f>IF(YEAR(Table6[[#This Row],[Date]]) = 2024, WEEKNUM(Table6[[#This Row],[Date]])-13, WEEKNUM(Table6[[#This Row],[Date]])+40)</f>
        <v>5</v>
      </c>
      <c r="C30" s="31" t="s">
        <v>55</v>
      </c>
      <c r="D30" s="295" t="s">
        <v>48</v>
      </c>
      <c r="E30" s="1">
        <v>706</v>
      </c>
      <c r="F30" s="1">
        <v>571</v>
      </c>
      <c r="G30" s="61">
        <f>(E30-E23)/E23</f>
        <v>0.18257956448911222</v>
      </c>
      <c r="H30" s="61">
        <f>(F30-F23)/F23</f>
        <v>5.7407407407407407E-2</v>
      </c>
      <c r="I30" s="1">
        <f>Table9[[#This Row],[Calls Off]]</f>
        <v>706</v>
      </c>
      <c r="J30" s="1">
        <f>Table9[[#This Row],[Calls Ans]]</f>
        <v>571</v>
      </c>
      <c r="K30" s="1">
        <f>K28+Table9[[#This Row],[Calls Off]]</f>
        <v>12842</v>
      </c>
      <c r="L30" s="1">
        <f>L28+Table9[[#This Row],[Calls Ans]]</f>
        <v>10983</v>
      </c>
      <c r="M30" s="17">
        <v>0.54</v>
      </c>
      <c r="N30" s="17">
        <v>0.19</v>
      </c>
      <c r="O30" s="17">
        <v>0.81</v>
      </c>
      <c r="P30" s="17">
        <v>0.79</v>
      </c>
      <c r="Q30" s="22">
        <v>0.99</v>
      </c>
      <c r="R30" s="285">
        <v>89</v>
      </c>
      <c r="S30" s="285">
        <v>0</v>
      </c>
      <c r="T30" s="111">
        <v>4</v>
      </c>
      <c r="U30" s="111" t="str">
        <f t="shared" si="0"/>
        <v>Normal</v>
      </c>
      <c r="V30" s="111" t="str">
        <f t="shared" si="1"/>
        <v>Normal</v>
      </c>
      <c r="W30" s="18">
        <f t="shared" si="2"/>
        <v>0.18257956448911222</v>
      </c>
      <c r="X30" s="18">
        <f t="shared" si="3"/>
        <v>5.7407407407407407E-2</v>
      </c>
    </row>
    <row r="31" spans="1:49">
      <c r="A31" s="29">
        <v>45412</v>
      </c>
      <c r="B31" s="393">
        <f>IF(YEAR(Table6[[#This Row],[Date]]) = 2024, WEEKNUM(Table6[[#This Row],[Date]])-13, WEEKNUM(Table6[[#This Row],[Date]])+40)</f>
        <v>5</v>
      </c>
      <c r="C31" s="31" t="s">
        <v>49</v>
      </c>
      <c r="D31" s="295" t="s">
        <v>48</v>
      </c>
      <c r="E31" s="1">
        <v>802</v>
      </c>
      <c r="F31" s="1">
        <v>629</v>
      </c>
      <c r="G31" s="61">
        <f t="shared" ref="G31" si="19">(E31-E24)/E24</f>
        <v>0.75492341356673964</v>
      </c>
      <c r="H31" s="61">
        <f t="shared" ref="H31" si="20">(F31-F24)/F24</f>
        <v>0.51566265060240968</v>
      </c>
      <c r="I31" s="1">
        <f>I30+E31</f>
        <v>1508</v>
      </c>
      <c r="J31" s="1">
        <f>J30+F31</f>
        <v>1200</v>
      </c>
      <c r="K31" s="1">
        <f>K30+Table9[[#This Row],[Calls Off]]</f>
        <v>13644</v>
      </c>
      <c r="L31" s="1">
        <f>L30+Table9[[#This Row],[Calls Ans]]</f>
        <v>11612</v>
      </c>
      <c r="M31" s="17">
        <v>0.26</v>
      </c>
      <c r="N31" s="17">
        <v>0.22</v>
      </c>
      <c r="O31" s="17">
        <v>0.78</v>
      </c>
      <c r="P31" s="17">
        <v>0.77</v>
      </c>
      <c r="Q31" s="22">
        <v>1</v>
      </c>
      <c r="R31" s="285">
        <v>98</v>
      </c>
      <c r="S31" s="285">
        <v>0</v>
      </c>
      <c r="T31" s="111">
        <v>4</v>
      </c>
      <c r="U31" s="111" t="str">
        <f t="shared" si="0"/>
        <v>Outlier</v>
      </c>
      <c r="V31" s="111" t="str">
        <f t="shared" si="1"/>
        <v>Outlier</v>
      </c>
      <c r="W31" s="18">
        <f t="shared" si="2"/>
        <v>0.75492341356673964</v>
      </c>
      <c r="X31" s="18">
        <f t="shared" si="3"/>
        <v>0.51566265060240968</v>
      </c>
    </row>
    <row r="32" spans="1:49">
      <c r="A32" s="29">
        <v>45413</v>
      </c>
      <c r="B32" s="393">
        <f>IF(YEAR(Table6[[#This Row],[Date]]) = 2024, WEEKNUM(Table6[[#This Row],[Date]])-13, WEEKNUM(Table6[[#This Row],[Date]])+40)</f>
        <v>5</v>
      </c>
      <c r="C32" s="31" t="s">
        <v>50</v>
      </c>
      <c r="D32" s="295" t="s">
        <v>48</v>
      </c>
      <c r="E32" s="1">
        <v>0</v>
      </c>
      <c r="F32" s="1">
        <v>0</v>
      </c>
      <c r="G32" s="61">
        <v>0</v>
      </c>
      <c r="H32" s="61">
        <v>0</v>
      </c>
      <c r="I32" s="1">
        <v>0</v>
      </c>
      <c r="J32" s="1">
        <v>0</v>
      </c>
      <c r="K32" s="1">
        <v>0</v>
      </c>
      <c r="L32" s="1">
        <v>0</v>
      </c>
      <c r="M32" s="17">
        <v>0</v>
      </c>
      <c r="N32" s="17">
        <v>0</v>
      </c>
      <c r="O32" s="17">
        <v>0</v>
      </c>
      <c r="P32" s="17">
        <v>0</v>
      </c>
      <c r="Q32" s="22">
        <v>0</v>
      </c>
      <c r="R32" s="285">
        <v>0</v>
      </c>
      <c r="S32" s="285">
        <v>0</v>
      </c>
      <c r="T32" s="111">
        <v>0</v>
      </c>
      <c r="U32" s="111" t="str">
        <f t="shared" si="0"/>
        <v>Normal</v>
      </c>
      <c r="V32" s="111" t="str">
        <f t="shared" si="1"/>
        <v>Normal</v>
      </c>
      <c r="W32" s="18">
        <f t="shared" si="2"/>
        <v>0</v>
      </c>
      <c r="X32" s="18">
        <f t="shared" si="3"/>
        <v>0</v>
      </c>
    </row>
    <row r="33" spans="1:24">
      <c r="A33" s="29">
        <v>45414</v>
      </c>
      <c r="B33" s="393">
        <f>IF(YEAR(Table6[[#This Row],[Date]]) = 2024, WEEKNUM(Table6[[#This Row],[Date]])-13, WEEKNUM(Table6[[#This Row],[Date]])+40)</f>
        <v>5</v>
      </c>
      <c r="C33" s="31" t="s">
        <v>51</v>
      </c>
      <c r="D33" s="295" t="s">
        <v>48</v>
      </c>
      <c r="E33" s="1">
        <v>689</v>
      </c>
      <c r="F33" s="1">
        <v>503</v>
      </c>
      <c r="G33" s="61">
        <f t="shared" ref="G33:G35" si="21">(E33-E26)/E26</f>
        <v>0.29026217228464418</v>
      </c>
      <c r="H33" s="61">
        <f t="shared" ref="H33:H35" si="22">(F33-F26)/F26</f>
        <v>4.791666666666667E-2</v>
      </c>
      <c r="I33" s="1">
        <f>I31+E33</f>
        <v>2197</v>
      </c>
      <c r="J33" s="1">
        <f>J31+F33</f>
        <v>1703</v>
      </c>
      <c r="K33" s="1">
        <f>K31+Table9[[#This Row],[Calls Off]]</f>
        <v>14333</v>
      </c>
      <c r="L33" s="1">
        <f>L31+Table9[[#This Row],[Calls Ans]]</f>
        <v>12115</v>
      </c>
      <c r="M33" s="17">
        <v>0.25</v>
      </c>
      <c r="N33" s="17">
        <v>0.27</v>
      </c>
      <c r="O33" s="17">
        <v>0.73</v>
      </c>
      <c r="P33" s="17">
        <v>0.66</v>
      </c>
      <c r="Q33" s="22">
        <v>0.96</v>
      </c>
      <c r="R33" s="285">
        <v>219</v>
      </c>
      <c r="S33" s="285">
        <v>0</v>
      </c>
      <c r="T33" s="111">
        <v>4</v>
      </c>
      <c r="U33" s="111" t="str">
        <f t="shared" si="0"/>
        <v>Normal</v>
      </c>
      <c r="V33" s="111" t="str">
        <f t="shared" si="1"/>
        <v>Normal</v>
      </c>
      <c r="W33" s="18">
        <f t="shared" si="2"/>
        <v>0.29026217228464418</v>
      </c>
      <c r="X33" s="18">
        <f t="shared" si="3"/>
        <v>4.791666666666667E-2</v>
      </c>
    </row>
    <row r="34" spans="1:24">
      <c r="A34" s="29">
        <v>45415</v>
      </c>
      <c r="B34" s="393">
        <f>IF(YEAR(Table6[[#This Row],[Date]]) = 2024, WEEKNUM(Table6[[#This Row],[Date]])-13, WEEKNUM(Table6[[#This Row],[Date]])+40)</f>
        <v>5</v>
      </c>
      <c r="C34" s="31" t="s">
        <v>52</v>
      </c>
      <c r="D34" s="295" t="s">
        <v>48</v>
      </c>
      <c r="E34" s="1">
        <v>554</v>
      </c>
      <c r="F34" s="1">
        <v>381</v>
      </c>
      <c r="G34" s="61">
        <f t="shared" si="21"/>
        <v>7.1566731141199227E-2</v>
      </c>
      <c r="H34" s="61">
        <f t="shared" si="22"/>
        <v>-0.10141509433962265</v>
      </c>
      <c r="I34" s="1">
        <f t="shared" ref="I34:I35" si="23">I33+E34</f>
        <v>2751</v>
      </c>
      <c r="J34" s="1">
        <f t="shared" ref="J34:J35" si="24">J33+F34</f>
        <v>2084</v>
      </c>
      <c r="K34" s="1">
        <f>K33+Table9[[#This Row],[Calls Off]]</f>
        <v>14887</v>
      </c>
      <c r="L34" s="1">
        <f>L33+Table9[[#This Row],[Calls Ans]]</f>
        <v>12496</v>
      </c>
      <c r="M34" s="17">
        <v>0.52</v>
      </c>
      <c r="N34" s="17">
        <v>0.28999999999999998</v>
      </c>
      <c r="O34" s="17">
        <v>0.71</v>
      </c>
      <c r="P34" s="17">
        <v>0.48</v>
      </c>
      <c r="Q34" s="22">
        <v>0.99</v>
      </c>
      <c r="R34" s="285">
        <v>93</v>
      </c>
      <c r="S34" s="285">
        <v>0</v>
      </c>
      <c r="T34" s="111">
        <v>3</v>
      </c>
      <c r="U34" s="111" t="str">
        <f t="shared" si="0"/>
        <v>Normal</v>
      </c>
      <c r="V34" s="111" t="str">
        <f t="shared" si="1"/>
        <v>Normal</v>
      </c>
      <c r="W34" s="18">
        <f t="shared" si="2"/>
        <v>7.1566731141199227E-2</v>
      </c>
      <c r="X34" s="18">
        <f t="shared" si="3"/>
        <v>-0.10141509433962265</v>
      </c>
    </row>
    <row r="35" spans="1:24">
      <c r="A35" s="29">
        <v>45416</v>
      </c>
      <c r="B35" s="393">
        <f>IF(YEAR(Table6[[#This Row],[Date]]) = 2024, WEEKNUM(Table6[[#This Row],[Date]])-13, WEEKNUM(Table6[[#This Row],[Date]])+40)</f>
        <v>5</v>
      </c>
      <c r="C35" s="31" t="s">
        <v>53</v>
      </c>
      <c r="D35" s="295" t="s">
        <v>48</v>
      </c>
      <c r="E35" s="1">
        <v>497</v>
      </c>
      <c r="F35" s="1">
        <v>408</v>
      </c>
      <c r="G35" s="61">
        <f t="shared" si="21"/>
        <v>0.25505050505050503</v>
      </c>
      <c r="H35" s="61">
        <f t="shared" si="22"/>
        <v>7.3684210526315783E-2</v>
      </c>
      <c r="I35" s="1">
        <f t="shared" si="23"/>
        <v>3248</v>
      </c>
      <c r="J35" s="1">
        <f t="shared" si="24"/>
        <v>2492</v>
      </c>
      <c r="K35" s="1">
        <f>K34+Table9[[#This Row],[Calls Off]]</f>
        <v>15384</v>
      </c>
      <c r="L35" s="1">
        <f>L34+Table9[[#This Row],[Calls Ans]]</f>
        <v>12904</v>
      </c>
      <c r="M35" s="17">
        <v>0.49</v>
      </c>
      <c r="N35" s="17">
        <v>0.18</v>
      </c>
      <c r="O35" s="17">
        <v>0.82</v>
      </c>
      <c r="P35" s="17">
        <v>0.49</v>
      </c>
      <c r="Q35" s="22">
        <v>0.99</v>
      </c>
      <c r="R35" s="285">
        <v>99</v>
      </c>
      <c r="S35" s="285">
        <v>0</v>
      </c>
      <c r="T35" s="111">
        <v>4</v>
      </c>
      <c r="U35" s="111" t="str">
        <f t="shared" si="0"/>
        <v>Normal</v>
      </c>
      <c r="V35" s="111" t="str">
        <f t="shared" si="1"/>
        <v>Normal</v>
      </c>
      <c r="W35" s="18">
        <f t="shared" si="2"/>
        <v>0.25505050505050503</v>
      </c>
      <c r="X35" s="18">
        <f t="shared" si="3"/>
        <v>7.3684210526315783E-2</v>
      </c>
    </row>
    <row r="36" spans="1:24">
      <c r="A36" s="29">
        <v>45417</v>
      </c>
      <c r="B36" s="393">
        <f>IF(YEAR(Table6[[#This Row],[Date]]) = 2024, WEEKNUM(Table6[[#This Row],[Date]])-13, WEEKNUM(Table6[[#This Row],[Date]])+40)</f>
        <v>6</v>
      </c>
      <c r="C36" s="31" t="s">
        <v>54</v>
      </c>
      <c r="D36" s="295" t="s">
        <v>48</v>
      </c>
      <c r="E36" s="1">
        <v>0</v>
      </c>
      <c r="F36" s="1">
        <v>0</v>
      </c>
      <c r="G36" s="61">
        <v>0</v>
      </c>
      <c r="H36" s="61">
        <v>0</v>
      </c>
      <c r="I36" s="1">
        <v>0</v>
      </c>
      <c r="J36" s="1">
        <v>0</v>
      </c>
      <c r="K36" s="1">
        <v>0</v>
      </c>
      <c r="L36" s="1">
        <v>0</v>
      </c>
      <c r="M36" s="17">
        <v>0</v>
      </c>
      <c r="N36" s="17">
        <v>0</v>
      </c>
      <c r="O36" s="17">
        <v>0</v>
      </c>
      <c r="P36" s="17">
        <v>0</v>
      </c>
      <c r="Q36" s="22">
        <v>0</v>
      </c>
      <c r="R36" s="285">
        <v>0</v>
      </c>
      <c r="S36" s="285">
        <v>0</v>
      </c>
      <c r="T36" s="111">
        <v>0</v>
      </c>
      <c r="U36" s="111" t="str">
        <f t="shared" si="0"/>
        <v>Normal</v>
      </c>
      <c r="V36" s="111" t="str">
        <f t="shared" si="1"/>
        <v>Normal</v>
      </c>
      <c r="W36" s="18">
        <f t="shared" si="2"/>
        <v>0</v>
      </c>
      <c r="X36" s="18">
        <f t="shared" si="3"/>
        <v>0</v>
      </c>
    </row>
    <row r="37" spans="1:24">
      <c r="A37" s="29">
        <v>45418</v>
      </c>
      <c r="B37" s="393">
        <f>IF(YEAR(Table6[[#This Row],[Date]]) = 2024, WEEKNUM(Table6[[#This Row],[Date]])-13, WEEKNUM(Table6[[#This Row],[Date]])+40)</f>
        <v>6</v>
      </c>
      <c r="C37" s="31" t="s">
        <v>55</v>
      </c>
      <c r="D37" s="295" t="s">
        <v>48</v>
      </c>
      <c r="E37" s="1">
        <v>0</v>
      </c>
      <c r="F37" s="1">
        <v>0</v>
      </c>
      <c r="G37" s="61">
        <v>0</v>
      </c>
      <c r="H37" s="61">
        <v>0</v>
      </c>
      <c r="I37" s="1">
        <v>0</v>
      </c>
      <c r="J37" s="1">
        <v>0</v>
      </c>
      <c r="K37" s="1">
        <v>0</v>
      </c>
      <c r="L37" s="1">
        <v>0</v>
      </c>
      <c r="M37" s="17">
        <v>0</v>
      </c>
      <c r="N37" s="17">
        <v>0</v>
      </c>
      <c r="O37" s="17">
        <v>0</v>
      </c>
      <c r="P37" s="17">
        <v>0</v>
      </c>
      <c r="Q37" s="22">
        <v>0</v>
      </c>
      <c r="R37" s="285">
        <v>0</v>
      </c>
      <c r="S37" s="285">
        <v>0</v>
      </c>
      <c r="T37" s="111">
        <v>0</v>
      </c>
      <c r="U37" s="111" t="str">
        <f t="shared" si="0"/>
        <v>Normal</v>
      </c>
      <c r="V37" s="111" t="str">
        <f t="shared" si="1"/>
        <v>Normal</v>
      </c>
      <c r="W37" s="18">
        <f t="shared" si="2"/>
        <v>0</v>
      </c>
      <c r="X37" s="18">
        <f t="shared" si="3"/>
        <v>0</v>
      </c>
    </row>
    <row r="38" spans="1:24">
      <c r="A38" s="29">
        <v>45419</v>
      </c>
      <c r="B38" s="393">
        <f>IF(YEAR(Table6[[#This Row],[Date]]) = 2024, WEEKNUM(Table6[[#This Row],[Date]])-13, WEEKNUM(Table6[[#This Row],[Date]])+40)</f>
        <v>6</v>
      </c>
      <c r="C38" s="31" t="s">
        <v>49</v>
      </c>
      <c r="D38" s="295" t="s">
        <v>48</v>
      </c>
      <c r="E38" s="1">
        <v>850</v>
      </c>
      <c r="F38" s="1">
        <v>545</v>
      </c>
      <c r="G38" s="61">
        <f t="shared" ref="G38:G42" si="25">(E38-E31)/E31</f>
        <v>5.9850374064837904E-2</v>
      </c>
      <c r="H38" s="61">
        <f t="shared" ref="H38:H42" si="26">(F38-F31)/F31</f>
        <v>-0.13354531001589826</v>
      </c>
      <c r="I38" s="1">
        <f>I35+E38</f>
        <v>4098</v>
      </c>
      <c r="J38" s="1">
        <f>J35+F38</f>
        <v>3037</v>
      </c>
      <c r="K38" s="1">
        <f>K35+Table9[[#This Row],[Calls Off]]</f>
        <v>16234</v>
      </c>
      <c r="L38" s="1">
        <f>L35+Table9[[#This Row],[Calls Ans]]</f>
        <v>13449</v>
      </c>
      <c r="M38" s="17">
        <v>0.4</v>
      </c>
      <c r="N38" s="17">
        <v>0.36</v>
      </c>
      <c r="O38" s="17">
        <v>0.64</v>
      </c>
      <c r="P38" s="17">
        <v>0.79</v>
      </c>
      <c r="Q38" s="22">
        <v>0.99</v>
      </c>
      <c r="R38" s="285">
        <v>190</v>
      </c>
      <c r="S38" s="285">
        <v>0</v>
      </c>
      <c r="T38" s="111">
        <v>4</v>
      </c>
      <c r="U38" s="111" t="str">
        <f t="shared" si="0"/>
        <v>Normal</v>
      </c>
      <c r="V38" s="111" t="str">
        <f t="shared" si="1"/>
        <v>Normal</v>
      </c>
      <c r="W38" s="18">
        <f t="shared" si="2"/>
        <v>5.9850374064837904E-2</v>
      </c>
      <c r="X38" s="18">
        <f t="shared" si="3"/>
        <v>-0.13354531001589826</v>
      </c>
    </row>
    <row r="39" spans="1:24">
      <c r="A39" s="29">
        <v>45420</v>
      </c>
      <c r="B39" s="393">
        <f>IF(YEAR(Table6[[#This Row],[Date]]) = 2024, WEEKNUM(Table6[[#This Row],[Date]])-13, WEEKNUM(Table6[[#This Row],[Date]])+40)</f>
        <v>6</v>
      </c>
      <c r="C39" s="31" t="s">
        <v>50</v>
      </c>
      <c r="D39" s="295" t="s">
        <v>48</v>
      </c>
      <c r="E39" s="1">
        <v>707</v>
      </c>
      <c r="F39" s="1">
        <v>535</v>
      </c>
      <c r="G39" s="61">
        <v>0</v>
      </c>
      <c r="H39" s="61">
        <v>0</v>
      </c>
      <c r="I39" s="1">
        <f t="shared" ref="I39:I42" si="27">I38+E39</f>
        <v>4805</v>
      </c>
      <c r="J39" s="1">
        <f t="shared" ref="J39:J42" si="28">J38+F39</f>
        <v>3572</v>
      </c>
      <c r="K39" s="1">
        <f>K38+Table9[[#This Row],[Calls Off]]</f>
        <v>16941</v>
      </c>
      <c r="L39" s="1">
        <f>L38+Table9[[#This Row],[Calls Ans]]</f>
        <v>13984</v>
      </c>
      <c r="M39" s="17">
        <v>0.77</v>
      </c>
      <c r="N39" s="17">
        <v>0.24</v>
      </c>
      <c r="O39" s="17">
        <v>0.76</v>
      </c>
      <c r="P39" s="17">
        <v>0.68</v>
      </c>
      <c r="Q39" s="22">
        <v>0.99</v>
      </c>
      <c r="R39" s="285">
        <v>117</v>
      </c>
      <c r="S39" s="285">
        <v>0</v>
      </c>
      <c r="T39" s="111">
        <v>4</v>
      </c>
      <c r="U39" s="111" t="str">
        <f t="shared" si="0"/>
        <v>Normal</v>
      </c>
      <c r="V39" s="111" t="str">
        <f t="shared" si="1"/>
        <v>Normal</v>
      </c>
      <c r="W39" s="18">
        <f t="shared" si="2"/>
        <v>0</v>
      </c>
      <c r="X39" s="18">
        <f t="shared" si="3"/>
        <v>0</v>
      </c>
    </row>
    <row r="40" spans="1:24">
      <c r="A40" s="29">
        <v>45421</v>
      </c>
      <c r="B40" s="393">
        <f>IF(YEAR(Table6[[#This Row],[Date]]) = 2024, WEEKNUM(Table6[[#This Row],[Date]])-13, WEEKNUM(Table6[[#This Row],[Date]])+40)</f>
        <v>6</v>
      </c>
      <c r="C40" s="31" t="s">
        <v>51</v>
      </c>
      <c r="D40" s="295" t="s">
        <v>48</v>
      </c>
      <c r="E40" s="1">
        <v>777</v>
      </c>
      <c r="F40" s="1">
        <v>558</v>
      </c>
      <c r="G40" s="61">
        <f t="shared" si="25"/>
        <v>0.12772133526850507</v>
      </c>
      <c r="H40" s="61">
        <f t="shared" si="26"/>
        <v>0.10934393638170974</v>
      </c>
      <c r="I40" s="1">
        <f t="shared" si="27"/>
        <v>5582</v>
      </c>
      <c r="J40" s="1">
        <f t="shared" si="28"/>
        <v>4130</v>
      </c>
      <c r="K40" s="1">
        <f>K39+Table9[[#This Row],[Calls Off]]</f>
        <v>17718</v>
      </c>
      <c r="L40" s="1">
        <f>L39+Table9[[#This Row],[Calls Ans]]</f>
        <v>14542</v>
      </c>
      <c r="M40" s="17">
        <v>0.3</v>
      </c>
      <c r="N40" s="17">
        <v>0.28000000000000003</v>
      </c>
      <c r="O40" s="17">
        <v>0.72</v>
      </c>
      <c r="P40" s="17">
        <v>0.68</v>
      </c>
      <c r="Q40" s="22">
        <v>1</v>
      </c>
      <c r="R40" s="285">
        <v>633</v>
      </c>
      <c r="S40" s="285">
        <v>0</v>
      </c>
      <c r="T40" s="111">
        <v>4</v>
      </c>
      <c r="U40" s="111" t="str">
        <f t="shared" si="0"/>
        <v>Normal</v>
      </c>
      <c r="V40" s="111" t="str">
        <f t="shared" si="1"/>
        <v>Normal</v>
      </c>
      <c r="W40" s="18">
        <f t="shared" si="2"/>
        <v>0.12772133526850507</v>
      </c>
      <c r="X40" s="18">
        <f t="shared" si="3"/>
        <v>0.10934393638170974</v>
      </c>
    </row>
    <row r="41" spans="1:24">
      <c r="A41" s="29">
        <v>45422</v>
      </c>
      <c r="B41" s="393">
        <f>IF(YEAR(Table6[[#This Row],[Date]]) = 2024, WEEKNUM(Table6[[#This Row],[Date]])-13, WEEKNUM(Table6[[#This Row],[Date]])+40)</f>
        <v>6</v>
      </c>
      <c r="C41" s="31" t="s">
        <v>52</v>
      </c>
      <c r="D41" s="295" t="s">
        <v>48</v>
      </c>
      <c r="E41" s="1">
        <v>683</v>
      </c>
      <c r="F41" s="1">
        <v>553</v>
      </c>
      <c r="G41" s="61">
        <f t="shared" si="25"/>
        <v>0.23285198555956679</v>
      </c>
      <c r="H41" s="61">
        <f t="shared" si="26"/>
        <v>0.45144356955380577</v>
      </c>
      <c r="I41" s="1">
        <f t="shared" si="27"/>
        <v>6265</v>
      </c>
      <c r="J41" s="1">
        <f t="shared" si="28"/>
        <v>4683</v>
      </c>
      <c r="K41" s="1">
        <f>K40+Table9[[#This Row],[Calls Off]]</f>
        <v>18401</v>
      </c>
      <c r="L41" s="1">
        <f>L40+Table9[[#This Row],[Calls Ans]]</f>
        <v>15095</v>
      </c>
      <c r="M41" s="17">
        <v>0.48</v>
      </c>
      <c r="N41" s="17">
        <v>0.19</v>
      </c>
      <c r="O41" s="17">
        <v>0.81</v>
      </c>
      <c r="P41" s="17">
        <v>0.77</v>
      </c>
      <c r="Q41" s="22">
        <v>1</v>
      </c>
      <c r="R41" s="285">
        <v>110</v>
      </c>
      <c r="S41" s="285">
        <v>0</v>
      </c>
      <c r="T41" s="111">
        <v>4</v>
      </c>
      <c r="U41" s="111" t="str">
        <f t="shared" si="0"/>
        <v>Normal</v>
      </c>
      <c r="V41" s="111" t="str">
        <f t="shared" si="1"/>
        <v>Outlier</v>
      </c>
      <c r="W41" s="18">
        <f t="shared" si="2"/>
        <v>0.23285198555956679</v>
      </c>
      <c r="X41" s="18">
        <f t="shared" si="3"/>
        <v>0.45144356955380577</v>
      </c>
    </row>
    <row r="42" spans="1:24">
      <c r="A42" s="29">
        <v>45423</v>
      </c>
      <c r="B42" s="393">
        <f>IF(YEAR(Table6[[#This Row],[Date]]) = 2024, WEEKNUM(Table6[[#This Row],[Date]])-13, WEEKNUM(Table6[[#This Row],[Date]])+40)</f>
        <v>6</v>
      </c>
      <c r="C42" s="31" t="s">
        <v>53</v>
      </c>
      <c r="D42" s="295" t="s">
        <v>48</v>
      </c>
      <c r="E42" s="1">
        <v>573</v>
      </c>
      <c r="F42" s="1">
        <v>468</v>
      </c>
      <c r="G42" s="61">
        <f t="shared" si="25"/>
        <v>0.15291750503018109</v>
      </c>
      <c r="H42" s="61">
        <f t="shared" si="26"/>
        <v>0.14705882352941177</v>
      </c>
      <c r="I42" s="1">
        <f t="shared" si="27"/>
        <v>6838</v>
      </c>
      <c r="J42" s="1">
        <f t="shared" si="28"/>
        <v>5151</v>
      </c>
      <c r="K42" s="1">
        <f>K41+Table9[[#This Row],[Calls Off]]</f>
        <v>18974</v>
      </c>
      <c r="L42" s="1">
        <f>L41+Table9[[#This Row],[Calls Ans]]</f>
        <v>15563</v>
      </c>
      <c r="M42" s="17">
        <v>0.72</v>
      </c>
      <c r="N42" s="17">
        <v>0.18</v>
      </c>
      <c r="O42" s="17">
        <v>0.82</v>
      </c>
      <c r="P42" s="17">
        <v>0.69</v>
      </c>
      <c r="Q42" s="22">
        <v>1</v>
      </c>
      <c r="R42" s="285">
        <v>110</v>
      </c>
      <c r="S42" s="285">
        <v>0</v>
      </c>
      <c r="T42" s="111">
        <v>4</v>
      </c>
      <c r="U42" s="111" t="str">
        <f t="shared" si="0"/>
        <v>Normal</v>
      </c>
      <c r="V42" s="111" t="str">
        <f t="shared" si="1"/>
        <v>Normal</v>
      </c>
      <c r="W42" s="18">
        <f t="shared" si="2"/>
        <v>0.15291750503018109</v>
      </c>
      <c r="X42" s="18">
        <f t="shared" si="3"/>
        <v>0.14705882352941177</v>
      </c>
    </row>
    <row r="43" spans="1:24">
      <c r="A43" s="29">
        <v>45424</v>
      </c>
      <c r="B43" s="393">
        <f>IF(YEAR(Table6[[#This Row],[Date]]) = 2024, WEEKNUM(Table6[[#This Row],[Date]])-13, WEEKNUM(Table6[[#This Row],[Date]])+40)</f>
        <v>7</v>
      </c>
      <c r="C43" s="31" t="s">
        <v>54</v>
      </c>
      <c r="D43" s="295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v>0</v>
      </c>
      <c r="L43" s="1">
        <v>0</v>
      </c>
      <c r="M43" s="17">
        <v>0</v>
      </c>
      <c r="N43" s="17">
        <v>0</v>
      </c>
      <c r="O43" s="17">
        <v>0</v>
      </c>
      <c r="P43" s="17">
        <v>0</v>
      </c>
      <c r="Q43" s="22">
        <v>0</v>
      </c>
      <c r="R43" s="285">
        <v>0</v>
      </c>
      <c r="S43" s="285">
        <v>0</v>
      </c>
      <c r="T43" s="111">
        <v>0</v>
      </c>
      <c r="U43" s="111" t="str">
        <f t="shared" si="0"/>
        <v>Normal</v>
      </c>
      <c r="V43" s="111" t="str">
        <f t="shared" si="1"/>
        <v>Normal</v>
      </c>
      <c r="W43" s="18">
        <f t="shared" si="2"/>
        <v>0</v>
      </c>
      <c r="X43" s="18">
        <f t="shared" si="3"/>
        <v>0</v>
      </c>
    </row>
    <row r="44" spans="1:24">
      <c r="A44" s="29">
        <v>45425</v>
      </c>
      <c r="B44" s="393">
        <f>IF(YEAR(Table6[[#This Row],[Date]]) = 2024, WEEKNUM(Table6[[#This Row],[Date]])-13, WEEKNUM(Table6[[#This Row],[Date]])+40)</f>
        <v>7</v>
      </c>
      <c r="C44" s="31" t="s">
        <v>55</v>
      </c>
      <c r="D44" s="295" t="s">
        <v>48</v>
      </c>
      <c r="E44" s="1">
        <v>837</v>
      </c>
      <c r="F44" s="1">
        <v>632</v>
      </c>
      <c r="G44" s="61">
        <v>0</v>
      </c>
      <c r="H44" s="61">
        <v>0</v>
      </c>
      <c r="I44" s="1">
        <f>I42+Table9[[#This Row],[Calls Off]]</f>
        <v>7675</v>
      </c>
      <c r="J44" s="1">
        <f>J42+Table9[[#This Row],[Calls Ans]]</f>
        <v>5783</v>
      </c>
      <c r="K44" s="1">
        <f>K42+Table9[[#This Row],[Calls Off]]</f>
        <v>19811</v>
      </c>
      <c r="L44" s="1">
        <f>L42+Table9[[#This Row],[Calls Ans]]</f>
        <v>16195</v>
      </c>
      <c r="M44" s="17">
        <v>0.39</v>
      </c>
      <c r="N44" s="17">
        <v>0.24</v>
      </c>
      <c r="O44" s="17">
        <v>0.76</v>
      </c>
      <c r="P44" s="17">
        <v>0.84</v>
      </c>
      <c r="Q44" s="22">
        <v>1</v>
      </c>
      <c r="R44" s="285">
        <v>152</v>
      </c>
      <c r="S44" s="285">
        <v>0</v>
      </c>
      <c r="T44" s="111">
        <v>4</v>
      </c>
      <c r="U44" s="111" t="str">
        <f t="shared" si="0"/>
        <v>Normal</v>
      </c>
      <c r="V44" s="111" t="str">
        <f t="shared" si="1"/>
        <v>Normal</v>
      </c>
      <c r="W44" s="18">
        <f t="shared" si="2"/>
        <v>0</v>
      </c>
      <c r="X44" s="18">
        <f t="shared" si="3"/>
        <v>0</v>
      </c>
    </row>
    <row r="45" spans="1:24">
      <c r="A45" s="29">
        <v>45426</v>
      </c>
      <c r="B45" s="393">
        <f>IF(YEAR(Table6[[#This Row],[Date]]) = 2024, WEEKNUM(Table6[[#This Row],[Date]])-13, WEEKNUM(Table6[[#This Row],[Date]])+40)</f>
        <v>7</v>
      </c>
      <c r="C45" s="31" t="s">
        <v>49</v>
      </c>
      <c r="D45" s="295" t="s">
        <v>48</v>
      </c>
      <c r="E45" s="1">
        <v>685</v>
      </c>
      <c r="F45" s="1">
        <v>550</v>
      </c>
      <c r="G45" s="61">
        <f t="shared" ref="G45:G46" si="29">(E45-E38)/E38</f>
        <v>-0.19411764705882353</v>
      </c>
      <c r="H45" s="61">
        <f t="shared" ref="H45:H46" si="30">(F45-F38)/F38</f>
        <v>9.1743119266055051E-3</v>
      </c>
      <c r="I45" s="1">
        <f>I44+E45</f>
        <v>8360</v>
      </c>
      <c r="J45" s="1">
        <f>J44+F45</f>
        <v>6333</v>
      </c>
      <c r="K45" s="1">
        <f>K44+Table9[[#This Row],[Calls Off]]</f>
        <v>20496</v>
      </c>
      <c r="L45" s="1">
        <f>L44+Table9[[#This Row],[Calls Ans]]</f>
        <v>16745</v>
      </c>
      <c r="M45" s="17">
        <v>0.3</v>
      </c>
      <c r="N45" s="17">
        <v>0.2</v>
      </c>
      <c r="O45" s="17">
        <v>0.8</v>
      </c>
      <c r="P45" s="17">
        <v>0.71</v>
      </c>
      <c r="Q45" s="22">
        <v>1</v>
      </c>
      <c r="R45" s="285">
        <v>107</v>
      </c>
      <c r="S45" s="285">
        <v>0</v>
      </c>
      <c r="T45" s="111">
        <v>4</v>
      </c>
      <c r="U45" s="111" t="str">
        <f t="shared" si="0"/>
        <v>Normal</v>
      </c>
      <c r="V45" s="111" t="str">
        <f t="shared" si="1"/>
        <v>Normal</v>
      </c>
      <c r="W45" s="18">
        <f t="shared" si="2"/>
        <v>-0.19411764705882353</v>
      </c>
      <c r="X45" s="18">
        <f t="shared" si="3"/>
        <v>9.1743119266055051E-3</v>
      </c>
    </row>
    <row r="46" spans="1:24">
      <c r="A46" s="29">
        <v>45427</v>
      </c>
      <c r="B46" s="393">
        <f>IF(YEAR(Table6[[#This Row],[Date]]) = 2024, WEEKNUM(Table6[[#This Row],[Date]])-13, WEEKNUM(Table6[[#This Row],[Date]])+40)</f>
        <v>7</v>
      </c>
      <c r="C46" s="31" t="s">
        <v>50</v>
      </c>
      <c r="D46" s="295" t="s">
        <v>48</v>
      </c>
      <c r="E46" s="1">
        <v>720</v>
      </c>
      <c r="F46" s="1">
        <v>560</v>
      </c>
      <c r="G46" s="61">
        <f t="shared" si="29"/>
        <v>1.8387553041018388E-2</v>
      </c>
      <c r="H46" s="61">
        <f t="shared" si="30"/>
        <v>4.6728971962616821E-2</v>
      </c>
      <c r="I46" s="1">
        <f t="shared" ref="I46" si="31">I45+E46</f>
        <v>9080</v>
      </c>
      <c r="J46" s="1">
        <f t="shared" ref="J46" si="32">J45+F46</f>
        <v>6893</v>
      </c>
      <c r="K46" s="1">
        <f>K45+Table9[[#This Row],[Calls Off]]</f>
        <v>21216</v>
      </c>
      <c r="L46" s="1">
        <f>L45+Table9[[#This Row],[Calls Ans]]</f>
        <v>17305</v>
      </c>
      <c r="M46" s="17">
        <v>0.69</v>
      </c>
      <c r="N46" s="17">
        <v>0.22</v>
      </c>
      <c r="O46" s="17">
        <v>0.78</v>
      </c>
      <c r="P46" s="17">
        <v>0.73</v>
      </c>
      <c r="Q46" s="22">
        <v>1</v>
      </c>
      <c r="R46" s="285">
        <v>131</v>
      </c>
      <c r="S46" s="285">
        <v>0</v>
      </c>
      <c r="T46" s="111">
        <v>4</v>
      </c>
      <c r="U46" s="111" t="str">
        <f t="shared" si="0"/>
        <v>Normal</v>
      </c>
      <c r="V46" s="111" t="str">
        <f t="shared" si="1"/>
        <v>Normal</v>
      </c>
      <c r="W46" s="18">
        <f t="shared" si="2"/>
        <v>1.8387553041018388E-2</v>
      </c>
      <c r="X46" s="18">
        <f t="shared" si="3"/>
        <v>4.6728971962616821E-2</v>
      </c>
    </row>
    <row r="47" spans="1:24">
      <c r="A47" s="29">
        <v>45428</v>
      </c>
      <c r="B47" s="393">
        <f>IF(YEAR(Table6[[#This Row],[Date]]) = 2024, WEEKNUM(Table6[[#This Row],[Date]])-13, WEEKNUM(Table6[[#This Row],[Date]])+40)</f>
        <v>7</v>
      </c>
      <c r="C47" s="31" t="s">
        <v>51</v>
      </c>
      <c r="D47" s="295" t="s">
        <v>48</v>
      </c>
      <c r="E47" s="1">
        <v>903</v>
      </c>
      <c r="F47" s="1">
        <v>540</v>
      </c>
      <c r="G47" s="61">
        <f t="shared" ref="G47:G49" si="33">(E47-E40)/E40</f>
        <v>0.16216216216216217</v>
      </c>
      <c r="H47" s="61">
        <f t="shared" ref="H47:H49" si="34">(F47-F40)/F40</f>
        <v>-3.2258064516129031E-2</v>
      </c>
      <c r="I47" s="1">
        <f>I45+E47</f>
        <v>9263</v>
      </c>
      <c r="J47" s="1">
        <f>J45+F47</f>
        <v>6873</v>
      </c>
      <c r="K47" s="1">
        <f>K46+Table9[[#This Row],[Calls Off]]</f>
        <v>22119</v>
      </c>
      <c r="L47" s="1">
        <f>L46+Table9[[#This Row],[Calls Ans]]</f>
        <v>17845</v>
      </c>
      <c r="M47" s="17">
        <v>7.0000000000000007E-2</v>
      </c>
      <c r="N47" s="17">
        <v>0.4</v>
      </c>
      <c r="O47" s="17">
        <v>0.6</v>
      </c>
      <c r="P47" s="17">
        <v>0.79</v>
      </c>
      <c r="Q47" s="22">
        <v>0.98</v>
      </c>
      <c r="R47" s="285">
        <v>55</v>
      </c>
      <c r="S47" s="285">
        <v>0</v>
      </c>
      <c r="T47" s="111">
        <v>3</v>
      </c>
      <c r="U47" s="111" t="str">
        <f t="shared" si="0"/>
        <v>Normal</v>
      </c>
      <c r="V47" s="111" t="str">
        <f t="shared" si="1"/>
        <v>Normal</v>
      </c>
      <c r="W47" s="18">
        <f t="shared" si="2"/>
        <v>0.16216216216216217</v>
      </c>
      <c r="X47" s="18">
        <f t="shared" si="3"/>
        <v>-3.2258064516129031E-2</v>
      </c>
    </row>
    <row r="48" spans="1:24">
      <c r="A48" s="29">
        <v>45429</v>
      </c>
      <c r="B48" s="393">
        <f>IF(YEAR(Table6[[#This Row],[Date]]) = 2024, WEEKNUM(Table6[[#This Row],[Date]])-13, WEEKNUM(Table6[[#This Row],[Date]])+40)</f>
        <v>7</v>
      </c>
      <c r="C48" s="31" t="s">
        <v>52</v>
      </c>
      <c r="D48" s="295" t="s">
        <v>48</v>
      </c>
      <c r="E48" s="1">
        <v>599</v>
      </c>
      <c r="F48" s="1">
        <v>497</v>
      </c>
      <c r="G48" s="61">
        <f t="shared" si="33"/>
        <v>-0.12298682284040996</v>
      </c>
      <c r="H48" s="61">
        <f t="shared" si="34"/>
        <v>-0.10126582278481013</v>
      </c>
      <c r="I48" s="1">
        <f t="shared" ref="I48:I49" si="35">I47+E48</f>
        <v>9862</v>
      </c>
      <c r="J48" s="1">
        <f t="shared" ref="J48:J49" si="36">J47+F48</f>
        <v>7370</v>
      </c>
      <c r="K48" s="1">
        <f>K47+Table9[[#This Row],[Calls Off]]</f>
        <v>22718</v>
      </c>
      <c r="L48" s="1">
        <f>L47+Table9[[#This Row],[Calls Ans]]</f>
        <v>18342</v>
      </c>
      <c r="M48" s="17">
        <v>0.66</v>
      </c>
      <c r="N48" s="17">
        <v>0.17</v>
      </c>
      <c r="O48" s="17">
        <v>0.83</v>
      </c>
      <c r="P48" s="17">
        <v>0.61</v>
      </c>
      <c r="Q48" s="22">
        <v>0.99</v>
      </c>
      <c r="R48" s="285">
        <v>150</v>
      </c>
      <c r="S48" s="285">
        <v>0</v>
      </c>
      <c r="T48" s="111">
        <v>4</v>
      </c>
      <c r="U48" s="111" t="str">
        <f t="shared" si="0"/>
        <v>Normal</v>
      </c>
      <c r="V48" s="111" t="str">
        <f t="shared" si="1"/>
        <v>Normal</v>
      </c>
      <c r="W48" s="18">
        <f t="shared" si="2"/>
        <v>-0.12298682284040996</v>
      </c>
      <c r="X48" s="18">
        <f t="shared" si="3"/>
        <v>-0.10126582278481013</v>
      </c>
    </row>
    <row r="49" spans="1:24">
      <c r="A49" s="29">
        <v>45430</v>
      </c>
      <c r="B49" s="393">
        <f>IF(YEAR(Table6[[#This Row],[Date]]) = 2024, WEEKNUM(Table6[[#This Row],[Date]])-13, WEEKNUM(Table6[[#This Row],[Date]])+40)</f>
        <v>7</v>
      </c>
      <c r="C49" s="31" t="s">
        <v>53</v>
      </c>
      <c r="D49" s="295" t="s">
        <v>48</v>
      </c>
      <c r="E49" s="1">
        <v>484</v>
      </c>
      <c r="F49" s="1">
        <v>397</v>
      </c>
      <c r="G49" s="61">
        <f t="shared" si="33"/>
        <v>-0.15532286212914484</v>
      </c>
      <c r="H49" s="61">
        <f t="shared" si="34"/>
        <v>-0.1517094017094017</v>
      </c>
      <c r="I49" s="1">
        <f t="shared" si="35"/>
        <v>10346</v>
      </c>
      <c r="J49" s="1">
        <f t="shared" si="36"/>
        <v>7767</v>
      </c>
      <c r="K49" s="1">
        <f>K48+Table9[[#This Row],[Calls Off]]</f>
        <v>23202</v>
      </c>
      <c r="L49" s="1">
        <f>L48+Table9[[#This Row],[Calls Ans]]</f>
        <v>18739</v>
      </c>
      <c r="M49" s="17">
        <v>0.42</v>
      </c>
      <c r="N49" s="17">
        <v>0.18</v>
      </c>
      <c r="O49" s="17">
        <v>0.82</v>
      </c>
      <c r="P49" s="17">
        <v>0.6</v>
      </c>
      <c r="Q49" s="22">
        <v>0.99</v>
      </c>
      <c r="R49" s="285">
        <v>76</v>
      </c>
      <c r="S49" s="285">
        <v>0</v>
      </c>
      <c r="T49" s="111">
        <v>4</v>
      </c>
      <c r="U49" s="111" t="str">
        <f t="shared" si="0"/>
        <v>Normal</v>
      </c>
      <c r="V49" s="111" t="str">
        <f t="shared" si="1"/>
        <v>Normal</v>
      </c>
      <c r="W49" s="18">
        <f t="shared" si="2"/>
        <v>-0.15532286212914484</v>
      </c>
      <c r="X49" s="18">
        <f t="shared" si="3"/>
        <v>-0.1517094017094017</v>
      </c>
    </row>
    <row r="50" spans="1:24">
      <c r="A50" s="29">
        <v>45431</v>
      </c>
      <c r="B50" s="393">
        <f>IF(YEAR(Table6[[#This Row],[Date]]) = 2024, WEEKNUM(Table6[[#This Row],[Date]])-13, WEEKNUM(Table6[[#This Row],[Date]])+40)</f>
        <v>8</v>
      </c>
      <c r="C50" s="31" t="s">
        <v>54</v>
      </c>
      <c r="D50" s="295" t="s">
        <v>48</v>
      </c>
      <c r="E50" s="1">
        <v>0</v>
      </c>
      <c r="F50" s="1">
        <v>0</v>
      </c>
      <c r="G50" s="61">
        <v>0</v>
      </c>
      <c r="H50" s="61">
        <v>0</v>
      </c>
      <c r="I50" s="1">
        <v>0</v>
      </c>
      <c r="J50" s="1">
        <v>0</v>
      </c>
      <c r="K50" s="1">
        <v>0</v>
      </c>
      <c r="L50" s="1">
        <v>0</v>
      </c>
      <c r="M50" s="17">
        <v>0</v>
      </c>
      <c r="N50" s="17">
        <v>0</v>
      </c>
      <c r="O50" s="17">
        <v>0</v>
      </c>
      <c r="P50" s="17">
        <v>0</v>
      </c>
      <c r="Q50" s="22">
        <v>0</v>
      </c>
      <c r="R50" s="285">
        <v>0</v>
      </c>
      <c r="S50" s="285">
        <v>0</v>
      </c>
      <c r="T50" s="111">
        <v>0</v>
      </c>
      <c r="U50" s="111" t="str">
        <f t="shared" si="0"/>
        <v>Normal</v>
      </c>
      <c r="V50" s="111" t="str">
        <f t="shared" si="1"/>
        <v>Normal</v>
      </c>
      <c r="W50" s="18">
        <f t="shared" si="2"/>
        <v>0</v>
      </c>
      <c r="X50" s="18">
        <f t="shared" si="3"/>
        <v>0</v>
      </c>
    </row>
    <row r="51" spans="1:24">
      <c r="A51" s="29">
        <v>45432</v>
      </c>
      <c r="B51" s="393">
        <f>IF(YEAR(Table6[[#This Row],[Date]]) = 2024, WEEKNUM(Table6[[#This Row],[Date]])-13, WEEKNUM(Table6[[#This Row],[Date]])+40)</f>
        <v>8</v>
      </c>
      <c r="C51" s="31" t="s">
        <v>55</v>
      </c>
      <c r="D51" s="295" t="s">
        <v>48</v>
      </c>
      <c r="E51" s="1">
        <v>779</v>
      </c>
      <c r="F51" s="1">
        <v>540</v>
      </c>
      <c r="G51" s="61">
        <f>(E51-E44)/E44</f>
        <v>-6.9295101553166066E-2</v>
      </c>
      <c r="H51" s="61">
        <f>(F51-F44)/F44</f>
        <v>-0.14556962025316456</v>
      </c>
      <c r="I51" s="1">
        <f>I49+E51</f>
        <v>11125</v>
      </c>
      <c r="J51" s="1">
        <f>J49+F51</f>
        <v>8307</v>
      </c>
      <c r="K51" s="1">
        <f>K49+Table9[[#This Row],[Calls Off]]</f>
        <v>23981</v>
      </c>
      <c r="L51" s="1">
        <f>L49+Table9[[#This Row],[Calls Ans]]</f>
        <v>19279</v>
      </c>
      <c r="M51" s="17">
        <v>0.28000000000000003</v>
      </c>
      <c r="N51" s="17">
        <v>0.31</v>
      </c>
      <c r="O51" s="17">
        <v>0.69</v>
      </c>
      <c r="P51" s="17">
        <v>0.75</v>
      </c>
      <c r="Q51" s="22">
        <v>1</v>
      </c>
      <c r="R51" s="285">
        <v>121</v>
      </c>
      <c r="S51" s="285">
        <v>0</v>
      </c>
      <c r="T51" s="111">
        <v>3</v>
      </c>
      <c r="U51" s="111" t="str">
        <f t="shared" si="0"/>
        <v>Normal</v>
      </c>
      <c r="V51" s="111" t="str">
        <f t="shared" si="1"/>
        <v>Normal</v>
      </c>
      <c r="W51" s="18">
        <f t="shared" si="2"/>
        <v>-6.9295101553166066E-2</v>
      </c>
      <c r="X51" s="18">
        <f t="shared" si="3"/>
        <v>-0.14556962025316456</v>
      </c>
    </row>
    <row r="52" spans="1:24">
      <c r="A52" s="29">
        <v>45433</v>
      </c>
      <c r="B52" s="393">
        <f>IF(YEAR(Table6[[#This Row],[Date]]) = 2024, WEEKNUM(Table6[[#This Row],[Date]])-13, WEEKNUM(Table6[[#This Row],[Date]])+40)</f>
        <v>8</v>
      </c>
      <c r="C52" s="31" t="s">
        <v>49</v>
      </c>
      <c r="D52" s="295" t="s">
        <v>48</v>
      </c>
      <c r="E52" s="1">
        <v>708</v>
      </c>
      <c r="F52" s="1">
        <v>525</v>
      </c>
      <c r="G52" s="61">
        <f t="shared" ref="G52:G56" si="37">(E52-E45)/E45</f>
        <v>3.3576642335766425E-2</v>
      </c>
      <c r="H52" s="61">
        <f t="shared" ref="H52:H56" si="38">(F52-F45)/F45</f>
        <v>-4.5454545454545456E-2</v>
      </c>
      <c r="I52" s="1">
        <f>I51+E52</f>
        <v>11833</v>
      </c>
      <c r="J52" s="1">
        <f>J51+F52</f>
        <v>8832</v>
      </c>
      <c r="K52" s="1">
        <f>K51+Table9[[#This Row],[Calls Off]]</f>
        <v>24689</v>
      </c>
      <c r="L52" s="1">
        <f>L51+Table9[[#This Row],[Calls Ans]]</f>
        <v>19804</v>
      </c>
      <c r="M52" s="17">
        <v>0.18</v>
      </c>
      <c r="N52" s="17">
        <v>0.26</v>
      </c>
      <c r="O52" s="17">
        <v>0.74</v>
      </c>
      <c r="P52" s="17">
        <v>0.69</v>
      </c>
      <c r="Q52" s="22">
        <v>0.99</v>
      </c>
      <c r="R52" s="285">
        <v>105</v>
      </c>
      <c r="S52" s="285">
        <v>0</v>
      </c>
      <c r="T52" s="111">
        <v>4</v>
      </c>
      <c r="U52" s="111" t="str">
        <f t="shared" si="0"/>
        <v>Normal</v>
      </c>
      <c r="V52" s="111" t="str">
        <f t="shared" si="1"/>
        <v>Normal</v>
      </c>
      <c r="W52" s="18">
        <f t="shared" si="2"/>
        <v>3.3576642335766425E-2</v>
      </c>
      <c r="X52" s="18">
        <f t="shared" si="3"/>
        <v>-4.5454545454545456E-2</v>
      </c>
    </row>
    <row r="53" spans="1:24">
      <c r="A53" s="29">
        <v>45434</v>
      </c>
      <c r="B53" s="393">
        <f>IF(YEAR(Table6[[#This Row],[Date]]) = 2024, WEEKNUM(Table6[[#This Row],[Date]])-13, WEEKNUM(Table6[[#This Row],[Date]])+40)</f>
        <v>8</v>
      </c>
      <c r="C53" s="31" t="s">
        <v>50</v>
      </c>
      <c r="D53" s="295" t="s">
        <v>48</v>
      </c>
      <c r="E53" s="1">
        <v>656</v>
      </c>
      <c r="F53" s="1">
        <v>422</v>
      </c>
      <c r="G53" s="61">
        <f t="shared" si="37"/>
        <v>-8.8888888888888892E-2</v>
      </c>
      <c r="H53" s="61">
        <f t="shared" si="38"/>
        <v>-0.24642857142857144</v>
      </c>
      <c r="I53" s="1">
        <f t="shared" ref="I53:I56" si="39">I52+E53</f>
        <v>12489</v>
      </c>
      <c r="J53" s="1">
        <f t="shared" ref="J53:J56" si="40">J52+F53</f>
        <v>9254</v>
      </c>
      <c r="K53" s="1">
        <f>K52+Table9[[#This Row],[Calls Off]]</f>
        <v>25345</v>
      </c>
      <c r="L53" s="1">
        <f>L52+Table9[[#This Row],[Calls Ans]]</f>
        <v>20226</v>
      </c>
      <c r="M53" s="17">
        <v>0.38</v>
      </c>
      <c r="N53" s="17">
        <v>0.36</v>
      </c>
      <c r="O53" s="17">
        <v>0.64</v>
      </c>
      <c r="P53" s="17">
        <v>0.73</v>
      </c>
      <c r="Q53" s="22">
        <v>1</v>
      </c>
      <c r="R53" s="285">
        <v>101</v>
      </c>
      <c r="S53" s="285">
        <v>0</v>
      </c>
      <c r="T53" s="111">
        <v>3</v>
      </c>
      <c r="U53" s="111" t="str">
        <f t="shared" si="0"/>
        <v>Normal</v>
      </c>
      <c r="V53" s="111" t="str">
        <f t="shared" si="1"/>
        <v>Normal</v>
      </c>
      <c r="W53" s="18">
        <f t="shared" si="2"/>
        <v>-8.8888888888888892E-2</v>
      </c>
      <c r="X53" s="18">
        <f t="shared" si="3"/>
        <v>-0.24642857142857144</v>
      </c>
    </row>
    <row r="54" spans="1:24">
      <c r="A54" s="29">
        <v>45435</v>
      </c>
      <c r="B54" s="393">
        <f>IF(YEAR(Table6[[#This Row],[Date]]) = 2024, WEEKNUM(Table6[[#This Row],[Date]])-13, WEEKNUM(Table6[[#This Row],[Date]])+40)</f>
        <v>8</v>
      </c>
      <c r="C54" s="31" t="s">
        <v>51</v>
      </c>
      <c r="D54" s="295" t="s">
        <v>48</v>
      </c>
      <c r="E54" s="1">
        <v>704</v>
      </c>
      <c r="F54" s="1">
        <v>394</v>
      </c>
      <c r="G54" s="61">
        <f t="shared" si="37"/>
        <v>-0.22037652270210409</v>
      </c>
      <c r="H54" s="61">
        <f t="shared" si="38"/>
        <v>-0.27037037037037037</v>
      </c>
      <c r="I54" s="1">
        <f t="shared" si="39"/>
        <v>13193</v>
      </c>
      <c r="J54" s="1">
        <f t="shared" si="40"/>
        <v>9648</v>
      </c>
      <c r="K54" s="1">
        <f>K53+Table9[[#This Row],[Calls Off]]</f>
        <v>26049</v>
      </c>
      <c r="L54" s="1">
        <f>L53+Table9[[#This Row],[Calls Ans]]</f>
        <v>20620</v>
      </c>
      <c r="M54" s="17">
        <v>0.24</v>
      </c>
      <c r="N54" s="17">
        <v>0.44</v>
      </c>
      <c r="O54" s="17">
        <v>0.56000000000000005</v>
      </c>
      <c r="P54" s="17">
        <v>0.75</v>
      </c>
      <c r="Q54" s="22">
        <v>0.99</v>
      </c>
      <c r="R54" s="285">
        <v>101</v>
      </c>
      <c r="S54" s="285">
        <v>0</v>
      </c>
      <c r="T54" s="111">
        <v>3</v>
      </c>
      <c r="U54" s="111" t="str">
        <f t="shared" si="0"/>
        <v>Normal</v>
      </c>
      <c r="V54" s="111" t="str">
        <f t="shared" si="1"/>
        <v>Normal</v>
      </c>
      <c r="W54" s="18">
        <f t="shared" si="2"/>
        <v>-0.22037652270210409</v>
      </c>
      <c r="X54" s="18">
        <f t="shared" si="3"/>
        <v>-0.27037037037037037</v>
      </c>
    </row>
    <row r="55" spans="1:24">
      <c r="A55" s="29">
        <v>45436</v>
      </c>
      <c r="B55" s="393">
        <f>IF(YEAR(Table6[[#This Row],[Date]]) = 2024, WEEKNUM(Table6[[#This Row],[Date]])-13, WEEKNUM(Table6[[#This Row],[Date]])+40)</f>
        <v>8</v>
      </c>
      <c r="C55" s="31" t="s">
        <v>52</v>
      </c>
      <c r="D55" s="295" t="s">
        <v>48</v>
      </c>
      <c r="E55" s="1">
        <v>594</v>
      </c>
      <c r="F55" s="1">
        <v>426</v>
      </c>
      <c r="G55" s="61">
        <f t="shared" si="37"/>
        <v>-8.3472454090150246E-3</v>
      </c>
      <c r="H55" s="61">
        <f t="shared" si="38"/>
        <v>-0.14285714285714285</v>
      </c>
      <c r="I55" s="1">
        <f t="shared" si="39"/>
        <v>13787</v>
      </c>
      <c r="J55" s="1">
        <f t="shared" si="40"/>
        <v>10074</v>
      </c>
      <c r="K55" s="1">
        <f>K54+Table9[[#This Row],[Calls Off]]</f>
        <v>26643</v>
      </c>
      <c r="L55" s="1">
        <f>L54+Table9[[#This Row],[Calls Ans]]</f>
        <v>21046</v>
      </c>
      <c r="M55" s="17">
        <v>0.31</v>
      </c>
      <c r="N55" s="17">
        <v>0.28000000000000003</v>
      </c>
      <c r="O55" s="17">
        <v>0.72</v>
      </c>
      <c r="P55" s="17">
        <v>0.68</v>
      </c>
      <c r="Q55" s="22">
        <v>1</v>
      </c>
      <c r="R55" s="285">
        <v>102</v>
      </c>
      <c r="S55" s="285">
        <v>0</v>
      </c>
      <c r="T55" s="111">
        <v>3</v>
      </c>
      <c r="U55" s="111" t="str">
        <f t="shared" si="0"/>
        <v>Normal</v>
      </c>
      <c r="V55" s="111" t="str">
        <f t="shared" si="1"/>
        <v>Normal</v>
      </c>
      <c r="W55" s="18">
        <f t="shared" si="2"/>
        <v>-8.3472454090150246E-3</v>
      </c>
      <c r="X55" s="18">
        <f t="shared" si="3"/>
        <v>-0.14285714285714285</v>
      </c>
    </row>
    <row r="56" spans="1:24">
      <c r="A56" s="29">
        <v>45437</v>
      </c>
      <c r="B56" s="393">
        <f>IF(YEAR(Table6[[#This Row],[Date]]) = 2024, WEEKNUM(Table6[[#This Row],[Date]])-13, WEEKNUM(Table6[[#This Row],[Date]])+40)</f>
        <v>8</v>
      </c>
      <c r="C56" s="31" t="s">
        <v>53</v>
      </c>
      <c r="D56" s="295" t="s">
        <v>48</v>
      </c>
      <c r="E56" s="1">
        <v>426</v>
      </c>
      <c r="F56" s="1">
        <v>334</v>
      </c>
      <c r="G56" s="61">
        <f t="shared" si="37"/>
        <v>-0.11983471074380166</v>
      </c>
      <c r="H56" s="61">
        <f t="shared" si="38"/>
        <v>-0.15869017632241814</v>
      </c>
      <c r="I56" s="1">
        <f t="shared" si="39"/>
        <v>14213</v>
      </c>
      <c r="J56" s="1">
        <f t="shared" si="40"/>
        <v>10408</v>
      </c>
      <c r="K56" s="1">
        <f>K55+Table9[[#This Row],[Calls Off]]</f>
        <v>27069</v>
      </c>
      <c r="L56" s="1">
        <f>L55+Table9[[#This Row],[Calls Ans]]</f>
        <v>21380</v>
      </c>
      <c r="M56" s="17">
        <v>0.59</v>
      </c>
      <c r="N56" s="17">
        <v>0.22</v>
      </c>
      <c r="O56" s="17">
        <v>0.78</v>
      </c>
      <c r="P56" s="17">
        <v>0.23</v>
      </c>
      <c r="Q56" s="22">
        <v>1</v>
      </c>
      <c r="R56" s="285">
        <v>152</v>
      </c>
      <c r="S56" s="285">
        <v>0</v>
      </c>
      <c r="T56" s="111">
        <v>3</v>
      </c>
      <c r="U56" s="111" t="str">
        <f t="shared" si="0"/>
        <v>Normal</v>
      </c>
      <c r="V56" s="111" t="str">
        <f t="shared" si="1"/>
        <v>Normal</v>
      </c>
      <c r="W56" s="18">
        <f t="shared" si="2"/>
        <v>-0.11983471074380166</v>
      </c>
      <c r="X56" s="18">
        <f t="shared" si="3"/>
        <v>-0.15869017632241814</v>
      </c>
    </row>
    <row r="57" spans="1:24">
      <c r="A57" s="29">
        <v>45438</v>
      </c>
      <c r="B57" s="393">
        <f>IF(YEAR(Table6[[#This Row],[Date]]) = 2024, WEEKNUM(Table6[[#This Row],[Date]])-13, WEEKNUM(Table6[[#This Row],[Date]])+40)</f>
        <v>9</v>
      </c>
      <c r="C57" s="31" t="s">
        <v>54</v>
      </c>
      <c r="D57" s="295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v>0</v>
      </c>
      <c r="L57" s="1">
        <v>0</v>
      </c>
      <c r="M57" s="17">
        <v>0</v>
      </c>
      <c r="N57" s="17">
        <v>0</v>
      </c>
      <c r="O57" s="17">
        <v>0</v>
      </c>
      <c r="P57" s="17">
        <v>0</v>
      </c>
      <c r="Q57" s="22">
        <v>0</v>
      </c>
      <c r="R57" s="285">
        <v>0</v>
      </c>
      <c r="S57" s="285">
        <v>0</v>
      </c>
      <c r="T57" s="111">
        <v>0</v>
      </c>
      <c r="U57" s="111" t="str">
        <f t="shared" si="0"/>
        <v>Normal</v>
      </c>
      <c r="V57" s="111" t="str">
        <f t="shared" si="1"/>
        <v>Normal</v>
      </c>
      <c r="W57" s="18">
        <f t="shared" si="2"/>
        <v>0</v>
      </c>
      <c r="X57" s="18">
        <f t="shared" si="3"/>
        <v>0</v>
      </c>
    </row>
    <row r="58" spans="1:24">
      <c r="A58" s="29">
        <v>45439</v>
      </c>
      <c r="B58" s="393">
        <f>IF(YEAR(Table6[[#This Row],[Date]]) = 2024, WEEKNUM(Table6[[#This Row],[Date]])-13, WEEKNUM(Table6[[#This Row],[Date]])+40)</f>
        <v>9</v>
      </c>
      <c r="C58" s="31" t="s">
        <v>55</v>
      </c>
      <c r="D58" s="295" t="s">
        <v>48</v>
      </c>
      <c r="E58" s="1">
        <v>0</v>
      </c>
      <c r="F58" s="1">
        <v>0</v>
      </c>
      <c r="G58" s="61">
        <v>0</v>
      </c>
      <c r="H58" s="61">
        <v>0</v>
      </c>
      <c r="I58" s="1">
        <v>0</v>
      </c>
      <c r="J58" s="1">
        <v>0</v>
      </c>
      <c r="K58" s="1">
        <v>0</v>
      </c>
      <c r="L58" s="1">
        <v>0</v>
      </c>
      <c r="M58" s="17">
        <v>0</v>
      </c>
      <c r="N58" s="17">
        <v>0</v>
      </c>
      <c r="O58" s="17">
        <v>0</v>
      </c>
      <c r="P58" s="17">
        <v>0</v>
      </c>
      <c r="Q58" s="22">
        <v>0</v>
      </c>
      <c r="R58" s="285">
        <v>0</v>
      </c>
      <c r="S58" s="285">
        <v>0</v>
      </c>
      <c r="T58" s="111">
        <v>0</v>
      </c>
      <c r="U58" s="111" t="str">
        <f t="shared" si="0"/>
        <v>Normal</v>
      </c>
      <c r="V58" s="111" t="str">
        <f t="shared" si="1"/>
        <v>Normal</v>
      </c>
      <c r="W58" s="18">
        <f t="shared" si="2"/>
        <v>0</v>
      </c>
      <c r="X58" s="18">
        <f t="shared" si="3"/>
        <v>0</v>
      </c>
    </row>
    <row r="59" spans="1:24">
      <c r="A59" s="29">
        <v>45440</v>
      </c>
      <c r="B59" s="393">
        <f>IF(YEAR(Table6[[#This Row],[Date]]) = 2024, WEEKNUM(Table6[[#This Row],[Date]])-13, WEEKNUM(Table6[[#This Row],[Date]])+40)</f>
        <v>9</v>
      </c>
      <c r="C59" s="31" t="s">
        <v>49</v>
      </c>
      <c r="D59" s="295" t="s">
        <v>48</v>
      </c>
      <c r="E59" s="1">
        <v>929</v>
      </c>
      <c r="F59" s="1">
        <v>649</v>
      </c>
      <c r="G59" s="61">
        <f t="shared" ref="G59:G60" si="41">(E59-E52)/E52</f>
        <v>0.31214689265536721</v>
      </c>
      <c r="H59" s="61">
        <f t="shared" ref="H59:H60" si="42">(F59-F52)/F52</f>
        <v>0.2361904761904762</v>
      </c>
      <c r="I59" s="1">
        <f>I56+E59</f>
        <v>15142</v>
      </c>
      <c r="J59" s="1">
        <f>J56+F59</f>
        <v>11057</v>
      </c>
      <c r="K59" s="1">
        <f>K56+Table9[[#This Row],[Calls Off]]</f>
        <v>27998</v>
      </c>
      <c r="L59" s="1">
        <f>L56+Table9[[#This Row],[Calls Ans]]</f>
        <v>22029</v>
      </c>
      <c r="M59" s="17">
        <v>0.34</v>
      </c>
      <c r="N59" s="17">
        <v>0.3</v>
      </c>
      <c r="O59" s="17">
        <v>0.7</v>
      </c>
      <c r="P59" s="17">
        <v>0.71</v>
      </c>
      <c r="Q59" s="22">
        <v>1</v>
      </c>
      <c r="R59" s="285">
        <v>83</v>
      </c>
      <c r="S59" s="285">
        <v>0</v>
      </c>
      <c r="T59" s="111">
        <v>4</v>
      </c>
      <c r="U59" s="111" t="str">
        <f t="shared" si="0"/>
        <v>Normal</v>
      </c>
      <c r="V59" s="111" t="str">
        <f t="shared" si="1"/>
        <v>Normal</v>
      </c>
      <c r="W59" s="18">
        <f t="shared" si="2"/>
        <v>0.31214689265536721</v>
      </c>
      <c r="X59" s="18">
        <f t="shared" si="3"/>
        <v>0.2361904761904762</v>
      </c>
    </row>
    <row r="60" spans="1:24">
      <c r="A60" s="29">
        <v>45441</v>
      </c>
      <c r="B60" s="393">
        <f>IF(YEAR(Table6[[#This Row],[Date]]) = 2024, WEEKNUM(Table6[[#This Row],[Date]])-13, WEEKNUM(Table6[[#This Row],[Date]])+40)</f>
        <v>9</v>
      </c>
      <c r="C60" s="31" t="s">
        <v>50</v>
      </c>
      <c r="D60" s="295" t="s">
        <v>48</v>
      </c>
      <c r="E60" s="1">
        <v>863</v>
      </c>
      <c r="F60" s="1">
        <v>513</v>
      </c>
      <c r="G60" s="61">
        <f t="shared" si="41"/>
        <v>0.31554878048780488</v>
      </c>
      <c r="H60" s="61">
        <f t="shared" si="42"/>
        <v>0.21563981042654029</v>
      </c>
      <c r="I60" s="1">
        <f t="shared" ref="I60" si="43">I59+E60</f>
        <v>16005</v>
      </c>
      <c r="J60" s="1">
        <f t="shared" ref="J60" si="44">J59+F60</f>
        <v>11570</v>
      </c>
      <c r="K60" s="1">
        <f>K59+Table9[[#This Row],[Calls Off]]</f>
        <v>28861</v>
      </c>
      <c r="L60" s="1">
        <f>L59+Table9[[#This Row],[Calls Ans]]</f>
        <v>22542</v>
      </c>
      <c r="M60" s="17">
        <v>0.19</v>
      </c>
      <c r="N60" s="17">
        <v>0.41</v>
      </c>
      <c r="O60" s="17">
        <v>0.59</v>
      </c>
      <c r="P60" s="17">
        <v>0.76</v>
      </c>
      <c r="Q60" s="22">
        <v>0.99</v>
      </c>
      <c r="R60" s="285">
        <v>86</v>
      </c>
      <c r="S60" s="285">
        <v>0</v>
      </c>
      <c r="T60" s="111">
        <v>3</v>
      </c>
      <c r="U60" s="111" t="str">
        <f t="shared" si="0"/>
        <v>Normal</v>
      </c>
      <c r="V60" s="111" t="str">
        <f t="shared" si="1"/>
        <v>Normal</v>
      </c>
      <c r="W60" s="18">
        <f t="shared" si="2"/>
        <v>0.31554878048780488</v>
      </c>
      <c r="X60" s="18">
        <f t="shared" si="3"/>
        <v>0.21563981042654029</v>
      </c>
    </row>
    <row r="61" spans="1:24">
      <c r="A61" s="29">
        <v>45442</v>
      </c>
      <c r="B61" s="393">
        <f>IF(YEAR(Table6[[#This Row],[Date]]) = 2024, WEEKNUM(Table6[[#This Row],[Date]])-13, WEEKNUM(Table6[[#This Row],[Date]])+40)</f>
        <v>9</v>
      </c>
      <c r="C61" s="31" t="s">
        <v>51</v>
      </c>
      <c r="D61" s="295" t="s">
        <v>48</v>
      </c>
      <c r="E61" s="1">
        <v>600</v>
      </c>
      <c r="F61" s="1">
        <v>382</v>
      </c>
      <c r="G61" s="61">
        <f t="shared" ref="G61:G62" si="45">(E61-E54)/E54</f>
        <v>-0.14772727272727273</v>
      </c>
      <c r="H61" s="61">
        <f t="shared" ref="H61:H62" si="46">(F61-F54)/F54</f>
        <v>-3.0456852791878174E-2</v>
      </c>
      <c r="I61" s="1">
        <f>I60+E61</f>
        <v>16605</v>
      </c>
      <c r="J61" s="1">
        <f>J60+F61</f>
        <v>11952</v>
      </c>
      <c r="K61" s="1">
        <f>K60+Table9[[#This Row],[Calls Off]]</f>
        <v>29461</v>
      </c>
      <c r="L61" s="1">
        <f>L60+Table9[[#This Row],[Calls Ans]]</f>
        <v>22924</v>
      </c>
      <c r="M61" s="17">
        <v>0.11</v>
      </c>
      <c r="N61" s="17">
        <v>0.36</v>
      </c>
      <c r="O61" s="17">
        <v>0.64</v>
      </c>
      <c r="P61" s="17">
        <v>0.74</v>
      </c>
      <c r="Q61" s="22">
        <v>1</v>
      </c>
      <c r="R61" s="285">
        <v>135</v>
      </c>
      <c r="S61" s="285">
        <v>0</v>
      </c>
      <c r="T61" s="111">
        <v>3</v>
      </c>
      <c r="U61" s="111" t="str">
        <f t="shared" si="0"/>
        <v>Normal</v>
      </c>
      <c r="V61" s="111" t="str">
        <f t="shared" si="1"/>
        <v>Normal</v>
      </c>
      <c r="W61" s="18">
        <f t="shared" si="2"/>
        <v>-0.14772727272727273</v>
      </c>
      <c r="X61" s="18">
        <f t="shared" si="3"/>
        <v>-3.0456852791878174E-2</v>
      </c>
    </row>
    <row r="62" spans="1:24" s="44" customFormat="1">
      <c r="A62" s="29">
        <v>45443</v>
      </c>
      <c r="B62" s="393">
        <f>IF(YEAR(Table6[[#This Row],[Date]]) = 2024, WEEKNUM(Table6[[#This Row],[Date]])-13, WEEKNUM(Table6[[#This Row],[Date]])+40)</f>
        <v>9</v>
      </c>
      <c r="C62" s="72" t="s">
        <v>52</v>
      </c>
      <c r="D62" s="295" t="s">
        <v>48</v>
      </c>
      <c r="E62" s="1">
        <v>660</v>
      </c>
      <c r="F62" s="1">
        <v>446</v>
      </c>
      <c r="G62" s="61">
        <f t="shared" si="45"/>
        <v>0.1111111111111111</v>
      </c>
      <c r="H62" s="61">
        <f t="shared" si="46"/>
        <v>4.6948356807511735E-2</v>
      </c>
      <c r="I62" s="1">
        <f t="shared" ref="I62" si="47">I61+E62</f>
        <v>17265</v>
      </c>
      <c r="J62" s="1">
        <f t="shared" ref="J62" si="48">J61+F62</f>
        <v>12398</v>
      </c>
      <c r="K62" s="1">
        <f>K61+Table9[[#This Row],[Calls Off]]</f>
        <v>30121</v>
      </c>
      <c r="L62" s="1">
        <f>L61+Table9[[#This Row],[Calls Ans]]</f>
        <v>23370</v>
      </c>
      <c r="M62" s="17">
        <v>0.74</v>
      </c>
      <c r="N62" s="17">
        <v>0.32</v>
      </c>
      <c r="O62" s="17">
        <v>0.68</v>
      </c>
      <c r="P62" s="17">
        <v>0.77</v>
      </c>
      <c r="Q62" s="22">
        <v>1</v>
      </c>
      <c r="R62" s="285">
        <v>142</v>
      </c>
      <c r="S62" s="285">
        <v>0</v>
      </c>
      <c r="T62" s="111">
        <v>3</v>
      </c>
      <c r="U62" s="111" t="str">
        <f t="shared" si="0"/>
        <v>Normal</v>
      </c>
      <c r="V62" s="111" t="str">
        <f t="shared" si="1"/>
        <v>Normal</v>
      </c>
      <c r="W62" s="18">
        <f t="shared" si="2"/>
        <v>0.1111111111111111</v>
      </c>
      <c r="X62" s="18">
        <f t="shared" si="3"/>
        <v>4.6948356807511735E-2</v>
      </c>
    </row>
    <row r="63" spans="1:24">
      <c r="A63" s="29">
        <v>45444</v>
      </c>
      <c r="B63" s="393">
        <f>IF(YEAR(Table6[[#This Row],[Date]]) = 2024, WEEKNUM(Table6[[#This Row],[Date]])-13, WEEKNUM(Table6[[#This Row],[Date]])+40)</f>
        <v>9</v>
      </c>
      <c r="C63" s="31" t="s">
        <v>53</v>
      </c>
      <c r="D63" s="295" t="s">
        <v>48</v>
      </c>
      <c r="E63" s="1">
        <v>335</v>
      </c>
      <c r="F63" s="1">
        <v>247</v>
      </c>
      <c r="G63" s="61">
        <f t="shared" ref="G63" si="49">(E63-E56)/E56</f>
        <v>-0.21361502347417841</v>
      </c>
      <c r="H63" s="61">
        <f t="shared" ref="H63" si="50">(F63-F56)/F56</f>
        <v>-0.26047904191616766</v>
      </c>
      <c r="I63" s="1">
        <f>Table9[[#This Row],[Calls Off]]</f>
        <v>335</v>
      </c>
      <c r="J63" s="1">
        <f>Table9[[#This Row],[Calls Ans]]</f>
        <v>247</v>
      </c>
      <c r="K63" s="1">
        <f>K62+Table9[[#This Row],[Calls Off]]</f>
        <v>30456</v>
      </c>
      <c r="L63" s="1">
        <f>L62+Table9[[#This Row],[Calls Ans]]</f>
        <v>23617</v>
      </c>
      <c r="M63" s="17">
        <v>0.56000000000000005</v>
      </c>
      <c r="N63" s="17">
        <v>0.26</v>
      </c>
      <c r="O63" s="17">
        <v>0.74</v>
      </c>
      <c r="P63" s="17">
        <v>0.5</v>
      </c>
      <c r="Q63" s="22">
        <v>0.99</v>
      </c>
      <c r="R63" s="285">
        <v>82</v>
      </c>
      <c r="S63" s="285">
        <v>0</v>
      </c>
      <c r="T63" s="111">
        <v>3</v>
      </c>
      <c r="U63" s="111" t="str">
        <f t="shared" si="0"/>
        <v>Normal</v>
      </c>
      <c r="V63" s="111" t="str">
        <f t="shared" si="1"/>
        <v>Normal</v>
      </c>
      <c r="W63" s="18">
        <f t="shared" si="2"/>
        <v>-0.21361502347417841</v>
      </c>
      <c r="X63" s="18">
        <f t="shared" si="3"/>
        <v>-0.26047904191616766</v>
      </c>
    </row>
    <row r="64" spans="1:24">
      <c r="A64" s="29">
        <v>45445</v>
      </c>
      <c r="B64" s="393">
        <f>IF(YEAR(Table6[[#This Row],[Date]]) = 2024, WEEKNUM(Table6[[#This Row],[Date]])-13, WEEKNUM(Table6[[#This Row],[Date]])+40)</f>
        <v>10</v>
      </c>
      <c r="C64" s="31" t="s">
        <v>54</v>
      </c>
      <c r="D64" s="295" t="s">
        <v>48</v>
      </c>
      <c r="E64" s="1">
        <v>0</v>
      </c>
      <c r="F64" s="1">
        <v>0</v>
      </c>
      <c r="G64" s="61">
        <v>0</v>
      </c>
      <c r="H64" s="61">
        <v>0</v>
      </c>
      <c r="I64" s="1">
        <v>0</v>
      </c>
      <c r="J64" s="1">
        <v>0</v>
      </c>
      <c r="K64" s="1">
        <v>0</v>
      </c>
      <c r="L64" s="1">
        <v>0</v>
      </c>
      <c r="M64" s="17">
        <v>0</v>
      </c>
      <c r="N64" s="17">
        <v>0</v>
      </c>
      <c r="O64" s="17">
        <v>0</v>
      </c>
      <c r="P64" s="17">
        <v>0</v>
      </c>
      <c r="Q64" s="22">
        <v>0</v>
      </c>
      <c r="R64" s="285">
        <v>0</v>
      </c>
      <c r="S64" s="285">
        <v>0</v>
      </c>
      <c r="T64" s="111">
        <v>0</v>
      </c>
      <c r="U64" s="111" t="str">
        <f t="shared" si="0"/>
        <v>Normal</v>
      </c>
      <c r="V64" s="111" t="str">
        <f t="shared" si="1"/>
        <v>Normal</v>
      </c>
      <c r="W64" s="18">
        <f t="shared" si="2"/>
        <v>0</v>
      </c>
      <c r="X64" s="18">
        <f t="shared" si="3"/>
        <v>0</v>
      </c>
    </row>
    <row r="65" spans="1:24">
      <c r="A65" s="29">
        <v>45446</v>
      </c>
      <c r="B65" s="393">
        <f>IF(YEAR(Table6[[#This Row],[Date]]) = 2024, WEEKNUM(Table6[[#This Row],[Date]])-13, WEEKNUM(Table6[[#This Row],[Date]])+40)</f>
        <v>10</v>
      </c>
      <c r="C65" s="31" t="s">
        <v>55</v>
      </c>
      <c r="D65" s="295" t="s">
        <v>48</v>
      </c>
      <c r="E65" s="1">
        <v>719</v>
      </c>
      <c r="F65" s="1">
        <v>548</v>
      </c>
      <c r="G65" s="61">
        <v>0</v>
      </c>
      <c r="H65" s="61">
        <v>0</v>
      </c>
      <c r="I65" s="1">
        <f>I63+E65</f>
        <v>1054</v>
      </c>
      <c r="J65" s="1">
        <f>J63+F65</f>
        <v>795</v>
      </c>
      <c r="K65" s="1">
        <f>K63+Table9[[#This Row],[Calls Off]]</f>
        <v>31175</v>
      </c>
      <c r="L65" s="1">
        <f>L63+Table9[[#This Row],[Calls Ans]]</f>
        <v>24165</v>
      </c>
      <c r="M65" s="17">
        <v>0.43</v>
      </c>
      <c r="N65" s="17">
        <v>0.24</v>
      </c>
      <c r="O65" s="17">
        <v>0.76</v>
      </c>
      <c r="P65" s="17">
        <v>0.73</v>
      </c>
      <c r="Q65" s="22">
        <v>0.99</v>
      </c>
      <c r="R65" s="285">
        <v>155</v>
      </c>
      <c r="S65" s="285">
        <v>0</v>
      </c>
      <c r="T65" s="111">
        <v>3</v>
      </c>
      <c r="U65" s="111" t="str">
        <f t="shared" si="0"/>
        <v>Normal</v>
      </c>
      <c r="V65" s="111" t="str">
        <f t="shared" si="1"/>
        <v>Normal</v>
      </c>
      <c r="W65" s="18">
        <f t="shared" si="2"/>
        <v>0</v>
      </c>
      <c r="X65" s="18">
        <f t="shared" si="3"/>
        <v>0</v>
      </c>
    </row>
    <row r="66" spans="1:24">
      <c r="A66" s="29">
        <v>45447</v>
      </c>
      <c r="B66" s="393">
        <f>IF(YEAR(Table6[[#This Row],[Date]]) = 2024, WEEKNUM(Table6[[#This Row],[Date]])-13, WEEKNUM(Table6[[#This Row],[Date]])+40)</f>
        <v>10</v>
      </c>
      <c r="C66" s="31" t="s">
        <v>49</v>
      </c>
      <c r="D66" s="295" t="s">
        <v>48</v>
      </c>
      <c r="E66" s="1">
        <v>705</v>
      </c>
      <c r="F66" s="1">
        <v>510</v>
      </c>
      <c r="G66" s="61">
        <f t="shared" ref="G66:G70" si="51">(E66-E59)/E59</f>
        <v>-0.2411194833153929</v>
      </c>
      <c r="H66" s="61">
        <f t="shared" ref="H66:H70" si="52">(F66-F59)/F59</f>
        <v>-0.21417565485362094</v>
      </c>
      <c r="I66" s="1">
        <f>I65+E66</f>
        <v>1759</v>
      </c>
      <c r="J66" s="1">
        <f>J65+F66</f>
        <v>1305</v>
      </c>
      <c r="K66" s="1">
        <f>K65+Table9[[#This Row],[Calls Off]]</f>
        <v>31880</v>
      </c>
      <c r="L66" s="1">
        <f>L65+Table9[[#This Row],[Calls Ans]]</f>
        <v>24675</v>
      </c>
      <c r="M66" s="17">
        <v>0.56999999999999995</v>
      </c>
      <c r="N66" s="17">
        <v>0.28000000000000003</v>
      </c>
      <c r="O66" s="17">
        <v>0.72</v>
      </c>
      <c r="P66" s="17">
        <v>0.67</v>
      </c>
      <c r="Q66" s="22">
        <v>0.99</v>
      </c>
      <c r="R66" s="285">
        <v>154</v>
      </c>
      <c r="S66" s="285">
        <v>0</v>
      </c>
      <c r="T66" s="111">
        <v>4</v>
      </c>
      <c r="U66" s="111" t="str">
        <f t="shared" si="0"/>
        <v>Normal</v>
      </c>
      <c r="V66" s="111" t="str">
        <f t="shared" si="1"/>
        <v>Normal</v>
      </c>
      <c r="W66" s="18">
        <f t="shared" si="2"/>
        <v>-0.2411194833153929</v>
      </c>
      <c r="X66" s="18">
        <f t="shared" si="3"/>
        <v>-0.21417565485362094</v>
      </c>
    </row>
    <row r="67" spans="1:24">
      <c r="A67" s="29">
        <v>45448</v>
      </c>
      <c r="B67" s="393">
        <f>IF(YEAR(Table6[[#This Row],[Date]]) = 2024, WEEKNUM(Table6[[#This Row],[Date]])-13, WEEKNUM(Table6[[#This Row],[Date]])+40)</f>
        <v>10</v>
      </c>
      <c r="C67" s="31" t="s">
        <v>50</v>
      </c>
      <c r="D67" s="295" t="s">
        <v>48</v>
      </c>
      <c r="E67" s="1">
        <v>698</v>
      </c>
      <c r="F67" s="1">
        <v>547</v>
      </c>
      <c r="G67" s="61">
        <f t="shared" si="51"/>
        <v>-0.19119351100811124</v>
      </c>
      <c r="H67" s="61">
        <f t="shared" si="52"/>
        <v>6.6276803118908378E-2</v>
      </c>
      <c r="I67" s="1">
        <f t="shared" ref="I67:I68" si="53">I66+E67</f>
        <v>2457</v>
      </c>
      <c r="J67" s="1">
        <f t="shared" ref="J67:J68" si="54">J66+F67</f>
        <v>1852</v>
      </c>
      <c r="K67" s="1">
        <f>K66+Table9[[#This Row],[Calls Off]]</f>
        <v>32578</v>
      </c>
      <c r="L67" s="1">
        <f>L66+Table9[[#This Row],[Calls Ans]]</f>
        <v>25222</v>
      </c>
      <c r="M67" s="17">
        <v>0.64</v>
      </c>
      <c r="N67" s="17">
        <v>0.22</v>
      </c>
      <c r="O67" s="17">
        <v>0.78</v>
      </c>
      <c r="P67" s="17">
        <v>0.59</v>
      </c>
      <c r="Q67" s="22">
        <v>0.99</v>
      </c>
      <c r="R67" s="285">
        <v>110</v>
      </c>
      <c r="S67" s="285">
        <v>0</v>
      </c>
      <c r="T67" s="111">
        <v>4</v>
      </c>
      <c r="U67" s="111" t="str">
        <f t="shared" ref="U67:U130" si="55">IF(OR(G67&lt;$AC$5,G67&gt;$AD$5), "Outlier", "Normal")</f>
        <v>Normal</v>
      </c>
      <c r="V67" s="111" t="str">
        <f t="shared" ref="V67:V130" si="56">IF(OR(H67&lt;$AC$6,H67&gt;$AD$6), "Outlier", "Normal")</f>
        <v>Normal</v>
      </c>
      <c r="W67" s="18">
        <f t="shared" ref="W67:W130" si="57">IF(U67="Normal",$G67,IF($G67&lt;150%, $G67, $AC$9))</f>
        <v>-0.19119351100811124</v>
      </c>
      <c r="X67" s="18">
        <f t="shared" ref="X67:X130" si="58">IF(V67="Normal",$H67,IF($H67&lt;150%, $H67, $AG$9))</f>
        <v>6.6276803118908378E-2</v>
      </c>
    </row>
    <row r="68" spans="1:24">
      <c r="A68" s="29">
        <v>45449</v>
      </c>
      <c r="B68" s="393">
        <f>IF(YEAR(Table6[[#This Row],[Date]]) = 2024, WEEKNUM(Table6[[#This Row],[Date]])-13, WEEKNUM(Table6[[#This Row],[Date]])+40)</f>
        <v>10</v>
      </c>
      <c r="C68" s="31" t="s">
        <v>51</v>
      </c>
      <c r="D68" s="295" t="s">
        <v>48</v>
      </c>
      <c r="E68" s="1">
        <v>707</v>
      </c>
      <c r="F68" s="1">
        <v>551</v>
      </c>
      <c r="G68" s="61">
        <f t="shared" si="51"/>
        <v>0.17833333333333334</v>
      </c>
      <c r="H68" s="61">
        <f t="shared" si="52"/>
        <v>0.44240837696335078</v>
      </c>
      <c r="I68" s="1">
        <f t="shared" si="53"/>
        <v>3164</v>
      </c>
      <c r="J68" s="1">
        <f t="shared" si="54"/>
        <v>2403</v>
      </c>
      <c r="K68" s="1">
        <f>K67+Table9[[#This Row],[Calls Off]]</f>
        <v>33285</v>
      </c>
      <c r="L68" s="1">
        <f>L67+Table9[[#This Row],[Calls Ans]]</f>
        <v>25773</v>
      </c>
      <c r="M68" s="17">
        <v>0.42</v>
      </c>
      <c r="N68" s="17">
        <v>0.22</v>
      </c>
      <c r="O68" s="17">
        <v>0.78</v>
      </c>
      <c r="P68" s="17">
        <v>0.31</v>
      </c>
      <c r="Q68" s="22">
        <v>0.99</v>
      </c>
      <c r="R68" s="285">
        <v>80</v>
      </c>
      <c r="S68" s="285">
        <v>0</v>
      </c>
      <c r="T68" s="111">
        <v>4</v>
      </c>
      <c r="U68" s="111" t="str">
        <f t="shared" si="55"/>
        <v>Normal</v>
      </c>
      <c r="V68" s="111" t="str">
        <f t="shared" si="56"/>
        <v>Outlier</v>
      </c>
      <c r="W68" s="18">
        <f t="shared" si="57"/>
        <v>0.17833333333333334</v>
      </c>
      <c r="X68" s="18">
        <f t="shared" si="58"/>
        <v>0.44240837696335078</v>
      </c>
    </row>
    <row r="69" spans="1:24">
      <c r="A69" s="29">
        <v>45450</v>
      </c>
      <c r="B69" s="393">
        <f>IF(YEAR(Table6[[#This Row],[Date]]) = 2024, WEEKNUM(Table6[[#This Row],[Date]])-13, WEEKNUM(Table6[[#This Row],[Date]])+40)</f>
        <v>10</v>
      </c>
      <c r="C69" s="31" t="s">
        <v>52</v>
      </c>
      <c r="D69" s="295" t="s">
        <v>48</v>
      </c>
      <c r="E69" s="1">
        <v>574</v>
      </c>
      <c r="F69" s="1">
        <v>455</v>
      </c>
      <c r="G69" s="61">
        <f t="shared" si="51"/>
        <v>-0.13030303030303031</v>
      </c>
      <c r="H69" s="61">
        <f t="shared" si="52"/>
        <v>2.0179372197309416E-2</v>
      </c>
      <c r="I69" s="1">
        <f>I66+E69</f>
        <v>2333</v>
      </c>
      <c r="J69" s="1">
        <f>J66+F69</f>
        <v>1760</v>
      </c>
      <c r="K69" s="1">
        <f>K68+Table9[[#This Row],[Calls Off]]</f>
        <v>33859</v>
      </c>
      <c r="L69" s="1">
        <f>L68+Table9[[#This Row],[Calls Ans]]</f>
        <v>26228</v>
      </c>
      <c r="M69" s="17">
        <v>0.69</v>
      </c>
      <c r="N69" s="17">
        <v>0.21</v>
      </c>
      <c r="O69" s="17">
        <v>0.79</v>
      </c>
      <c r="P69" s="17">
        <v>0.6</v>
      </c>
      <c r="Q69" s="22">
        <v>1</v>
      </c>
      <c r="R69" s="285">
        <v>111</v>
      </c>
      <c r="S69" s="285">
        <v>0</v>
      </c>
      <c r="T69" s="111">
        <v>4</v>
      </c>
      <c r="U69" s="111" t="str">
        <f t="shared" si="55"/>
        <v>Normal</v>
      </c>
      <c r="V69" s="111" t="str">
        <f t="shared" si="56"/>
        <v>Normal</v>
      </c>
      <c r="W69" s="18">
        <f t="shared" si="57"/>
        <v>-0.13030303030303031</v>
      </c>
      <c r="X69" s="18">
        <f t="shared" si="58"/>
        <v>2.0179372197309416E-2</v>
      </c>
    </row>
    <row r="70" spans="1:24">
      <c r="A70" s="29">
        <v>45451</v>
      </c>
      <c r="B70" s="393">
        <f>IF(YEAR(Table6[[#This Row],[Date]]) = 2024, WEEKNUM(Table6[[#This Row],[Date]])-13, WEEKNUM(Table6[[#This Row],[Date]])+40)</f>
        <v>10</v>
      </c>
      <c r="C70" s="31" t="s">
        <v>53</v>
      </c>
      <c r="D70" s="295" t="s">
        <v>48</v>
      </c>
      <c r="E70" s="1">
        <v>392</v>
      </c>
      <c r="F70" s="1">
        <v>354</v>
      </c>
      <c r="G70" s="61">
        <f t="shared" si="51"/>
        <v>0.17014925373134329</v>
      </c>
      <c r="H70" s="61">
        <f t="shared" si="52"/>
        <v>0.4331983805668016</v>
      </c>
      <c r="I70" s="1">
        <f t="shared" ref="I70" si="59">I69+E70</f>
        <v>2725</v>
      </c>
      <c r="J70" s="1">
        <f t="shared" ref="J70" si="60">J69+F70</f>
        <v>2114</v>
      </c>
      <c r="K70" s="1">
        <f>K69+Table9[[#This Row],[Calls Off]]</f>
        <v>34251</v>
      </c>
      <c r="L70" s="1">
        <f>L69+Table9[[#This Row],[Calls Ans]]</f>
        <v>26582</v>
      </c>
      <c r="M70" s="17">
        <v>0.95</v>
      </c>
      <c r="N70" s="17">
        <v>0.1</v>
      </c>
      <c r="O70" s="17">
        <v>0.9</v>
      </c>
      <c r="P70" s="17">
        <v>0.5</v>
      </c>
      <c r="Q70" s="22">
        <v>1</v>
      </c>
      <c r="R70" s="285">
        <v>115</v>
      </c>
      <c r="S70" s="285">
        <v>0</v>
      </c>
      <c r="T70" s="111">
        <v>4</v>
      </c>
      <c r="U70" s="111" t="str">
        <f t="shared" si="55"/>
        <v>Normal</v>
      </c>
      <c r="V70" s="111" t="str">
        <f t="shared" si="56"/>
        <v>Outlier</v>
      </c>
      <c r="W70" s="18">
        <f t="shared" si="57"/>
        <v>0.17014925373134329</v>
      </c>
      <c r="X70" s="18">
        <f t="shared" si="58"/>
        <v>0.4331983805668016</v>
      </c>
    </row>
    <row r="71" spans="1:24">
      <c r="A71" s="29">
        <v>45452</v>
      </c>
      <c r="B71" s="393">
        <f>IF(YEAR(Table6[[#This Row],[Date]]) = 2024, WEEKNUM(Table6[[#This Row],[Date]])-13, WEEKNUM(Table6[[#This Row],[Date]])+40)</f>
        <v>11</v>
      </c>
      <c r="C71" s="31" t="s">
        <v>54</v>
      </c>
      <c r="D71" s="295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v>0</v>
      </c>
      <c r="L71" s="1">
        <v>0</v>
      </c>
      <c r="M71" s="17">
        <v>0</v>
      </c>
      <c r="N71" s="17">
        <v>0</v>
      </c>
      <c r="O71" s="17">
        <v>0</v>
      </c>
      <c r="P71" s="17">
        <v>0</v>
      </c>
      <c r="Q71" s="22">
        <v>0</v>
      </c>
      <c r="R71" s="285">
        <v>0</v>
      </c>
      <c r="S71" s="285">
        <v>0</v>
      </c>
      <c r="T71" s="111">
        <v>0</v>
      </c>
      <c r="U71" s="111" t="str">
        <f t="shared" si="55"/>
        <v>Normal</v>
      </c>
      <c r="V71" s="111" t="str">
        <f t="shared" si="56"/>
        <v>Normal</v>
      </c>
      <c r="W71" s="18">
        <f t="shared" si="57"/>
        <v>0</v>
      </c>
      <c r="X71" s="18">
        <f t="shared" si="58"/>
        <v>0</v>
      </c>
    </row>
    <row r="72" spans="1:24">
      <c r="A72" s="29">
        <v>45453</v>
      </c>
      <c r="B72" s="393">
        <f>IF(YEAR(Table6[[#This Row],[Date]]) = 2024, WEEKNUM(Table6[[#This Row],[Date]])-13, WEEKNUM(Table6[[#This Row],[Date]])+40)</f>
        <v>11</v>
      </c>
      <c r="C72" s="31" t="s">
        <v>55</v>
      </c>
      <c r="D72" s="295" t="s">
        <v>48</v>
      </c>
      <c r="E72" s="1">
        <v>554</v>
      </c>
      <c r="F72" s="1">
        <v>500</v>
      </c>
      <c r="G72" s="61">
        <f>(E72-E65)/E65</f>
        <v>-0.22948539638386647</v>
      </c>
      <c r="H72" s="61">
        <f>(F72-F65)/F65</f>
        <v>-8.7591240875912413E-2</v>
      </c>
      <c r="I72" s="1">
        <f>I70+E72</f>
        <v>3279</v>
      </c>
      <c r="J72" s="1">
        <f>J70+F72</f>
        <v>2614</v>
      </c>
      <c r="K72" s="1">
        <f>K70+Table9[[#This Row],[Calls Off]]</f>
        <v>34805</v>
      </c>
      <c r="L72" s="1">
        <f>L70+Table9[[#This Row],[Calls Ans]]</f>
        <v>27082</v>
      </c>
      <c r="M72" s="17">
        <v>0.67</v>
      </c>
      <c r="N72" s="17">
        <v>0.1</v>
      </c>
      <c r="O72" s="17">
        <v>0.9</v>
      </c>
      <c r="P72" s="17">
        <v>0.6</v>
      </c>
      <c r="Q72" s="22">
        <v>0.99</v>
      </c>
      <c r="R72" s="285">
        <v>97</v>
      </c>
      <c r="S72" s="285">
        <v>0</v>
      </c>
      <c r="T72" s="111">
        <v>5</v>
      </c>
      <c r="U72" s="111" t="str">
        <f t="shared" si="55"/>
        <v>Normal</v>
      </c>
      <c r="V72" s="111" t="str">
        <f t="shared" si="56"/>
        <v>Normal</v>
      </c>
      <c r="W72" s="18">
        <f t="shared" si="57"/>
        <v>-0.22948539638386647</v>
      </c>
      <c r="X72" s="18">
        <f t="shared" si="58"/>
        <v>-8.7591240875912413E-2</v>
      </c>
    </row>
    <row r="73" spans="1:24">
      <c r="A73" s="29">
        <v>45454</v>
      </c>
      <c r="B73" s="393">
        <f>IF(YEAR(Table6[[#This Row],[Date]]) = 2024, WEEKNUM(Table6[[#This Row],[Date]])-13, WEEKNUM(Table6[[#This Row],[Date]])+40)</f>
        <v>11</v>
      </c>
      <c r="C73" s="31" t="s">
        <v>49</v>
      </c>
      <c r="D73" s="295" t="s">
        <v>48</v>
      </c>
      <c r="E73" s="1">
        <v>530</v>
      </c>
      <c r="F73" s="1">
        <v>442</v>
      </c>
      <c r="G73" s="61">
        <f t="shared" ref="G73:G77" si="61">(E73-E66)/E66</f>
        <v>-0.24822695035460993</v>
      </c>
      <c r="H73" s="61">
        <f t="shared" ref="H73:H77" si="62">(F73-F66)/F66</f>
        <v>-0.13333333333333333</v>
      </c>
      <c r="I73" s="1">
        <f>I72+E73</f>
        <v>3809</v>
      </c>
      <c r="J73" s="1">
        <f>J72+F73</f>
        <v>3056</v>
      </c>
      <c r="K73" s="1">
        <f>K72+Table9[[#This Row],[Calls Off]]</f>
        <v>35335</v>
      </c>
      <c r="L73" s="1">
        <f>L72+Table9[[#This Row],[Calls Ans]]</f>
        <v>27524</v>
      </c>
      <c r="M73" s="17">
        <v>0.34</v>
      </c>
      <c r="N73" s="17">
        <v>0.17</v>
      </c>
      <c r="O73" s="17">
        <v>0.83</v>
      </c>
      <c r="P73" s="17">
        <v>0.68</v>
      </c>
      <c r="Q73" s="22">
        <v>0.99</v>
      </c>
      <c r="R73" s="285">
        <v>132</v>
      </c>
      <c r="S73" s="285">
        <v>0</v>
      </c>
      <c r="T73" s="111">
        <v>4</v>
      </c>
      <c r="U73" s="111" t="str">
        <f t="shared" si="55"/>
        <v>Normal</v>
      </c>
      <c r="V73" s="111" t="str">
        <f t="shared" si="56"/>
        <v>Normal</v>
      </c>
      <c r="W73" s="18">
        <f t="shared" si="57"/>
        <v>-0.24822695035460993</v>
      </c>
      <c r="X73" s="18">
        <f t="shared" si="58"/>
        <v>-0.13333333333333333</v>
      </c>
    </row>
    <row r="74" spans="1:24">
      <c r="A74" s="29">
        <v>45455</v>
      </c>
      <c r="B74" s="393">
        <f>IF(YEAR(Table6[[#This Row],[Date]]) = 2024, WEEKNUM(Table6[[#This Row],[Date]])-13, WEEKNUM(Table6[[#This Row],[Date]])+40)</f>
        <v>11</v>
      </c>
      <c r="C74" s="31" t="s">
        <v>50</v>
      </c>
      <c r="D74" s="295" t="s">
        <v>48</v>
      </c>
      <c r="E74" s="1">
        <v>538</v>
      </c>
      <c r="F74" s="1">
        <v>497</v>
      </c>
      <c r="G74" s="61">
        <f t="shared" si="61"/>
        <v>-0.22922636103151864</v>
      </c>
      <c r="H74" s="61">
        <f t="shared" si="62"/>
        <v>-9.1407678244972576E-2</v>
      </c>
      <c r="I74" s="1">
        <f t="shared" ref="I74:I77" si="63">I73+E74</f>
        <v>4347</v>
      </c>
      <c r="J74" s="1">
        <f t="shared" ref="J74:J77" si="64">J73+F74</f>
        <v>3553</v>
      </c>
      <c r="K74" s="1">
        <f>K73+Table9[[#This Row],[Calls Off]]</f>
        <v>35873</v>
      </c>
      <c r="L74" s="1">
        <f>L73+Table9[[#This Row],[Calls Ans]]</f>
        <v>28021</v>
      </c>
      <c r="M74" s="17">
        <v>0.97</v>
      </c>
      <c r="N74" s="17">
        <v>0.08</v>
      </c>
      <c r="O74" s="17">
        <v>0.94</v>
      </c>
      <c r="P74" s="17">
        <v>0.57999999999999996</v>
      </c>
      <c r="Q74" s="22">
        <v>0.99</v>
      </c>
      <c r="R74" s="285">
        <v>83</v>
      </c>
      <c r="S74" s="285">
        <v>0</v>
      </c>
      <c r="T74" s="111">
        <v>4</v>
      </c>
      <c r="U74" s="111" t="str">
        <f t="shared" si="55"/>
        <v>Normal</v>
      </c>
      <c r="V74" s="111" t="str">
        <f t="shared" si="56"/>
        <v>Normal</v>
      </c>
      <c r="W74" s="18">
        <f t="shared" si="57"/>
        <v>-0.22922636103151864</v>
      </c>
      <c r="X74" s="18">
        <f t="shared" si="58"/>
        <v>-9.1407678244972576E-2</v>
      </c>
    </row>
    <row r="75" spans="1:24">
      <c r="A75" s="29">
        <v>45456</v>
      </c>
      <c r="B75" s="393">
        <f>IF(YEAR(Table6[[#This Row],[Date]]) = 2024, WEEKNUM(Table6[[#This Row],[Date]])-13, WEEKNUM(Table6[[#This Row],[Date]])+40)</f>
        <v>11</v>
      </c>
      <c r="C75" s="31" t="s">
        <v>51</v>
      </c>
      <c r="D75" s="295" t="s">
        <v>48</v>
      </c>
      <c r="E75" s="1">
        <v>529</v>
      </c>
      <c r="F75" s="1">
        <v>443</v>
      </c>
      <c r="G75" s="61">
        <f t="shared" si="61"/>
        <v>-0.25176803394625175</v>
      </c>
      <c r="H75" s="61">
        <f t="shared" si="62"/>
        <v>-0.19600725952813067</v>
      </c>
      <c r="I75" s="1">
        <f t="shared" si="63"/>
        <v>4876</v>
      </c>
      <c r="J75" s="1">
        <f t="shared" si="64"/>
        <v>3996</v>
      </c>
      <c r="K75" s="1">
        <f>K74+Table9[[#This Row],[Calls Off]]</f>
        <v>36402</v>
      </c>
      <c r="L75" s="1">
        <f>L74+Table9[[#This Row],[Calls Ans]]</f>
        <v>28464</v>
      </c>
      <c r="M75" s="17">
        <v>0.62</v>
      </c>
      <c r="N75" s="17">
        <v>0.16</v>
      </c>
      <c r="O75" s="17">
        <v>0.84</v>
      </c>
      <c r="P75" s="17">
        <v>0.65</v>
      </c>
      <c r="Q75" s="22">
        <v>1</v>
      </c>
      <c r="R75" s="285">
        <v>103</v>
      </c>
      <c r="S75" s="285">
        <v>0</v>
      </c>
      <c r="T75" s="111">
        <v>4</v>
      </c>
      <c r="U75" s="111" t="str">
        <f t="shared" si="55"/>
        <v>Normal</v>
      </c>
      <c r="V75" s="111" t="str">
        <f t="shared" si="56"/>
        <v>Normal</v>
      </c>
      <c r="W75" s="18">
        <f t="shared" si="57"/>
        <v>-0.25176803394625175</v>
      </c>
      <c r="X75" s="18">
        <f t="shared" si="58"/>
        <v>-0.19600725952813067</v>
      </c>
    </row>
    <row r="76" spans="1:24">
      <c r="A76" s="29">
        <v>45457</v>
      </c>
      <c r="B76" s="393">
        <f>IF(YEAR(Table6[[#This Row],[Date]]) = 2024, WEEKNUM(Table6[[#This Row],[Date]])-13, WEEKNUM(Table6[[#This Row],[Date]])+40)</f>
        <v>11</v>
      </c>
      <c r="C76" s="31" t="s">
        <v>52</v>
      </c>
      <c r="D76" s="295" t="s">
        <v>48</v>
      </c>
      <c r="E76" s="1">
        <v>653</v>
      </c>
      <c r="F76" s="1">
        <v>527</v>
      </c>
      <c r="G76" s="61">
        <f t="shared" si="61"/>
        <v>0.13763066202090593</v>
      </c>
      <c r="H76" s="61">
        <f t="shared" si="62"/>
        <v>0.15824175824175823</v>
      </c>
      <c r="I76" s="1">
        <f t="shared" si="63"/>
        <v>5529</v>
      </c>
      <c r="J76" s="1">
        <f t="shared" si="64"/>
        <v>4523</v>
      </c>
      <c r="K76" s="1">
        <f>K75+Table9[[#This Row],[Calls Off]]</f>
        <v>37055</v>
      </c>
      <c r="L76" s="1">
        <f>L75+Table9[[#This Row],[Calls Ans]]</f>
        <v>28991</v>
      </c>
      <c r="M76" s="17">
        <v>0.45</v>
      </c>
      <c r="N76" s="17">
        <v>0.19</v>
      </c>
      <c r="O76" s="17">
        <v>0.81</v>
      </c>
      <c r="P76" s="17">
        <v>0.67</v>
      </c>
      <c r="Q76" s="22">
        <v>0.99</v>
      </c>
      <c r="R76" s="285">
        <v>121</v>
      </c>
      <c r="S76" s="285">
        <v>0</v>
      </c>
      <c r="T76" s="111">
        <v>4</v>
      </c>
      <c r="U76" s="111" t="str">
        <f t="shared" si="55"/>
        <v>Normal</v>
      </c>
      <c r="V76" s="111" t="str">
        <f t="shared" si="56"/>
        <v>Normal</v>
      </c>
      <c r="W76" s="18">
        <f t="shared" si="57"/>
        <v>0.13763066202090593</v>
      </c>
      <c r="X76" s="18">
        <f t="shared" si="58"/>
        <v>0.15824175824175823</v>
      </c>
    </row>
    <row r="77" spans="1:24">
      <c r="A77" s="29">
        <v>45458</v>
      </c>
      <c r="B77" s="393">
        <f>IF(YEAR(Table6[[#This Row],[Date]]) = 2024, WEEKNUM(Table6[[#This Row],[Date]])-13, WEEKNUM(Table6[[#This Row],[Date]])+40)</f>
        <v>11</v>
      </c>
      <c r="C77" s="31" t="s">
        <v>53</v>
      </c>
      <c r="D77" s="295" t="s">
        <v>48</v>
      </c>
      <c r="E77" s="1">
        <v>478</v>
      </c>
      <c r="F77" s="1">
        <v>418</v>
      </c>
      <c r="G77" s="61">
        <f t="shared" si="61"/>
        <v>0.21938775510204081</v>
      </c>
      <c r="H77" s="61">
        <f t="shared" si="62"/>
        <v>0.1807909604519774</v>
      </c>
      <c r="I77" s="1">
        <f t="shared" si="63"/>
        <v>6007</v>
      </c>
      <c r="J77" s="1">
        <f t="shared" si="64"/>
        <v>4941</v>
      </c>
      <c r="K77" s="1">
        <f>K76+Table9[[#This Row],[Calls Off]]</f>
        <v>37533</v>
      </c>
      <c r="L77" s="1">
        <f>L76+Table9[[#This Row],[Calls Ans]]</f>
        <v>29409</v>
      </c>
      <c r="M77" s="17">
        <v>0.73</v>
      </c>
      <c r="N77" s="17">
        <v>0.13</v>
      </c>
      <c r="O77" s="17">
        <v>0.87</v>
      </c>
      <c r="P77" s="17">
        <v>0.56000000000000005</v>
      </c>
      <c r="Q77" s="22">
        <v>0.99</v>
      </c>
      <c r="R77" s="285">
        <v>102</v>
      </c>
      <c r="S77" s="285">
        <v>0</v>
      </c>
      <c r="T77" s="111">
        <v>4</v>
      </c>
      <c r="U77" s="111" t="str">
        <f t="shared" si="55"/>
        <v>Normal</v>
      </c>
      <c r="V77" s="111" t="str">
        <f t="shared" si="56"/>
        <v>Normal</v>
      </c>
      <c r="W77" s="18">
        <f t="shared" si="57"/>
        <v>0.21938775510204081</v>
      </c>
      <c r="X77" s="18">
        <f t="shared" si="58"/>
        <v>0.1807909604519774</v>
      </c>
    </row>
    <row r="78" spans="1:24">
      <c r="A78" s="29">
        <v>45459</v>
      </c>
      <c r="B78" s="393">
        <f>IF(YEAR(Table6[[#This Row],[Date]]) = 2024, WEEKNUM(Table6[[#This Row],[Date]])-13, WEEKNUM(Table6[[#This Row],[Date]])+40)</f>
        <v>12</v>
      </c>
      <c r="C78" s="31" t="s">
        <v>54</v>
      </c>
      <c r="D78" s="295" t="s">
        <v>48</v>
      </c>
      <c r="E78" s="1">
        <v>0</v>
      </c>
      <c r="F78" s="1">
        <v>0</v>
      </c>
      <c r="G78" s="61">
        <v>0</v>
      </c>
      <c r="H78" s="61">
        <v>0</v>
      </c>
      <c r="I78" s="1">
        <v>0</v>
      </c>
      <c r="J78" s="1">
        <v>0</v>
      </c>
      <c r="K78" s="1">
        <v>0</v>
      </c>
      <c r="L78" s="1">
        <v>0</v>
      </c>
      <c r="M78" s="17">
        <v>0</v>
      </c>
      <c r="N78" s="17">
        <v>0</v>
      </c>
      <c r="O78" s="17">
        <v>0</v>
      </c>
      <c r="P78" s="17">
        <v>0</v>
      </c>
      <c r="Q78" s="22">
        <v>0</v>
      </c>
      <c r="R78" s="285">
        <v>0</v>
      </c>
      <c r="S78" s="285">
        <v>0</v>
      </c>
      <c r="T78" s="111">
        <v>0</v>
      </c>
      <c r="U78" s="111" t="str">
        <f t="shared" si="55"/>
        <v>Normal</v>
      </c>
      <c r="V78" s="111" t="str">
        <f t="shared" si="56"/>
        <v>Normal</v>
      </c>
      <c r="W78" s="18">
        <f t="shared" si="57"/>
        <v>0</v>
      </c>
      <c r="X78" s="18">
        <f t="shared" si="58"/>
        <v>0</v>
      </c>
    </row>
    <row r="79" spans="1:24">
      <c r="A79" s="29">
        <v>45460</v>
      </c>
      <c r="B79" s="393">
        <f>IF(YEAR(Table6[[#This Row],[Date]]) = 2024, WEEKNUM(Table6[[#This Row],[Date]])-13, WEEKNUM(Table6[[#This Row],[Date]])+40)</f>
        <v>12</v>
      </c>
      <c r="C79" s="31" t="s">
        <v>55</v>
      </c>
      <c r="D79" s="295" t="s">
        <v>48</v>
      </c>
      <c r="E79" s="1">
        <v>0</v>
      </c>
      <c r="F79" s="1">
        <v>0</v>
      </c>
      <c r="G79" s="61">
        <v>0</v>
      </c>
      <c r="H79" s="61">
        <v>0</v>
      </c>
      <c r="I79" s="1">
        <v>0</v>
      </c>
      <c r="J79" s="1">
        <v>0</v>
      </c>
      <c r="K79" s="1">
        <v>0</v>
      </c>
      <c r="L79" s="1">
        <v>0</v>
      </c>
      <c r="M79" s="17">
        <v>0</v>
      </c>
      <c r="N79" s="17">
        <v>0</v>
      </c>
      <c r="O79" s="17">
        <v>0</v>
      </c>
      <c r="P79" s="17">
        <v>0</v>
      </c>
      <c r="Q79" s="22">
        <v>0</v>
      </c>
      <c r="R79" s="285">
        <v>0</v>
      </c>
      <c r="S79" s="285">
        <v>0</v>
      </c>
      <c r="T79" s="111">
        <v>0</v>
      </c>
      <c r="U79" s="111" t="str">
        <f t="shared" si="55"/>
        <v>Normal</v>
      </c>
      <c r="V79" s="111" t="str">
        <f t="shared" si="56"/>
        <v>Normal</v>
      </c>
      <c r="W79" s="18">
        <f t="shared" si="57"/>
        <v>0</v>
      </c>
      <c r="X79" s="18">
        <f t="shared" si="58"/>
        <v>0</v>
      </c>
    </row>
    <row r="80" spans="1:24">
      <c r="A80" s="29">
        <v>45461</v>
      </c>
      <c r="B80" s="393">
        <f>IF(YEAR(Table6[[#This Row],[Date]]) = 2024, WEEKNUM(Table6[[#This Row],[Date]])-13, WEEKNUM(Table6[[#This Row],[Date]])+40)</f>
        <v>12</v>
      </c>
      <c r="C80" s="31" t="s">
        <v>49</v>
      </c>
      <c r="D80" s="295" t="s">
        <v>48</v>
      </c>
      <c r="E80" s="1">
        <v>647</v>
      </c>
      <c r="F80" s="1">
        <v>496</v>
      </c>
      <c r="G80" s="61">
        <f t="shared" ref="G80:G84" si="65">(E80-E73)/E73</f>
        <v>0.22075471698113208</v>
      </c>
      <c r="H80" s="61">
        <f t="shared" ref="H80:H84" si="66">(F80-F73)/F73</f>
        <v>0.12217194570135746</v>
      </c>
      <c r="I80" s="1">
        <f>I79+E80</f>
        <v>647</v>
      </c>
      <c r="J80" s="1">
        <f>J79+F80</f>
        <v>496</v>
      </c>
      <c r="K80" s="1">
        <f>K77+Table9[[#This Row],[Calls Off]]</f>
        <v>38180</v>
      </c>
      <c r="L80" s="1">
        <f>L77+Table9[[#This Row],[Calls Ans]]</f>
        <v>29905</v>
      </c>
      <c r="M80" s="17">
        <v>0.7</v>
      </c>
      <c r="N80" s="17">
        <v>0.23</v>
      </c>
      <c r="O80" s="17">
        <v>0.77</v>
      </c>
      <c r="P80" s="17">
        <v>0.76</v>
      </c>
      <c r="Q80" s="22">
        <v>1</v>
      </c>
      <c r="R80" s="285">
        <v>116</v>
      </c>
      <c r="S80" s="285">
        <v>0</v>
      </c>
      <c r="T80" s="111">
        <v>4</v>
      </c>
      <c r="U80" s="111" t="str">
        <f t="shared" si="55"/>
        <v>Normal</v>
      </c>
      <c r="V80" s="111" t="str">
        <f t="shared" si="56"/>
        <v>Normal</v>
      </c>
      <c r="W80" s="18">
        <f t="shared" si="57"/>
        <v>0.22075471698113208</v>
      </c>
      <c r="X80" s="18">
        <f t="shared" si="58"/>
        <v>0.12217194570135746</v>
      </c>
    </row>
    <row r="81" spans="1:24">
      <c r="A81" s="29">
        <v>45462</v>
      </c>
      <c r="B81" s="393">
        <f>IF(YEAR(Table6[[#This Row],[Date]]) = 2024, WEEKNUM(Table6[[#This Row],[Date]])-13, WEEKNUM(Table6[[#This Row],[Date]])+40)</f>
        <v>12</v>
      </c>
      <c r="C81" s="31" t="s">
        <v>50</v>
      </c>
      <c r="D81" s="295" t="s">
        <v>48</v>
      </c>
      <c r="E81" s="1">
        <v>666</v>
      </c>
      <c r="F81" s="1">
        <v>520</v>
      </c>
      <c r="G81" s="61">
        <f t="shared" si="65"/>
        <v>0.23791821561338289</v>
      </c>
      <c r="H81" s="61">
        <f t="shared" si="66"/>
        <v>4.6277665995975853E-2</v>
      </c>
      <c r="I81" s="1">
        <f t="shared" ref="I81:I84" si="67">I80+E81</f>
        <v>1313</v>
      </c>
      <c r="J81" s="1">
        <f t="shared" ref="J81:J84" si="68">J80+F81</f>
        <v>1016</v>
      </c>
      <c r="K81" s="1">
        <f>K80+Table9[[#This Row],[Calls Off]]</f>
        <v>38846</v>
      </c>
      <c r="L81" s="1">
        <f>L80+Table9[[#This Row],[Calls Ans]]</f>
        <v>30425</v>
      </c>
      <c r="M81" s="17">
        <v>0.35</v>
      </c>
      <c r="N81" s="17">
        <v>0.22</v>
      </c>
      <c r="O81" s="17">
        <v>0.78</v>
      </c>
      <c r="P81" s="17">
        <v>0.79</v>
      </c>
      <c r="Q81" s="22">
        <v>1</v>
      </c>
      <c r="R81" s="285">
        <v>106</v>
      </c>
      <c r="S81" s="285">
        <v>0</v>
      </c>
      <c r="T81" s="111">
        <v>4</v>
      </c>
      <c r="U81" s="111" t="str">
        <f t="shared" si="55"/>
        <v>Normal</v>
      </c>
      <c r="V81" s="111" t="str">
        <f t="shared" si="56"/>
        <v>Normal</v>
      </c>
      <c r="W81" s="18">
        <f t="shared" si="57"/>
        <v>0.23791821561338289</v>
      </c>
      <c r="X81" s="18">
        <f t="shared" si="58"/>
        <v>4.6277665995975853E-2</v>
      </c>
    </row>
    <row r="82" spans="1:24">
      <c r="A82" s="29">
        <v>45463</v>
      </c>
      <c r="B82" s="393">
        <f>IF(YEAR(Table6[[#This Row],[Date]]) = 2024, WEEKNUM(Table6[[#This Row],[Date]])-13, WEEKNUM(Table6[[#This Row],[Date]])+40)</f>
        <v>12</v>
      </c>
      <c r="C82" s="31" t="s">
        <v>51</v>
      </c>
      <c r="D82" s="295" t="s">
        <v>48</v>
      </c>
      <c r="E82" s="1">
        <v>654</v>
      </c>
      <c r="F82" s="1">
        <v>554</v>
      </c>
      <c r="G82" s="61">
        <f t="shared" si="65"/>
        <v>0.23629489603024575</v>
      </c>
      <c r="H82" s="61">
        <f t="shared" si="66"/>
        <v>0.25056433408577877</v>
      </c>
      <c r="I82" s="1">
        <f t="shared" si="67"/>
        <v>1967</v>
      </c>
      <c r="J82" s="1">
        <f t="shared" si="68"/>
        <v>1570</v>
      </c>
      <c r="K82" s="1">
        <f>K81+Table9[[#This Row],[Calls Off]]</f>
        <v>39500</v>
      </c>
      <c r="L82" s="1">
        <f>L81+Table9[[#This Row],[Calls Ans]]</f>
        <v>30979</v>
      </c>
      <c r="M82" s="17">
        <v>0.8</v>
      </c>
      <c r="N82" s="17">
        <v>0.15</v>
      </c>
      <c r="O82" s="17">
        <v>0.85</v>
      </c>
      <c r="P82" s="17">
        <v>0.67</v>
      </c>
      <c r="Q82" s="22">
        <v>1</v>
      </c>
      <c r="R82" s="285">
        <v>135</v>
      </c>
      <c r="S82" s="285">
        <v>0</v>
      </c>
      <c r="T82" s="111">
        <v>5</v>
      </c>
      <c r="U82" s="111" t="str">
        <f t="shared" si="55"/>
        <v>Normal</v>
      </c>
      <c r="V82" s="111" t="str">
        <f t="shared" si="56"/>
        <v>Normal</v>
      </c>
      <c r="W82" s="18">
        <f t="shared" si="57"/>
        <v>0.23629489603024575</v>
      </c>
      <c r="X82" s="18">
        <f t="shared" si="58"/>
        <v>0.25056433408577877</v>
      </c>
    </row>
    <row r="83" spans="1:24">
      <c r="A83" s="29">
        <v>45464</v>
      </c>
      <c r="B83" s="393">
        <f>IF(YEAR(Table6[[#This Row],[Date]]) = 2024, WEEKNUM(Table6[[#This Row],[Date]])-13, WEEKNUM(Table6[[#This Row],[Date]])+40)</f>
        <v>12</v>
      </c>
      <c r="C83" s="31" t="s">
        <v>52</v>
      </c>
      <c r="D83" s="295" t="s">
        <v>48</v>
      </c>
      <c r="E83" s="1">
        <v>581</v>
      </c>
      <c r="F83" s="1">
        <v>544</v>
      </c>
      <c r="G83" s="61">
        <f t="shared" si="65"/>
        <v>-0.11026033690658499</v>
      </c>
      <c r="H83" s="61">
        <f t="shared" si="66"/>
        <v>3.2258064516129031E-2</v>
      </c>
      <c r="I83" s="1">
        <f t="shared" si="67"/>
        <v>2548</v>
      </c>
      <c r="J83" s="1">
        <f t="shared" si="68"/>
        <v>2114</v>
      </c>
      <c r="K83" s="1">
        <f>K82+Table9[[#This Row],[Calls Off]]</f>
        <v>40081</v>
      </c>
      <c r="L83" s="1">
        <f>L82+Table9[[#This Row],[Calls Ans]]</f>
        <v>31523</v>
      </c>
      <c r="M83" s="17">
        <v>0.94</v>
      </c>
      <c r="N83" s="17">
        <v>0.06</v>
      </c>
      <c r="O83" s="17">
        <v>0.94</v>
      </c>
      <c r="P83" s="17">
        <v>0.67</v>
      </c>
      <c r="Q83" s="22">
        <v>1</v>
      </c>
      <c r="R83" s="285">
        <v>82</v>
      </c>
      <c r="S83" s="285">
        <v>0</v>
      </c>
      <c r="T83" s="111">
        <v>5</v>
      </c>
      <c r="U83" s="111" t="str">
        <f t="shared" si="55"/>
        <v>Normal</v>
      </c>
      <c r="V83" s="111" t="str">
        <f t="shared" si="56"/>
        <v>Normal</v>
      </c>
      <c r="W83" s="18">
        <f t="shared" si="57"/>
        <v>-0.11026033690658499</v>
      </c>
      <c r="X83" s="18">
        <f t="shared" si="58"/>
        <v>3.2258064516129031E-2</v>
      </c>
    </row>
    <row r="84" spans="1:24">
      <c r="A84" s="29">
        <v>45465</v>
      </c>
      <c r="B84" s="393">
        <f>IF(YEAR(Table6[[#This Row],[Date]]) = 2024, WEEKNUM(Table6[[#This Row],[Date]])-13, WEEKNUM(Table6[[#This Row],[Date]])+40)</f>
        <v>12</v>
      </c>
      <c r="C84" s="31" t="s">
        <v>53</v>
      </c>
      <c r="D84" s="295" t="s">
        <v>48</v>
      </c>
      <c r="E84" s="1">
        <v>541</v>
      </c>
      <c r="F84" s="1">
        <v>426</v>
      </c>
      <c r="G84" s="61">
        <f t="shared" si="65"/>
        <v>0.13179916317991633</v>
      </c>
      <c r="H84" s="61">
        <f t="shared" si="66"/>
        <v>1.9138755980861243E-2</v>
      </c>
      <c r="I84" s="1">
        <f t="shared" si="67"/>
        <v>3089</v>
      </c>
      <c r="J84" s="1">
        <f t="shared" si="68"/>
        <v>2540</v>
      </c>
      <c r="K84" s="1">
        <f>K83+Table9[[#This Row],[Calls Off]]</f>
        <v>40622</v>
      </c>
      <c r="L84" s="1">
        <f>L83+Table9[[#This Row],[Calls Ans]]</f>
        <v>31949</v>
      </c>
      <c r="M84" s="17">
        <v>0.45</v>
      </c>
      <c r="N84" s="17">
        <v>0.21</v>
      </c>
      <c r="O84" s="17">
        <v>0.79</v>
      </c>
      <c r="P84" s="17">
        <v>0.71</v>
      </c>
      <c r="Q84" s="22">
        <v>1</v>
      </c>
      <c r="R84" s="285">
        <v>85</v>
      </c>
      <c r="S84" s="285">
        <v>0</v>
      </c>
      <c r="T84" s="111">
        <v>3</v>
      </c>
      <c r="U84" s="111" t="str">
        <f t="shared" si="55"/>
        <v>Normal</v>
      </c>
      <c r="V84" s="111" t="str">
        <f t="shared" si="56"/>
        <v>Normal</v>
      </c>
      <c r="W84" s="18">
        <f t="shared" si="57"/>
        <v>0.13179916317991633</v>
      </c>
      <c r="X84" s="18">
        <f t="shared" si="58"/>
        <v>1.9138755980861243E-2</v>
      </c>
    </row>
    <row r="85" spans="1:24">
      <c r="A85" s="29">
        <v>45466</v>
      </c>
      <c r="B85" s="393">
        <f>IF(YEAR(Table6[[#This Row],[Date]]) = 2024, WEEKNUM(Table6[[#This Row],[Date]])-13, WEEKNUM(Table6[[#This Row],[Date]])+40)</f>
        <v>13</v>
      </c>
      <c r="C85" s="31" t="s">
        <v>54</v>
      </c>
      <c r="D85" s="295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v>0</v>
      </c>
      <c r="L85" s="1">
        <v>0</v>
      </c>
      <c r="M85" s="17">
        <v>0</v>
      </c>
      <c r="N85" s="17">
        <v>0</v>
      </c>
      <c r="O85" s="17">
        <v>0</v>
      </c>
      <c r="P85" s="17">
        <v>0</v>
      </c>
      <c r="Q85" s="22">
        <v>0</v>
      </c>
      <c r="R85" s="285">
        <v>0</v>
      </c>
      <c r="S85" s="285">
        <v>0</v>
      </c>
      <c r="T85" s="111">
        <v>0</v>
      </c>
      <c r="U85" s="111" t="str">
        <f t="shared" si="55"/>
        <v>Normal</v>
      </c>
      <c r="V85" s="111" t="str">
        <f t="shared" si="56"/>
        <v>Normal</v>
      </c>
      <c r="W85" s="18">
        <f t="shared" si="57"/>
        <v>0</v>
      </c>
      <c r="X85" s="18">
        <f t="shared" si="58"/>
        <v>0</v>
      </c>
    </row>
    <row r="86" spans="1:24">
      <c r="A86" s="29">
        <v>45467</v>
      </c>
      <c r="B86" s="393">
        <f>IF(YEAR(Table6[[#This Row],[Date]]) = 2024, WEEKNUM(Table6[[#This Row],[Date]])-13, WEEKNUM(Table6[[#This Row],[Date]])+40)</f>
        <v>13</v>
      </c>
      <c r="C86" s="31" t="s">
        <v>55</v>
      </c>
      <c r="D86" s="295" t="s">
        <v>48</v>
      </c>
      <c r="E86" s="1">
        <v>670</v>
      </c>
      <c r="F86" s="1">
        <v>600</v>
      </c>
      <c r="G86" s="61">
        <v>0</v>
      </c>
      <c r="H86" s="61">
        <v>0</v>
      </c>
      <c r="I86" s="1">
        <f>I84+E86</f>
        <v>3759</v>
      </c>
      <c r="J86" s="1">
        <f>J84+F86</f>
        <v>3140</v>
      </c>
      <c r="K86" s="1">
        <f>K84+Table9[[#This Row],[Calls Off]]</f>
        <v>41292</v>
      </c>
      <c r="L86" s="1">
        <f>L84+Table9[[#This Row],[Calls Ans]]</f>
        <v>32549</v>
      </c>
      <c r="M86" s="17">
        <v>0.73</v>
      </c>
      <c r="N86" s="17">
        <v>0.11</v>
      </c>
      <c r="O86" s="17">
        <v>0.89</v>
      </c>
      <c r="P86" s="17">
        <v>0.68</v>
      </c>
      <c r="Q86" s="22">
        <v>1</v>
      </c>
      <c r="R86" s="285">
        <v>122</v>
      </c>
      <c r="S86" s="285">
        <v>0</v>
      </c>
      <c r="T86" s="111">
        <v>5</v>
      </c>
      <c r="U86" s="111" t="str">
        <f t="shared" si="55"/>
        <v>Normal</v>
      </c>
      <c r="V86" s="111" t="str">
        <f t="shared" si="56"/>
        <v>Normal</v>
      </c>
      <c r="W86" s="18">
        <f t="shared" si="57"/>
        <v>0</v>
      </c>
      <c r="X86" s="18">
        <f t="shared" si="58"/>
        <v>0</v>
      </c>
    </row>
    <row r="87" spans="1:24">
      <c r="A87" s="29">
        <v>45468</v>
      </c>
      <c r="B87" s="393">
        <f>IF(YEAR(Table6[[#This Row],[Date]]) = 2024, WEEKNUM(Table6[[#This Row],[Date]])-13, WEEKNUM(Table6[[#This Row],[Date]])+40)</f>
        <v>13</v>
      </c>
      <c r="C87" s="31" t="s">
        <v>49</v>
      </c>
      <c r="D87" s="295" t="s">
        <v>48</v>
      </c>
      <c r="E87" s="1">
        <v>656</v>
      </c>
      <c r="F87" s="1">
        <v>532</v>
      </c>
      <c r="G87" s="61">
        <f t="shared" ref="G87:G91" si="69">(E87-E80)/E80</f>
        <v>1.3910355486862442E-2</v>
      </c>
      <c r="H87" s="61">
        <f t="shared" ref="H87:H91" si="70">(F87-F80)/F80</f>
        <v>7.2580645161290328E-2</v>
      </c>
      <c r="I87" s="1">
        <f>I86+E87</f>
        <v>4415</v>
      </c>
      <c r="J87" s="1">
        <f>J86+F87</f>
        <v>3672</v>
      </c>
      <c r="K87" s="1">
        <f>K86+Table9[[#This Row],[Calls Off]]</f>
        <v>41948</v>
      </c>
      <c r="L87" s="1">
        <f>L86+Table9[[#This Row],[Calls Ans]]</f>
        <v>33081</v>
      </c>
      <c r="M87" s="17">
        <v>0.81</v>
      </c>
      <c r="N87" s="17">
        <v>0.19</v>
      </c>
      <c r="O87" s="17">
        <v>0.81</v>
      </c>
      <c r="P87" s="17">
        <v>0.67</v>
      </c>
      <c r="Q87" s="22">
        <v>0.99</v>
      </c>
      <c r="R87" s="285">
        <v>74</v>
      </c>
      <c r="S87" s="285">
        <v>0</v>
      </c>
      <c r="T87" s="111">
        <v>4</v>
      </c>
      <c r="U87" s="111" t="str">
        <f t="shared" si="55"/>
        <v>Normal</v>
      </c>
      <c r="V87" s="111" t="str">
        <f t="shared" si="56"/>
        <v>Normal</v>
      </c>
      <c r="W87" s="18">
        <f t="shared" si="57"/>
        <v>1.3910355486862442E-2</v>
      </c>
      <c r="X87" s="18">
        <f t="shared" si="58"/>
        <v>7.2580645161290328E-2</v>
      </c>
    </row>
    <row r="88" spans="1:24">
      <c r="A88" s="29">
        <v>45469</v>
      </c>
      <c r="B88" s="393">
        <f>IF(YEAR(Table6[[#This Row],[Date]]) = 2024, WEEKNUM(Table6[[#This Row],[Date]])-13, WEEKNUM(Table6[[#This Row],[Date]])+40)</f>
        <v>13</v>
      </c>
      <c r="C88" s="31" t="s">
        <v>50</v>
      </c>
      <c r="D88" s="295" t="s">
        <v>48</v>
      </c>
      <c r="E88" s="1">
        <v>642</v>
      </c>
      <c r="F88" s="1">
        <v>501</v>
      </c>
      <c r="G88" s="61">
        <f t="shared" si="69"/>
        <v>-3.6036036036036036E-2</v>
      </c>
      <c r="H88" s="61">
        <f t="shared" si="70"/>
        <v>-3.653846153846154E-2</v>
      </c>
      <c r="I88" s="1">
        <f t="shared" ref="I88:I91" si="71">I87+E88</f>
        <v>5057</v>
      </c>
      <c r="J88" s="1">
        <f t="shared" ref="J88:J91" si="72">J87+F88</f>
        <v>4173</v>
      </c>
      <c r="K88" s="1">
        <f>K87+Table9[[#This Row],[Calls Off]]</f>
        <v>42590</v>
      </c>
      <c r="L88" s="1">
        <f>L87+Table9[[#This Row],[Calls Ans]]</f>
        <v>33582</v>
      </c>
      <c r="M88" s="17">
        <v>0.62</v>
      </c>
      <c r="N88" s="17">
        <v>0.22</v>
      </c>
      <c r="O88" s="17">
        <v>0.78</v>
      </c>
      <c r="P88" s="17">
        <v>0.62</v>
      </c>
      <c r="Q88" s="22">
        <v>0.98</v>
      </c>
      <c r="R88" s="285">
        <v>101</v>
      </c>
      <c r="S88" s="285">
        <v>0</v>
      </c>
      <c r="T88" s="111">
        <v>5</v>
      </c>
      <c r="U88" s="111" t="str">
        <f t="shared" si="55"/>
        <v>Normal</v>
      </c>
      <c r="V88" s="111" t="str">
        <f t="shared" si="56"/>
        <v>Normal</v>
      </c>
      <c r="W88" s="18">
        <f t="shared" si="57"/>
        <v>-3.6036036036036036E-2</v>
      </c>
      <c r="X88" s="18">
        <f t="shared" si="58"/>
        <v>-3.653846153846154E-2</v>
      </c>
    </row>
    <row r="89" spans="1:24">
      <c r="A89" s="29">
        <v>45470</v>
      </c>
      <c r="B89" s="393">
        <f>IF(YEAR(Table6[[#This Row],[Date]]) = 2024, WEEKNUM(Table6[[#This Row],[Date]])-13, WEEKNUM(Table6[[#This Row],[Date]])+40)</f>
        <v>13</v>
      </c>
      <c r="C89" s="31" t="s">
        <v>51</v>
      </c>
      <c r="D89" s="295" t="s">
        <v>48</v>
      </c>
      <c r="E89" s="1">
        <v>544</v>
      </c>
      <c r="F89" s="1">
        <v>467</v>
      </c>
      <c r="G89" s="61">
        <f t="shared" si="69"/>
        <v>-0.16819571865443425</v>
      </c>
      <c r="H89" s="61">
        <f t="shared" si="70"/>
        <v>-0.15703971119133575</v>
      </c>
      <c r="I89" s="1">
        <f t="shared" si="71"/>
        <v>5601</v>
      </c>
      <c r="J89" s="1">
        <f t="shared" si="72"/>
        <v>4640</v>
      </c>
      <c r="K89" s="1">
        <f>K88+Table9[[#This Row],[Calls Off]]</f>
        <v>43134</v>
      </c>
      <c r="L89" s="1">
        <f>L88+Table9[[#This Row],[Calls Ans]]</f>
        <v>34049</v>
      </c>
      <c r="M89" s="17">
        <v>0.83</v>
      </c>
      <c r="N89" s="17">
        <v>0.14000000000000001</v>
      </c>
      <c r="O89" s="17">
        <v>0.86</v>
      </c>
      <c r="P89" s="17">
        <v>0.57999999999999996</v>
      </c>
      <c r="Q89" s="22">
        <v>0.96</v>
      </c>
      <c r="R89" s="285">
        <v>113</v>
      </c>
      <c r="S89" s="285">
        <v>0</v>
      </c>
      <c r="T89" s="111">
        <v>4</v>
      </c>
      <c r="U89" s="111" t="str">
        <f t="shared" si="55"/>
        <v>Normal</v>
      </c>
      <c r="V89" s="111" t="str">
        <f t="shared" si="56"/>
        <v>Normal</v>
      </c>
      <c r="W89" s="18">
        <f t="shared" si="57"/>
        <v>-0.16819571865443425</v>
      </c>
      <c r="X89" s="18">
        <f t="shared" si="58"/>
        <v>-0.15703971119133575</v>
      </c>
    </row>
    <row r="90" spans="1:24">
      <c r="A90" s="29">
        <v>45471</v>
      </c>
      <c r="B90" s="393">
        <f>IF(YEAR(Table6[[#This Row],[Date]]) = 2024, WEEKNUM(Table6[[#This Row],[Date]])-13, WEEKNUM(Table6[[#This Row],[Date]])+40)</f>
        <v>13</v>
      </c>
      <c r="C90" s="31" t="s">
        <v>52</v>
      </c>
      <c r="D90" s="295" t="s">
        <v>48</v>
      </c>
      <c r="E90" s="1">
        <v>765</v>
      </c>
      <c r="F90" s="1">
        <v>643</v>
      </c>
      <c r="G90" s="61">
        <f t="shared" si="69"/>
        <v>0.31669535283993117</v>
      </c>
      <c r="H90" s="61">
        <f t="shared" si="70"/>
        <v>0.18198529411764705</v>
      </c>
      <c r="I90" s="1">
        <f t="shared" si="71"/>
        <v>6366</v>
      </c>
      <c r="J90" s="1">
        <f t="shared" si="72"/>
        <v>5283</v>
      </c>
      <c r="K90" s="1">
        <f>K89+Table9[[#This Row],[Calls Off]]</f>
        <v>43899</v>
      </c>
      <c r="L90" s="1">
        <f>L89+Table9[[#This Row],[Calls Ans]]</f>
        <v>34692</v>
      </c>
      <c r="M90" s="17">
        <v>0.46</v>
      </c>
      <c r="N90" s="17">
        <v>0.16</v>
      </c>
      <c r="O90" s="17">
        <v>0.84</v>
      </c>
      <c r="P90" s="17">
        <v>0.7</v>
      </c>
      <c r="Q90" s="22">
        <v>0.92</v>
      </c>
      <c r="R90" s="285">
        <v>88</v>
      </c>
      <c r="S90" s="285">
        <v>0</v>
      </c>
      <c r="T90" s="111">
        <v>5</v>
      </c>
      <c r="U90" s="111" t="str">
        <f t="shared" si="55"/>
        <v>Normal</v>
      </c>
      <c r="V90" s="111" t="str">
        <f t="shared" si="56"/>
        <v>Normal</v>
      </c>
      <c r="W90" s="18">
        <f t="shared" si="57"/>
        <v>0.31669535283993117</v>
      </c>
      <c r="X90" s="18">
        <f t="shared" si="58"/>
        <v>0.18198529411764705</v>
      </c>
    </row>
    <row r="91" spans="1:24">
      <c r="A91" s="29">
        <v>45472</v>
      </c>
      <c r="B91" s="393">
        <f>IF(YEAR(Table6[[#This Row],[Date]]) = 2024, WEEKNUM(Table6[[#This Row],[Date]])-13, WEEKNUM(Table6[[#This Row],[Date]])+40)</f>
        <v>13</v>
      </c>
      <c r="C91" s="31" t="s">
        <v>53</v>
      </c>
      <c r="D91" s="295" t="s">
        <v>48</v>
      </c>
      <c r="E91" s="1">
        <v>490</v>
      </c>
      <c r="F91" s="1">
        <v>393</v>
      </c>
      <c r="G91" s="61">
        <f t="shared" si="69"/>
        <v>-9.4269870609981515E-2</v>
      </c>
      <c r="H91" s="61">
        <f t="shared" si="70"/>
        <v>-7.746478873239436E-2</v>
      </c>
      <c r="I91" s="1">
        <f t="shared" si="71"/>
        <v>6856</v>
      </c>
      <c r="J91" s="1">
        <f t="shared" si="72"/>
        <v>5676</v>
      </c>
      <c r="K91" s="1">
        <f>K90+Table9[[#This Row],[Calls Off]]</f>
        <v>44389</v>
      </c>
      <c r="L91" s="1">
        <f>L90+Table9[[#This Row],[Calls Ans]]</f>
        <v>35085</v>
      </c>
      <c r="M91" s="17">
        <v>0.41</v>
      </c>
      <c r="N91" s="17">
        <v>0.2</v>
      </c>
      <c r="O91" s="17">
        <v>0.8</v>
      </c>
      <c r="P91" s="17">
        <v>0.71</v>
      </c>
      <c r="Q91" s="22">
        <v>0.99</v>
      </c>
      <c r="R91" s="285">
        <v>121</v>
      </c>
      <c r="S91" s="285">
        <v>0</v>
      </c>
      <c r="T91" s="111">
        <v>3</v>
      </c>
      <c r="U91" s="111" t="str">
        <f t="shared" si="55"/>
        <v>Normal</v>
      </c>
      <c r="V91" s="111" t="str">
        <f t="shared" si="56"/>
        <v>Normal</v>
      </c>
      <c r="W91" s="18">
        <f t="shared" si="57"/>
        <v>-9.4269870609981515E-2</v>
      </c>
      <c r="X91" s="18">
        <f t="shared" si="58"/>
        <v>-7.746478873239436E-2</v>
      </c>
    </row>
    <row r="92" spans="1:24">
      <c r="A92" s="29">
        <v>45473</v>
      </c>
      <c r="B92" s="393">
        <f>IF(YEAR(Table6[[#This Row],[Date]]) = 2024, WEEKNUM(Table6[[#This Row],[Date]])-13, WEEKNUM(Table6[[#This Row],[Date]])+40)</f>
        <v>14</v>
      </c>
      <c r="C92" s="31" t="s">
        <v>54</v>
      </c>
      <c r="D92" s="295" t="s">
        <v>48</v>
      </c>
      <c r="E92" s="1">
        <v>0</v>
      </c>
      <c r="F92" s="1">
        <v>0</v>
      </c>
      <c r="G92" s="61">
        <v>0</v>
      </c>
      <c r="H92" s="61">
        <v>0</v>
      </c>
      <c r="I92" s="1">
        <v>0</v>
      </c>
      <c r="J92" s="1">
        <v>0</v>
      </c>
      <c r="K92" s="1">
        <v>0</v>
      </c>
      <c r="L92" s="1">
        <v>0</v>
      </c>
      <c r="M92" s="17">
        <v>0</v>
      </c>
      <c r="N92" s="17">
        <v>0</v>
      </c>
      <c r="O92" s="17">
        <v>0</v>
      </c>
      <c r="P92" s="17">
        <v>0</v>
      </c>
      <c r="Q92" s="22">
        <v>0</v>
      </c>
      <c r="R92" s="285">
        <v>0</v>
      </c>
      <c r="S92" s="285">
        <v>0</v>
      </c>
      <c r="T92" s="111">
        <v>0</v>
      </c>
      <c r="U92" s="111" t="str">
        <f t="shared" si="55"/>
        <v>Normal</v>
      </c>
      <c r="V92" s="111" t="str">
        <f t="shared" si="56"/>
        <v>Normal</v>
      </c>
      <c r="W92" s="18">
        <f t="shared" si="57"/>
        <v>0</v>
      </c>
      <c r="X92" s="18">
        <f t="shared" si="58"/>
        <v>0</v>
      </c>
    </row>
    <row r="93" spans="1:24">
      <c r="A93" s="29">
        <v>45474</v>
      </c>
      <c r="B93" s="393">
        <f>IF(YEAR(Table6[[#This Row],[Date]]) = 2024, WEEKNUM(Table6[[#This Row],[Date]])-13, WEEKNUM(Table6[[#This Row],[Date]])+40)</f>
        <v>14</v>
      </c>
      <c r="C93" s="72" t="s">
        <v>55</v>
      </c>
      <c r="D93" s="72" t="s">
        <v>48</v>
      </c>
      <c r="E93" s="62">
        <v>0</v>
      </c>
      <c r="F93" s="62">
        <v>0</v>
      </c>
      <c r="G93" s="335">
        <v>0</v>
      </c>
      <c r="H93" s="335">
        <v>0</v>
      </c>
      <c r="I93" s="62">
        <v>0</v>
      </c>
      <c r="J93" s="62">
        <v>0</v>
      </c>
      <c r="K93" s="62">
        <v>0</v>
      </c>
      <c r="L93" s="62">
        <v>0</v>
      </c>
      <c r="M93" s="2">
        <v>0</v>
      </c>
      <c r="N93" s="2">
        <v>0</v>
      </c>
      <c r="O93" s="2">
        <v>0</v>
      </c>
      <c r="P93" s="2">
        <v>0</v>
      </c>
      <c r="Q93" s="12">
        <v>0</v>
      </c>
      <c r="R93" s="286">
        <v>0</v>
      </c>
      <c r="S93" s="286">
        <v>0</v>
      </c>
      <c r="T93" s="112">
        <v>0</v>
      </c>
      <c r="U93" s="112" t="str">
        <f t="shared" si="55"/>
        <v>Normal</v>
      </c>
      <c r="V93" s="112" t="str">
        <f t="shared" si="56"/>
        <v>Normal</v>
      </c>
      <c r="W93" s="335">
        <f t="shared" si="57"/>
        <v>0</v>
      </c>
      <c r="X93" s="335">
        <f t="shared" si="58"/>
        <v>0</v>
      </c>
    </row>
    <row r="94" spans="1:24">
      <c r="A94" s="29">
        <v>45475</v>
      </c>
      <c r="B94" s="393">
        <f>IF(YEAR(Table6[[#This Row],[Date]]) = 2024, WEEKNUM(Table6[[#This Row],[Date]])-13, WEEKNUM(Table6[[#This Row],[Date]])+40)</f>
        <v>14</v>
      </c>
      <c r="C94" s="31" t="s">
        <v>49</v>
      </c>
      <c r="D94" s="295" t="s">
        <v>48</v>
      </c>
      <c r="E94" s="1">
        <v>788</v>
      </c>
      <c r="F94" s="1">
        <v>556</v>
      </c>
      <c r="G94" s="61">
        <f t="shared" ref="G94:G98" si="73">(E94-E87)/E87</f>
        <v>0.20121951219512196</v>
      </c>
      <c r="H94" s="61">
        <f t="shared" ref="H94:H98" si="74">(F94-F87)/F87</f>
        <v>4.5112781954887216E-2</v>
      </c>
      <c r="I94" s="1">
        <f>E94</f>
        <v>788</v>
      </c>
      <c r="J94" s="1">
        <f>F94</f>
        <v>556</v>
      </c>
      <c r="K94" s="1">
        <f>K91+Table9[[#This Row],[Calls Off]]</f>
        <v>45177</v>
      </c>
      <c r="L94" s="1">
        <f>L91+Table9[[#This Row],[Calls Ans]]</f>
        <v>35641</v>
      </c>
      <c r="M94" s="17">
        <v>0.15</v>
      </c>
      <c r="N94" s="17">
        <v>0.28999999999999998</v>
      </c>
      <c r="O94" s="17">
        <v>0.71</v>
      </c>
      <c r="P94" s="17">
        <v>0.73</v>
      </c>
      <c r="Q94" s="22">
        <v>1</v>
      </c>
      <c r="R94" s="285">
        <v>88</v>
      </c>
      <c r="S94" s="285">
        <v>0</v>
      </c>
      <c r="T94" s="111">
        <v>4</v>
      </c>
      <c r="U94" s="111" t="str">
        <f t="shared" si="55"/>
        <v>Normal</v>
      </c>
      <c r="V94" s="111" t="str">
        <f t="shared" si="56"/>
        <v>Normal</v>
      </c>
      <c r="W94" s="18">
        <f t="shared" si="57"/>
        <v>0.20121951219512196</v>
      </c>
      <c r="X94" s="18">
        <f t="shared" si="58"/>
        <v>4.5112781954887216E-2</v>
      </c>
    </row>
    <row r="95" spans="1:24">
      <c r="A95" s="29">
        <v>45476</v>
      </c>
      <c r="B95" s="393">
        <f>IF(YEAR(Table6[[#This Row],[Date]]) = 2024, WEEKNUM(Table6[[#This Row],[Date]])-13, WEEKNUM(Table6[[#This Row],[Date]])+40)</f>
        <v>14</v>
      </c>
      <c r="C95" s="31" t="s">
        <v>50</v>
      </c>
      <c r="D95" s="295" t="s">
        <v>48</v>
      </c>
      <c r="E95" s="1">
        <v>721</v>
      </c>
      <c r="F95" s="1">
        <v>570</v>
      </c>
      <c r="G95" s="61">
        <f t="shared" si="73"/>
        <v>0.12305295950155763</v>
      </c>
      <c r="H95" s="61">
        <f t="shared" si="74"/>
        <v>0.1377245508982036</v>
      </c>
      <c r="I95" s="1">
        <f t="shared" ref="I95:I98" si="75">I94+E95</f>
        <v>1509</v>
      </c>
      <c r="J95" s="1">
        <f t="shared" ref="J95:J98" si="76">J94+F95</f>
        <v>1126</v>
      </c>
      <c r="K95" s="1">
        <f>K94+Table9[[#This Row],[Calls Off]]</f>
        <v>45898</v>
      </c>
      <c r="L95" s="1">
        <f>L94+Table9[[#This Row],[Calls Ans]]</f>
        <v>36211</v>
      </c>
      <c r="M95" s="17">
        <v>0.54</v>
      </c>
      <c r="N95" s="17">
        <v>0.21</v>
      </c>
      <c r="O95" s="17">
        <v>0.79</v>
      </c>
      <c r="P95" s="17">
        <v>0.62</v>
      </c>
      <c r="Q95" s="22">
        <v>0.99</v>
      </c>
      <c r="R95" s="285">
        <v>97</v>
      </c>
      <c r="S95" s="285">
        <v>0</v>
      </c>
      <c r="T95" s="111">
        <v>4</v>
      </c>
      <c r="U95" s="111" t="str">
        <f t="shared" si="55"/>
        <v>Normal</v>
      </c>
      <c r="V95" s="111" t="str">
        <f t="shared" si="56"/>
        <v>Normal</v>
      </c>
      <c r="W95" s="18">
        <f t="shared" si="57"/>
        <v>0.12305295950155763</v>
      </c>
      <c r="X95" s="18">
        <f t="shared" si="58"/>
        <v>0.1377245508982036</v>
      </c>
    </row>
    <row r="96" spans="1:24">
      <c r="A96" s="29">
        <v>45477</v>
      </c>
      <c r="B96" s="393">
        <f>IF(YEAR(Table6[[#This Row],[Date]]) = 2024, WEEKNUM(Table6[[#This Row],[Date]])-13, WEEKNUM(Table6[[#This Row],[Date]])+40)</f>
        <v>14</v>
      </c>
      <c r="C96" s="31" t="s">
        <v>51</v>
      </c>
      <c r="D96" s="295" t="s">
        <v>48</v>
      </c>
      <c r="E96" s="1">
        <v>705</v>
      </c>
      <c r="F96" s="1">
        <v>542</v>
      </c>
      <c r="G96" s="61">
        <f t="shared" si="73"/>
        <v>0.29595588235294118</v>
      </c>
      <c r="H96" s="61">
        <f t="shared" si="74"/>
        <v>0.16059957173447537</v>
      </c>
      <c r="I96" s="1">
        <f t="shared" si="75"/>
        <v>2214</v>
      </c>
      <c r="J96" s="1">
        <f t="shared" si="76"/>
        <v>1668</v>
      </c>
      <c r="K96" s="1">
        <f>K95+Table9[[#This Row],[Calls Off]]</f>
        <v>46603</v>
      </c>
      <c r="L96" s="1">
        <f>L95+Table9[[#This Row],[Calls Ans]]</f>
        <v>36753</v>
      </c>
      <c r="M96" s="17">
        <v>0.36</v>
      </c>
      <c r="N96" s="17">
        <v>0.23</v>
      </c>
      <c r="O96" s="17">
        <v>0.77</v>
      </c>
      <c r="P96" s="17">
        <v>0.65</v>
      </c>
      <c r="Q96" s="22">
        <v>1</v>
      </c>
      <c r="R96" s="285">
        <v>97</v>
      </c>
      <c r="S96" s="285">
        <v>0</v>
      </c>
      <c r="T96" s="111">
        <v>4</v>
      </c>
      <c r="U96" s="111" t="str">
        <f t="shared" si="55"/>
        <v>Normal</v>
      </c>
      <c r="V96" s="111" t="str">
        <f t="shared" si="56"/>
        <v>Normal</v>
      </c>
      <c r="W96" s="18">
        <f t="shared" si="57"/>
        <v>0.29595588235294118</v>
      </c>
      <c r="X96" s="18">
        <f t="shared" si="58"/>
        <v>0.16059957173447537</v>
      </c>
    </row>
    <row r="97" spans="1:24">
      <c r="A97" s="29">
        <v>45478</v>
      </c>
      <c r="B97" s="393">
        <f>IF(YEAR(Table6[[#This Row],[Date]]) = 2024, WEEKNUM(Table6[[#This Row],[Date]])-13, WEEKNUM(Table6[[#This Row],[Date]])+40)</f>
        <v>14</v>
      </c>
      <c r="C97" s="31" t="s">
        <v>52</v>
      </c>
      <c r="D97" s="295" t="s">
        <v>48</v>
      </c>
      <c r="E97" s="1">
        <v>558</v>
      </c>
      <c r="F97" s="1">
        <v>466</v>
      </c>
      <c r="G97" s="61">
        <f t="shared" si="73"/>
        <v>-0.27058823529411763</v>
      </c>
      <c r="H97" s="61">
        <f t="shared" si="74"/>
        <v>-0.27527216174183516</v>
      </c>
      <c r="I97" s="1">
        <f t="shared" si="75"/>
        <v>2772</v>
      </c>
      <c r="J97" s="1">
        <f t="shared" si="76"/>
        <v>2134</v>
      </c>
      <c r="K97" s="1">
        <f>K96+Table9[[#This Row],[Calls Off]]</f>
        <v>47161</v>
      </c>
      <c r="L97" s="1">
        <f>L96+Table9[[#This Row],[Calls Ans]]</f>
        <v>37219</v>
      </c>
      <c r="M97" s="17">
        <v>0.56999999999999995</v>
      </c>
      <c r="N97" s="17">
        <v>0.16</v>
      </c>
      <c r="O97" s="17">
        <v>0.84</v>
      </c>
      <c r="P97" s="17">
        <v>0.62</v>
      </c>
      <c r="Q97" s="22">
        <v>1</v>
      </c>
      <c r="R97" s="285">
        <v>126</v>
      </c>
      <c r="S97" s="285">
        <v>0</v>
      </c>
      <c r="T97" s="111">
        <v>4</v>
      </c>
      <c r="U97" s="111" t="str">
        <f t="shared" si="55"/>
        <v>Normal</v>
      </c>
      <c r="V97" s="111" t="str">
        <f t="shared" si="56"/>
        <v>Normal</v>
      </c>
      <c r="W97" s="18">
        <f t="shared" si="57"/>
        <v>-0.27058823529411763</v>
      </c>
      <c r="X97" s="18">
        <f t="shared" si="58"/>
        <v>-0.27527216174183516</v>
      </c>
    </row>
    <row r="98" spans="1:24">
      <c r="A98" s="29">
        <v>45479</v>
      </c>
      <c r="B98" s="393">
        <f>IF(YEAR(Table6[[#This Row],[Date]]) = 2024, WEEKNUM(Table6[[#This Row],[Date]])-13, WEEKNUM(Table6[[#This Row],[Date]])+40)</f>
        <v>14</v>
      </c>
      <c r="C98" s="31" t="s">
        <v>53</v>
      </c>
      <c r="D98" s="295" t="s">
        <v>48</v>
      </c>
      <c r="E98" s="1">
        <v>387</v>
      </c>
      <c r="F98" s="1">
        <v>333</v>
      </c>
      <c r="G98" s="61">
        <f t="shared" si="73"/>
        <v>-0.21020408163265306</v>
      </c>
      <c r="H98" s="61">
        <f t="shared" si="74"/>
        <v>-0.15267175572519084</v>
      </c>
      <c r="I98" s="1">
        <f t="shared" si="75"/>
        <v>3159</v>
      </c>
      <c r="J98" s="1">
        <f t="shared" si="76"/>
        <v>2467</v>
      </c>
      <c r="K98" s="1">
        <f>K97+Table9[[#This Row],[Calls Off]]</f>
        <v>47548</v>
      </c>
      <c r="L98" s="1">
        <f>L97+Table9[[#This Row],[Calls Ans]]</f>
        <v>37552</v>
      </c>
      <c r="M98" s="17">
        <v>0.59</v>
      </c>
      <c r="N98" s="17">
        <v>0.14000000000000001</v>
      </c>
      <c r="O98" s="17">
        <v>0.86</v>
      </c>
      <c r="P98" s="17">
        <v>0.5</v>
      </c>
      <c r="Q98" s="22">
        <v>0.99</v>
      </c>
      <c r="R98" s="285">
        <v>132</v>
      </c>
      <c r="S98" s="285">
        <v>0</v>
      </c>
      <c r="T98" s="111">
        <v>4</v>
      </c>
      <c r="U98" s="111" t="str">
        <f t="shared" si="55"/>
        <v>Normal</v>
      </c>
      <c r="V98" s="111" t="str">
        <f t="shared" si="56"/>
        <v>Normal</v>
      </c>
      <c r="W98" s="18">
        <f t="shared" si="57"/>
        <v>-0.21020408163265306</v>
      </c>
      <c r="X98" s="18">
        <f t="shared" si="58"/>
        <v>-0.15267175572519084</v>
      </c>
    </row>
    <row r="99" spans="1:24">
      <c r="A99" s="29">
        <v>45480</v>
      </c>
      <c r="B99" s="393">
        <f>IF(YEAR(Table6[[#This Row],[Date]]) = 2024, WEEKNUM(Table6[[#This Row],[Date]])-13, WEEKNUM(Table6[[#This Row],[Date]])+40)</f>
        <v>15</v>
      </c>
      <c r="C99" s="31" t="s">
        <v>54</v>
      </c>
      <c r="D99" s="295" t="s">
        <v>48</v>
      </c>
      <c r="E99" s="1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v>0</v>
      </c>
      <c r="L99" s="1">
        <v>0</v>
      </c>
      <c r="M99" s="17">
        <v>0</v>
      </c>
      <c r="N99" s="17">
        <v>0</v>
      </c>
      <c r="O99" s="17">
        <v>0</v>
      </c>
      <c r="P99" s="17">
        <v>0</v>
      </c>
      <c r="Q99" s="22">
        <v>0</v>
      </c>
      <c r="R99" s="285">
        <v>0</v>
      </c>
      <c r="S99" s="285">
        <v>0</v>
      </c>
      <c r="T99" s="111">
        <v>0</v>
      </c>
      <c r="U99" s="111" t="str">
        <f t="shared" si="55"/>
        <v>Normal</v>
      </c>
      <c r="V99" s="111" t="str">
        <f t="shared" si="56"/>
        <v>Normal</v>
      </c>
      <c r="W99" s="18">
        <f t="shared" si="57"/>
        <v>0</v>
      </c>
      <c r="X99" s="18">
        <f t="shared" si="58"/>
        <v>0</v>
      </c>
    </row>
    <row r="100" spans="1:24">
      <c r="A100" s="29">
        <v>45481</v>
      </c>
      <c r="B100" s="393">
        <f>IF(YEAR(Table6[[#This Row],[Date]]) = 2024, WEEKNUM(Table6[[#This Row],[Date]])-13, WEEKNUM(Table6[[#This Row],[Date]])+40)</f>
        <v>15</v>
      </c>
      <c r="C100" s="31" t="s">
        <v>55</v>
      </c>
      <c r="D100" s="295" t="s">
        <v>48</v>
      </c>
      <c r="E100" s="1">
        <v>731</v>
      </c>
      <c r="F100" s="1">
        <v>632</v>
      </c>
      <c r="G100" s="61">
        <v>0</v>
      </c>
      <c r="H100" s="61">
        <v>0</v>
      </c>
      <c r="I100" s="1">
        <f>I98+E100</f>
        <v>3890</v>
      </c>
      <c r="J100" s="1">
        <f>J98+F100</f>
        <v>3099</v>
      </c>
      <c r="K100" s="1">
        <f>K98+Table9[[#This Row],[Calls Off]]</f>
        <v>48279</v>
      </c>
      <c r="L100" s="1">
        <f>L98+Table9[[#This Row],[Calls Ans]]</f>
        <v>38184</v>
      </c>
      <c r="M100" s="17">
        <v>0.7</v>
      </c>
      <c r="N100" s="17">
        <v>0.14000000000000001</v>
      </c>
      <c r="O100" s="17">
        <v>0.86</v>
      </c>
      <c r="P100" s="17">
        <v>0.64</v>
      </c>
      <c r="Q100" s="22">
        <v>1</v>
      </c>
      <c r="R100" s="285">
        <v>127</v>
      </c>
      <c r="S100" s="285">
        <v>0</v>
      </c>
      <c r="T100" s="111">
        <v>5</v>
      </c>
      <c r="U100" s="111" t="str">
        <f t="shared" si="55"/>
        <v>Normal</v>
      </c>
      <c r="V100" s="111" t="str">
        <f t="shared" si="56"/>
        <v>Normal</v>
      </c>
      <c r="W100" s="18">
        <f t="shared" si="57"/>
        <v>0</v>
      </c>
      <c r="X100" s="18">
        <f t="shared" si="58"/>
        <v>0</v>
      </c>
    </row>
    <row r="101" spans="1:24">
      <c r="A101" s="29">
        <v>45482</v>
      </c>
      <c r="B101" s="393">
        <f>IF(YEAR(Table6[[#This Row],[Date]]) = 2024, WEEKNUM(Table6[[#This Row],[Date]])-13, WEEKNUM(Table6[[#This Row],[Date]])+40)</f>
        <v>15</v>
      </c>
      <c r="C101" s="31" t="s">
        <v>49</v>
      </c>
      <c r="D101" s="295" t="s">
        <v>48</v>
      </c>
      <c r="E101" s="1">
        <v>808</v>
      </c>
      <c r="F101" s="1">
        <v>538</v>
      </c>
      <c r="G101" s="61">
        <f t="shared" ref="G101:G105" si="77">(E101-E94)/E94</f>
        <v>2.5380710659898477E-2</v>
      </c>
      <c r="H101" s="61">
        <f t="shared" ref="H101:H105" si="78">(F101-F94)/F94</f>
        <v>-3.237410071942446E-2</v>
      </c>
      <c r="I101" s="1">
        <f>I100+E101</f>
        <v>4698</v>
      </c>
      <c r="J101" s="1">
        <f>J100+F101</f>
        <v>3637</v>
      </c>
      <c r="K101" s="1">
        <f>K100+Table9[[#This Row],[Calls Off]]</f>
        <v>49087</v>
      </c>
      <c r="L101" s="1">
        <f>L100+Table9[[#This Row],[Calls Ans]]</f>
        <v>38722</v>
      </c>
      <c r="M101" s="17">
        <v>0.4</v>
      </c>
      <c r="N101" s="17">
        <v>0.33</v>
      </c>
      <c r="O101" s="17">
        <v>0.67</v>
      </c>
      <c r="P101" s="17">
        <v>0.75</v>
      </c>
      <c r="Q101" s="22">
        <v>1</v>
      </c>
      <c r="R101" s="285">
        <v>124</v>
      </c>
      <c r="S101" s="285">
        <v>0</v>
      </c>
      <c r="T101" s="111">
        <v>4</v>
      </c>
      <c r="U101" s="111" t="str">
        <f t="shared" si="55"/>
        <v>Normal</v>
      </c>
      <c r="V101" s="111" t="str">
        <f t="shared" si="56"/>
        <v>Normal</v>
      </c>
      <c r="W101" s="18">
        <f t="shared" si="57"/>
        <v>2.5380710659898477E-2</v>
      </c>
      <c r="X101" s="18">
        <f t="shared" si="58"/>
        <v>-3.237410071942446E-2</v>
      </c>
    </row>
    <row r="102" spans="1:24">
      <c r="A102" s="29">
        <v>45483</v>
      </c>
      <c r="B102" s="393">
        <f>IF(YEAR(Table6[[#This Row],[Date]]) = 2024, WEEKNUM(Table6[[#This Row],[Date]])-13, WEEKNUM(Table6[[#This Row],[Date]])+40)</f>
        <v>15</v>
      </c>
      <c r="C102" s="31" t="s">
        <v>50</v>
      </c>
      <c r="D102" s="295" t="s">
        <v>48</v>
      </c>
      <c r="E102" s="1">
        <v>523</v>
      </c>
      <c r="F102" s="1">
        <v>437</v>
      </c>
      <c r="G102" s="61">
        <f t="shared" si="77"/>
        <v>-0.27461858529819694</v>
      </c>
      <c r="H102" s="61">
        <f t="shared" si="78"/>
        <v>-0.23333333333333334</v>
      </c>
      <c r="I102" s="1">
        <f t="shared" ref="I102:I105" si="79">I101+E102</f>
        <v>5221</v>
      </c>
      <c r="J102" s="1">
        <f t="shared" ref="J102:J105" si="80">J101+F102</f>
        <v>4074</v>
      </c>
      <c r="K102" s="1">
        <f>K101+Table9[[#This Row],[Calls Off]]</f>
        <v>49610</v>
      </c>
      <c r="L102" s="1">
        <f>L101+Table9[[#This Row],[Calls Ans]]</f>
        <v>39159</v>
      </c>
      <c r="M102" s="17">
        <v>0.68</v>
      </c>
      <c r="N102" s="17">
        <v>0.16</v>
      </c>
      <c r="O102" s="17">
        <v>0.84</v>
      </c>
      <c r="P102" s="17">
        <v>0.55000000000000004</v>
      </c>
      <c r="Q102" s="22">
        <v>1</v>
      </c>
      <c r="R102" s="285">
        <v>123</v>
      </c>
      <c r="S102" s="285">
        <v>0</v>
      </c>
      <c r="T102" s="111">
        <v>4</v>
      </c>
      <c r="U102" s="111" t="str">
        <f t="shared" si="55"/>
        <v>Normal</v>
      </c>
      <c r="V102" s="111" t="str">
        <f t="shared" si="56"/>
        <v>Normal</v>
      </c>
      <c r="W102" s="18">
        <f t="shared" si="57"/>
        <v>-0.27461858529819694</v>
      </c>
      <c r="X102" s="18">
        <f t="shared" si="58"/>
        <v>-0.23333333333333334</v>
      </c>
    </row>
    <row r="103" spans="1:24">
      <c r="A103" s="29">
        <v>45484</v>
      </c>
      <c r="B103" s="393">
        <f>IF(YEAR(Table6[[#This Row],[Date]]) = 2024, WEEKNUM(Table6[[#This Row],[Date]])-13, WEEKNUM(Table6[[#This Row],[Date]])+40)</f>
        <v>15</v>
      </c>
      <c r="C103" s="31" t="s">
        <v>51</v>
      </c>
      <c r="D103" s="295" t="s">
        <v>48</v>
      </c>
      <c r="E103" s="1">
        <v>526</v>
      </c>
      <c r="F103" s="1">
        <v>472</v>
      </c>
      <c r="G103" s="61">
        <f t="shared" si="77"/>
        <v>-0.25390070921985813</v>
      </c>
      <c r="H103" s="61">
        <f t="shared" si="78"/>
        <v>-0.12915129151291513</v>
      </c>
      <c r="I103" s="1">
        <f t="shared" si="79"/>
        <v>5747</v>
      </c>
      <c r="J103" s="1">
        <f t="shared" si="80"/>
        <v>4546</v>
      </c>
      <c r="K103" s="1">
        <f>K102+Table9[[#This Row],[Calls Off]]</f>
        <v>50136</v>
      </c>
      <c r="L103" s="1">
        <f>L102+Table9[[#This Row],[Calls Ans]]</f>
        <v>39631</v>
      </c>
      <c r="M103" s="17">
        <v>0.64</v>
      </c>
      <c r="N103" s="17">
        <v>0.1</v>
      </c>
      <c r="O103" s="17">
        <v>0.9</v>
      </c>
      <c r="P103" s="17">
        <v>0.64</v>
      </c>
      <c r="Q103" s="22">
        <v>1</v>
      </c>
      <c r="R103" s="285">
        <v>119</v>
      </c>
      <c r="S103" s="285">
        <v>0</v>
      </c>
      <c r="T103" s="111">
        <v>4</v>
      </c>
      <c r="U103" s="111" t="str">
        <f t="shared" si="55"/>
        <v>Normal</v>
      </c>
      <c r="V103" s="111" t="str">
        <f t="shared" si="56"/>
        <v>Normal</v>
      </c>
      <c r="W103" s="18">
        <f t="shared" si="57"/>
        <v>-0.25390070921985813</v>
      </c>
      <c r="X103" s="18">
        <f t="shared" si="58"/>
        <v>-0.12915129151291513</v>
      </c>
    </row>
    <row r="104" spans="1:24">
      <c r="A104" s="29">
        <v>45485</v>
      </c>
      <c r="B104" s="393">
        <f>IF(YEAR(Table6[[#This Row],[Date]]) = 2024, WEEKNUM(Table6[[#This Row],[Date]])-13, WEEKNUM(Table6[[#This Row],[Date]])+40)</f>
        <v>15</v>
      </c>
      <c r="C104" s="31" t="s">
        <v>52</v>
      </c>
      <c r="D104" s="295" t="s">
        <v>48</v>
      </c>
      <c r="E104" s="1">
        <v>537</v>
      </c>
      <c r="F104" s="1">
        <v>466</v>
      </c>
      <c r="G104" s="61">
        <f t="shared" si="77"/>
        <v>-3.7634408602150539E-2</v>
      </c>
      <c r="H104" s="61">
        <f t="shared" si="78"/>
        <v>0</v>
      </c>
      <c r="I104" s="1">
        <f t="shared" si="79"/>
        <v>6284</v>
      </c>
      <c r="J104" s="1">
        <f t="shared" si="80"/>
        <v>5012</v>
      </c>
      <c r="K104" s="1">
        <f>K103+Table9[[#This Row],[Calls Off]]</f>
        <v>50673</v>
      </c>
      <c r="L104" s="1">
        <f>L103+Table9[[#This Row],[Calls Ans]]</f>
        <v>40097</v>
      </c>
      <c r="M104" s="17">
        <v>0.84</v>
      </c>
      <c r="N104" s="17">
        <v>0.13</v>
      </c>
      <c r="O104" s="17">
        <v>0.87</v>
      </c>
      <c r="P104" s="17">
        <v>0.5</v>
      </c>
      <c r="Q104" s="22">
        <v>1</v>
      </c>
      <c r="R104" s="285">
        <v>91</v>
      </c>
      <c r="S104" s="285">
        <v>0</v>
      </c>
      <c r="T104" s="111">
        <v>4</v>
      </c>
      <c r="U104" s="111" t="str">
        <f t="shared" si="55"/>
        <v>Normal</v>
      </c>
      <c r="V104" s="111" t="str">
        <f t="shared" si="56"/>
        <v>Normal</v>
      </c>
      <c r="W104" s="18">
        <f t="shared" si="57"/>
        <v>-3.7634408602150539E-2</v>
      </c>
      <c r="X104" s="18">
        <f t="shared" si="58"/>
        <v>0</v>
      </c>
    </row>
    <row r="105" spans="1:24">
      <c r="A105" s="29">
        <v>45486</v>
      </c>
      <c r="B105" s="393">
        <f>IF(YEAR(Table6[[#This Row],[Date]]) = 2024, WEEKNUM(Table6[[#This Row],[Date]])-13, WEEKNUM(Table6[[#This Row],[Date]])+40)</f>
        <v>15</v>
      </c>
      <c r="C105" s="31" t="s">
        <v>53</v>
      </c>
      <c r="D105" s="295" t="s">
        <v>48</v>
      </c>
      <c r="E105" s="1">
        <v>434</v>
      </c>
      <c r="F105" s="1">
        <v>359</v>
      </c>
      <c r="G105" s="61">
        <f t="shared" si="77"/>
        <v>0.12144702842377261</v>
      </c>
      <c r="H105" s="61">
        <f t="shared" si="78"/>
        <v>7.8078078078078081E-2</v>
      </c>
      <c r="I105" s="1">
        <f t="shared" si="79"/>
        <v>6718</v>
      </c>
      <c r="J105" s="1">
        <f t="shared" si="80"/>
        <v>5371</v>
      </c>
      <c r="K105" s="1">
        <f>K104+Table9[[#This Row],[Calls Off]]</f>
        <v>51107</v>
      </c>
      <c r="L105" s="1">
        <f>L104+Table9[[#This Row],[Calls Ans]]</f>
        <v>40456</v>
      </c>
      <c r="M105" s="17">
        <v>0.75</v>
      </c>
      <c r="N105" s="17">
        <v>0.17</v>
      </c>
      <c r="O105" s="17">
        <v>0.83</v>
      </c>
      <c r="P105" s="17">
        <v>0.43</v>
      </c>
      <c r="Q105" s="22">
        <v>1</v>
      </c>
      <c r="R105" s="285">
        <v>81</v>
      </c>
      <c r="S105" s="285">
        <v>0</v>
      </c>
      <c r="T105" s="111">
        <v>4</v>
      </c>
      <c r="U105" s="111" t="str">
        <f t="shared" si="55"/>
        <v>Normal</v>
      </c>
      <c r="V105" s="111" t="str">
        <f t="shared" si="56"/>
        <v>Normal</v>
      </c>
      <c r="W105" s="18">
        <f t="shared" si="57"/>
        <v>0.12144702842377261</v>
      </c>
      <c r="X105" s="18">
        <f t="shared" si="58"/>
        <v>7.8078078078078081E-2</v>
      </c>
    </row>
    <row r="106" spans="1:24">
      <c r="A106" s="29">
        <v>45487</v>
      </c>
      <c r="B106" s="393">
        <f>IF(YEAR(Table6[[#This Row],[Date]]) = 2024, WEEKNUM(Table6[[#This Row],[Date]])-13, WEEKNUM(Table6[[#This Row],[Date]])+40)</f>
        <v>16</v>
      </c>
      <c r="C106" s="31" t="s">
        <v>54</v>
      </c>
      <c r="D106" s="295" t="s">
        <v>48</v>
      </c>
      <c r="E106" s="1">
        <v>0</v>
      </c>
      <c r="F106" s="1">
        <v>0</v>
      </c>
      <c r="G106" s="61">
        <v>0</v>
      </c>
      <c r="H106" s="61">
        <v>0</v>
      </c>
      <c r="I106" s="1">
        <v>0</v>
      </c>
      <c r="J106" s="1">
        <v>0</v>
      </c>
      <c r="K106" s="1">
        <v>0</v>
      </c>
      <c r="L106" s="1">
        <v>0</v>
      </c>
      <c r="M106" s="17">
        <v>0</v>
      </c>
      <c r="N106" s="17">
        <v>0</v>
      </c>
      <c r="O106" s="17">
        <v>0</v>
      </c>
      <c r="P106" s="17">
        <v>0</v>
      </c>
      <c r="Q106" s="22">
        <v>0</v>
      </c>
      <c r="R106" s="285">
        <v>0</v>
      </c>
      <c r="S106" s="285">
        <v>0</v>
      </c>
      <c r="T106" s="111">
        <v>0</v>
      </c>
      <c r="U106" s="111" t="str">
        <f t="shared" si="55"/>
        <v>Normal</v>
      </c>
      <c r="V106" s="111" t="str">
        <f t="shared" si="56"/>
        <v>Normal</v>
      </c>
      <c r="W106" s="18">
        <f t="shared" si="57"/>
        <v>0</v>
      </c>
      <c r="X106" s="18">
        <f t="shared" si="58"/>
        <v>0</v>
      </c>
    </row>
    <row r="107" spans="1:24">
      <c r="A107" s="29">
        <v>45488</v>
      </c>
      <c r="B107" s="393">
        <f>IF(YEAR(Table6[[#This Row],[Date]]) = 2024, WEEKNUM(Table6[[#This Row],[Date]])-13, WEEKNUM(Table6[[#This Row],[Date]])+40)</f>
        <v>16</v>
      </c>
      <c r="C107" s="31" t="s">
        <v>55</v>
      </c>
      <c r="D107" s="295" t="s">
        <v>48</v>
      </c>
      <c r="E107" s="1">
        <v>639</v>
      </c>
      <c r="F107" s="1">
        <v>575</v>
      </c>
      <c r="G107" s="61">
        <f>(E107-E100)/E100</f>
        <v>-0.12585499316005472</v>
      </c>
      <c r="H107" s="61">
        <f>(F107-F100)/F100</f>
        <v>-9.0189873417721514E-2</v>
      </c>
      <c r="I107" s="1">
        <f>I105+E107</f>
        <v>7357</v>
      </c>
      <c r="J107" s="1">
        <f>J105+F107</f>
        <v>5946</v>
      </c>
      <c r="K107" s="1">
        <f>K105+Table9[[#This Row],[Calls Off]]</f>
        <v>51746</v>
      </c>
      <c r="L107" s="1">
        <f>L105+Table9[[#This Row],[Calls Ans]]</f>
        <v>41031</v>
      </c>
      <c r="M107" s="17">
        <v>0.74</v>
      </c>
      <c r="N107" s="17">
        <v>0.1</v>
      </c>
      <c r="O107" s="17">
        <v>0.9</v>
      </c>
      <c r="P107" s="17">
        <v>0.55000000000000004</v>
      </c>
      <c r="Q107" s="22">
        <v>1</v>
      </c>
      <c r="R107" s="285">
        <v>117</v>
      </c>
      <c r="S107" s="285">
        <v>0</v>
      </c>
      <c r="T107" s="111">
        <v>5</v>
      </c>
      <c r="U107" s="111" t="str">
        <f t="shared" si="55"/>
        <v>Normal</v>
      </c>
      <c r="V107" s="111" t="str">
        <f t="shared" si="56"/>
        <v>Normal</v>
      </c>
      <c r="W107" s="18">
        <f t="shared" si="57"/>
        <v>-0.12585499316005472</v>
      </c>
      <c r="X107" s="18">
        <f t="shared" si="58"/>
        <v>-9.0189873417721514E-2</v>
      </c>
    </row>
    <row r="108" spans="1:24">
      <c r="A108" s="29">
        <v>45489</v>
      </c>
      <c r="B108" s="393">
        <f>IF(YEAR(Table6[[#This Row],[Date]]) = 2024, WEEKNUM(Table6[[#This Row],[Date]])-13, WEEKNUM(Table6[[#This Row],[Date]])+40)</f>
        <v>16</v>
      </c>
      <c r="C108" s="31" t="s">
        <v>49</v>
      </c>
      <c r="D108" s="295" t="s">
        <v>48</v>
      </c>
      <c r="E108" s="1">
        <v>621</v>
      </c>
      <c r="F108" s="1">
        <v>527</v>
      </c>
      <c r="G108" s="61">
        <f t="shared" ref="G108:G112" si="81">(E108-E101)/E101</f>
        <v>-0.23143564356435645</v>
      </c>
      <c r="H108" s="61">
        <f t="shared" ref="H108:H112" si="82">(F108-F101)/F101</f>
        <v>-2.0446096654275093E-2</v>
      </c>
      <c r="I108" s="1">
        <f>I107+E108</f>
        <v>7978</v>
      </c>
      <c r="J108" s="1">
        <f>J107+F108</f>
        <v>6473</v>
      </c>
      <c r="K108" s="1">
        <f>K107+Table9[[#This Row],[Calls Off]]</f>
        <v>52367</v>
      </c>
      <c r="L108" s="1">
        <f>L107+Table9[[#This Row],[Calls Ans]]</f>
        <v>41558</v>
      </c>
      <c r="M108" s="17">
        <v>0.87</v>
      </c>
      <c r="N108" s="17">
        <v>0.15</v>
      </c>
      <c r="O108" s="17">
        <v>0.85</v>
      </c>
      <c r="P108" s="17">
        <v>0.28000000000000003</v>
      </c>
      <c r="Q108" s="22">
        <v>0.99</v>
      </c>
      <c r="R108" s="285">
        <v>83</v>
      </c>
      <c r="S108" s="285">
        <v>0</v>
      </c>
      <c r="T108" s="111">
        <v>4</v>
      </c>
      <c r="U108" s="111" t="str">
        <f t="shared" si="55"/>
        <v>Normal</v>
      </c>
      <c r="V108" s="111" t="str">
        <f t="shared" si="56"/>
        <v>Normal</v>
      </c>
      <c r="W108" s="18">
        <f t="shared" si="57"/>
        <v>-0.23143564356435645</v>
      </c>
      <c r="X108" s="18">
        <f t="shared" si="58"/>
        <v>-2.0446096654275093E-2</v>
      </c>
    </row>
    <row r="109" spans="1:24">
      <c r="A109" s="29">
        <v>45490</v>
      </c>
      <c r="B109" s="393">
        <f>IF(YEAR(Table6[[#This Row],[Date]]) = 2024, WEEKNUM(Table6[[#This Row],[Date]])-13, WEEKNUM(Table6[[#This Row],[Date]])+40)</f>
        <v>16</v>
      </c>
      <c r="C109" s="31" t="s">
        <v>50</v>
      </c>
      <c r="D109" s="295" t="s">
        <v>48</v>
      </c>
      <c r="E109" s="1">
        <v>618</v>
      </c>
      <c r="F109" s="1">
        <v>518</v>
      </c>
      <c r="G109" s="61">
        <f t="shared" si="81"/>
        <v>0.18164435946462715</v>
      </c>
      <c r="H109" s="61">
        <f t="shared" si="82"/>
        <v>0.18535469107551489</v>
      </c>
      <c r="I109" s="1">
        <f t="shared" ref="I109:I112" si="83">I108+E109</f>
        <v>8596</v>
      </c>
      <c r="J109" s="1">
        <f t="shared" ref="J109:J112" si="84">J108+F109</f>
        <v>6991</v>
      </c>
      <c r="K109" s="1">
        <f>K108+Table9[[#This Row],[Calls Off]]</f>
        <v>52985</v>
      </c>
      <c r="L109" s="1">
        <f>L108+Table9[[#This Row],[Calls Ans]]</f>
        <v>42076</v>
      </c>
      <c r="M109" s="17">
        <v>0.76</v>
      </c>
      <c r="N109" s="17">
        <v>0.16</v>
      </c>
      <c r="O109" s="17">
        <v>0.84</v>
      </c>
      <c r="P109" s="17">
        <v>0.63</v>
      </c>
      <c r="Q109" s="22">
        <v>0.99</v>
      </c>
      <c r="R109" s="285">
        <v>97</v>
      </c>
      <c r="S109" s="285">
        <v>0</v>
      </c>
      <c r="T109" s="111">
        <v>4</v>
      </c>
      <c r="U109" s="111" t="str">
        <f t="shared" si="55"/>
        <v>Normal</v>
      </c>
      <c r="V109" s="111" t="str">
        <f t="shared" si="56"/>
        <v>Normal</v>
      </c>
      <c r="W109" s="18">
        <f t="shared" si="57"/>
        <v>0.18164435946462715</v>
      </c>
      <c r="X109" s="18">
        <f t="shared" si="58"/>
        <v>0.18535469107551489</v>
      </c>
    </row>
    <row r="110" spans="1:24">
      <c r="A110" s="29">
        <v>45491</v>
      </c>
      <c r="B110" s="393">
        <f>IF(YEAR(Table6[[#This Row],[Date]]) = 2024, WEEKNUM(Table6[[#This Row],[Date]])-13, WEEKNUM(Table6[[#This Row],[Date]])+40)</f>
        <v>16</v>
      </c>
      <c r="C110" s="31" t="s">
        <v>51</v>
      </c>
      <c r="D110" s="295" t="s">
        <v>48</v>
      </c>
      <c r="E110" s="1">
        <v>556</v>
      </c>
      <c r="F110" s="1">
        <v>469</v>
      </c>
      <c r="G110" s="61">
        <f t="shared" si="81"/>
        <v>5.7034220532319393E-2</v>
      </c>
      <c r="H110" s="61">
        <f t="shared" si="82"/>
        <v>-6.3559322033898309E-3</v>
      </c>
      <c r="I110" s="1">
        <f t="shared" si="83"/>
        <v>9152</v>
      </c>
      <c r="J110" s="1">
        <f t="shared" si="84"/>
        <v>7460</v>
      </c>
      <c r="K110" s="1">
        <f>K109+Table9[[#This Row],[Calls Off]]</f>
        <v>53541</v>
      </c>
      <c r="L110" s="1">
        <f>L109+Table9[[#This Row],[Calls Ans]]</f>
        <v>42545</v>
      </c>
      <c r="M110" s="17">
        <v>0.59</v>
      </c>
      <c r="N110" s="17">
        <v>0.16</v>
      </c>
      <c r="O110" s="17">
        <v>0.84</v>
      </c>
      <c r="P110" s="17">
        <v>0.55000000000000004</v>
      </c>
      <c r="Q110" s="22">
        <v>0.98</v>
      </c>
      <c r="R110" s="285">
        <v>113</v>
      </c>
      <c r="S110" s="285">
        <v>0</v>
      </c>
      <c r="T110" s="111">
        <v>4</v>
      </c>
      <c r="U110" s="111" t="str">
        <f t="shared" si="55"/>
        <v>Normal</v>
      </c>
      <c r="V110" s="111" t="str">
        <f t="shared" si="56"/>
        <v>Normal</v>
      </c>
      <c r="W110" s="18">
        <f t="shared" si="57"/>
        <v>5.7034220532319393E-2</v>
      </c>
      <c r="X110" s="18">
        <f t="shared" si="58"/>
        <v>-6.3559322033898309E-3</v>
      </c>
    </row>
    <row r="111" spans="1:24">
      <c r="A111" s="29">
        <v>45492</v>
      </c>
      <c r="B111" s="393">
        <f>IF(YEAR(Table6[[#This Row],[Date]]) = 2024, WEEKNUM(Table6[[#This Row],[Date]])-13, WEEKNUM(Table6[[#This Row],[Date]])+40)</f>
        <v>16</v>
      </c>
      <c r="C111" s="31" t="s">
        <v>52</v>
      </c>
      <c r="D111" s="295" t="s">
        <v>48</v>
      </c>
      <c r="E111" s="1">
        <v>555</v>
      </c>
      <c r="F111" s="1">
        <v>421</v>
      </c>
      <c r="G111" s="61">
        <f t="shared" si="81"/>
        <v>3.3519553072625698E-2</v>
      </c>
      <c r="H111" s="61">
        <f t="shared" si="82"/>
        <v>-9.6566523605150209E-2</v>
      </c>
      <c r="I111" s="1">
        <f t="shared" si="83"/>
        <v>9707</v>
      </c>
      <c r="J111" s="1">
        <f t="shared" si="84"/>
        <v>7881</v>
      </c>
      <c r="K111" s="1">
        <f>K110+Table9[[#This Row],[Calls Off]]</f>
        <v>54096</v>
      </c>
      <c r="L111" s="1">
        <f>L110+Table9[[#This Row],[Calls Ans]]</f>
        <v>42966</v>
      </c>
      <c r="M111" s="17">
        <v>0.66</v>
      </c>
      <c r="N111" s="17">
        <v>0.24</v>
      </c>
      <c r="O111" s="17">
        <v>0.76</v>
      </c>
      <c r="P111" s="17">
        <v>0.56000000000000005</v>
      </c>
      <c r="Q111" s="22">
        <v>0.99</v>
      </c>
      <c r="R111" s="285">
        <v>113</v>
      </c>
      <c r="S111" s="285">
        <v>0</v>
      </c>
      <c r="T111" s="111">
        <v>4</v>
      </c>
      <c r="U111" s="111" t="str">
        <f t="shared" si="55"/>
        <v>Normal</v>
      </c>
      <c r="V111" s="111" t="str">
        <f t="shared" si="56"/>
        <v>Normal</v>
      </c>
      <c r="W111" s="18">
        <f t="shared" si="57"/>
        <v>3.3519553072625698E-2</v>
      </c>
      <c r="X111" s="18">
        <f t="shared" si="58"/>
        <v>-9.6566523605150209E-2</v>
      </c>
    </row>
    <row r="112" spans="1:24">
      <c r="A112" s="29">
        <v>45493</v>
      </c>
      <c r="B112" s="393">
        <f>IF(YEAR(Table6[[#This Row],[Date]]) = 2024, WEEKNUM(Table6[[#This Row],[Date]])-13, WEEKNUM(Table6[[#This Row],[Date]])+40)</f>
        <v>16</v>
      </c>
      <c r="C112" s="31" t="s">
        <v>53</v>
      </c>
      <c r="D112" s="295" t="s">
        <v>48</v>
      </c>
      <c r="E112" s="1">
        <v>440</v>
      </c>
      <c r="F112" s="1">
        <v>389</v>
      </c>
      <c r="G112" s="61">
        <f t="shared" si="81"/>
        <v>1.3824884792626729E-2</v>
      </c>
      <c r="H112" s="61">
        <f t="shared" si="82"/>
        <v>8.3565459610027856E-2</v>
      </c>
      <c r="I112" s="1">
        <f t="shared" si="83"/>
        <v>10147</v>
      </c>
      <c r="J112" s="1">
        <f t="shared" si="84"/>
        <v>8270</v>
      </c>
      <c r="K112" s="1">
        <f>K111+Table9[[#This Row],[Calls Off]]</f>
        <v>54536</v>
      </c>
      <c r="L112" s="1">
        <f>L111+Table9[[#This Row],[Calls Ans]]</f>
        <v>43355</v>
      </c>
      <c r="M112" s="17">
        <v>0.68</v>
      </c>
      <c r="N112" s="17">
        <v>0.11</v>
      </c>
      <c r="O112" s="17">
        <v>0.89</v>
      </c>
      <c r="P112" s="17">
        <v>0.47</v>
      </c>
      <c r="Q112" s="22">
        <v>1</v>
      </c>
      <c r="R112" s="285">
        <v>82</v>
      </c>
      <c r="S112" s="285">
        <v>0</v>
      </c>
      <c r="T112" s="111">
        <v>4</v>
      </c>
      <c r="U112" s="111" t="str">
        <f t="shared" si="55"/>
        <v>Normal</v>
      </c>
      <c r="V112" s="111" t="str">
        <f t="shared" si="56"/>
        <v>Normal</v>
      </c>
      <c r="W112" s="18">
        <f t="shared" si="57"/>
        <v>1.3824884792626729E-2</v>
      </c>
      <c r="X112" s="18">
        <f t="shared" si="58"/>
        <v>8.3565459610027856E-2</v>
      </c>
    </row>
    <row r="113" spans="1:24">
      <c r="A113" s="29">
        <v>45494</v>
      </c>
      <c r="B113" s="393">
        <f>IF(YEAR(Table6[[#This Row],[Date]]) = 2024, WEEKNUM(Table6[[#This Row],[Date]])-13, WEEKNUM(Table6[[#This Row],[Date]])+40)</f>
        <v>17</v>
      </c>
      <c r="C113" s="31" t="s">
        <v>54</v>
      </c>
      <c r="D113" s="295" t="s">
        <v>48</v>
      </c>
      <c r="E113" s="1">
        <v>0</v>
      </c>
      <c r="F113" s="1">
        <v>0</v>
      </c>
      <c r="G113" s="61">
        <v>0</v>
      </c>
      <c r="H113" s="61">
        <v>0</v>
      </c>
      <c r="I113" s="1">
        <v>0</v>
      </c>
      <c r="J113" s="1">
        <v>0</v>
      </c>
      <c r="K113" s="1">
        <v>0</v>
      </c>
      <c r="L113" s="1">
        <v>0</v>
      </c>
      <c r="M113" s="17">
        <v>0</v>
      </c>
      <c r="N113" s="17">
        <v>0</v>
      </c>
      <c r="O113" s="17">
        <v>0</v>
      </c>
      <c r="P113" s="17">
        <v>0</v>
      </c>
      <c r="Q113" s="22">
        <v>0</v>
      </c>
      <c r="R113" s="285">
        <v>0</v>
      </c>
      <c r="S113" s="285">
        <v>0</v>
      </c>
      <c r="T113" s="111">
        <v>0</v>
      </c>
      <c r="U113" s="111" t="str">
        <f t="shared" si="55"/>
        <v>Normal</v>
      </c>
      <c r="V113" s="111" t="str">
        <f t="shared" si="56"/>
        <v>Normal</v>
      </c>
      <c r="W113" s="18">
        <f t="shared" si="57"/>
        <v>0</v>
      </c>
      <c r="X113" s="18">
        <f t="shared" si="58"/>
        <v>0</v>
      </c>
    </row>
    <row r="114" spans="1:24">
      <c r="A114" s="29">
        <v>45495</v>
      </c>
      <c r="B114" s="393">
        <f>IF(YEAR(Table6[[#This Row],[Date]]) = 2024, WEEKNUM(Table6[[#This Row],[Date]])-13, WEEKNUM(Table6[[#This Row],[Date]])+40)</f>
        <v>17</v>
      </c>
      <c r="C114" s="31" t="s">
        <v>55</v>
      </c>
      <c r="D114" s="295" t="s">
        <v>48</v>
      </c>
      <c r="E114" s="1">
        <v>557</v>
      </c>
      <c r="F114" s="1">
        <v>515</v>
      </c>
      <c r="G114" s="61">
        <f>(E114-E107)/E107</f>
        <v>-0.12832550860719874</v>
      </c>
      <c r="H114" s="61">
        <f>(F114-F107)/F107</f>
        <v>-0.10434782608695652</v>
      </c>
      <c r="I114" s="1">
        <f>I112+E114</f>
        <v>10704</v>
      </c>
      <c r="J114" s="1">
        <f>J112+F114</f>
        <v>8785</v>
      </c>
      <c r="K114" s="1">
        <f>K112+Table9[[#This Row],[Calls Off]]</f>
        <v>55093</v>
      </c>
      <c r="L114" s="1">
        <f>L112+Table9[[#This Row],[Calls Ans]]</f>
        <v>43870</v>
      </c>
      <c r="M114" s="17">
        <v>0.87</v>
      </c>
      <c r="N114" s="17">
        <v>7.0000000000000007E-2</v>
      </c>
      <c r="O114" s="17">
        <v>0.93</v>
      </c>
      <c r="P114" s="17">
        <v>0.54</v>
      </c>
      <c r="Q114" s="22">
        <v>1</v>
      </c>
      <c r="R114" s="285">
        <v>113</v>
      </c>
      <c r="S114" s="285">
        <v>0</v>
      </c>
      <c r="T114" s="111">
        <v>5</v>
      </c>
      <c r="U114" s="111" t="str">
        <f t="shared" si="55"/>
        <v>Normal</v>
      </c>
      <c r="V114" s="111" t="str">
        <f t="shared" si="56"/>
        <v>Normal</v>
      </c>
      <c r="W114" s="18">
        <f t="shared" si="57"/>
        <v>-0.12832550860719874</v>
      </c>
      <c r="X114" s="18">
        <f t="shared" si="58"/>
        <v>-0.10434782608695652</v>
      </c>
    </row>
    <row r="115" spans="1:24">
      <c r="A115" s="29">
        <v>45496</v>
      </c>
      <c r="B115" s="393">
        <f>IF(YEAR(Table6[[#This Row],[Date]]) = 2024, WEEKNUM(Table6[[#This Row],[Date]])-13, WEEKNUM(Table6[[#This Row],[Date]])+40)</f>
        <v>17</v>
      </c>
      <c r="C115" s="31" t="s">
        <v>49</v>
      </c>
      <c r="D115" s="295" t="s">
        <v>48</v>
      </c>
      <c r="E115" s="1">
        <v>595</v>
      </c>
      <c r="F115" s="1">
        <v>499</v>
      </c>
      <c r="G115" s="61">
        <f t="shared" ref="G115:G119" si="85">(E115-E108)/E108</f>
        <v>-4.1867954911433171E-2</v>
      </c>
      <c r="H115" s="61">
        <f t="shared" ref="H115:H119" si="86">(F115-F108)/F108</f>
        <v>-5.3130929791271347E-2</v>
      </c>
      <c r="I115" s="1">
        <f>I114+E115</f>
        <v>11299</v>
      </c>
      <c r="J115" s="1">
        <f>J114+F115</f>
        <v>9284</v>
      </c>
      <c r="K115" s="1">
        <f>K114+Table9[[#This Row],[Calls Off]]</f>
        <v>55688</v>
      </c>
      <c r="L115" s="1">
        <f>L114+Table9[[#This Row],[Calls Ans]]</f>
        <v>44369</v>
      </c>
      <c r="M115" s="17">
        <v>0.39</v>
      </c>
      <c r="N115" s="17">
        <v>0.16</v>
      </c>
      <c r="O115" s="17">
        <v>0.84</v>
      </c>
      <c r="P115" s="17">
        <v>0.61</v>
      </c>
      <c r="Q115" s="22">
        <v>1</v>
      </c>
      <c r="R115" s="285">
        <v>91</v>
      </c>
      <c r="S115" s="285">
        <v>0</v>
      </c>
      <c r="T115" s="111">
        <v>4</v>
      </c>
      <c r="U115" s="111" t="str">
        <f t="shared" si="55"/>
        <v>Normal</v>
      </c>
      <c r="V115" s="111" t="str">
        <f t="shared" si="56"/>
        <v>Normal</v>
      </c>
      <c r="W115" s="18">
        <f t="shared" si="57"/>
        <v>-4.1867954911433171E-2</v>
      </c>
      <c r="X115" s="18">
        <f t="shared" si="58"/>
        <v>-5.3130929791271347E-2</v>
      </c>
    </row>
    <row r="116" spans="1:24">
      <c r="A116" s="29">
        <v>45497</v>
      </c>
      <c r="B116" s="393">
        <f>IF(YEAR(Table6[[#This Row],[Date]]) = 2024, WEEKNUM(Table6[[#This Row],[Date]])-13, WEEKNUM(Table6[[#This Row],[Date]])+40)</f>
        <v>17</v>
      </c>
      <c r="C116" s="31" t="s">
        <v>50</v>
      </c>
      <c r="D116" s="295" t="s">
        <v>48</v>
      </c>
      <c r="E116" s="1">
        <v>713</v>
      </c>
      <c r="F116" s="1">
        <v>589</v>
      </c>
      <c r="G116" s="61">
        <f t="shared" si="85"/>
        <v>0.15372168284789645</v>
      </c>
      <c r="H116" s="61">
        <f t="shared" si="86"/>
        <v>0.13706563706563707</v>
      </c>
      <c r="I116" s="1">
        <f t="shared" ref="I116:I119" si="87">I115+E116</f>
        <v>12012</v>
      </c>
      <c r="J116" s="1">
        <f t="shared" ref="J116:J119" si="88">J115+F116</f>
        <v>9873</v>
      </c>
      <c r="K116" s="1">
        <f>K115+Table9[[#This Row],[Calls Off]]</f>
        <v>56401</v>
      </c>
      <c r="L116" s="1">
        <f>L115+Table9[[#This Row],[Calls Ans]]</f>
        <v>44958</v>
      </c>
      <c r="M116" s="17">
        <v>0.6</v>
      </c>
      <c r="N116" s="17">
        <v>0.17</v>
      </c>
      <c r="O116" s="17">
        <v>0.83</v>
      </c>
      <c r="P116" s="17">
        <v>0.34</v>
      </c>
      <c r="Q116" s="22">
        <v>1</v>
      </c>
      <c r="R116" s="285">
        <v>84</v>
      </c>
      <c r="S116" s="285">
        <v>0</v>
      </c>
      <c r="T116" s="111">
        <v>4</v>
      </c>
      <c r="U116" s="111" t="str">
        <f t="shared" si="55"/>
        <v>Normal</v>
      </c>
      <c r="V116" s="111" t="str">
        <f t="shared" si="56"/>
        <v>Normal</v>
      </c>
      <c r="W116" s="18">
        <f t="shared" si="57"/>
        <v>0.15372168284789645</v>
      </c>
      <c r="X116" s="18">
        <f t="shared" si="58"/>
        <v>0.13706563706563707</v>
      </c>
    </row>
    <row r="117" spans="1:24">
      <c r="A117" s="29">
        <v>45498</v>
      </c>
      <c r="B117" s="393">
        <f>IF(YEAR(Table6[[#This Row],[Date]]) = 2024, WEEKNUM(Table6[[#This Row],[Date]])-13, WEEKNUM(Table6[[#This Row],[Date]])+40)</f>
        <v>17</v>
      </c>
      <c r="C117" s="31" t="s">
        <v>51</v>
      </c>
      <c r="D117" s="295" t="s">
        <v>48</v>
      </c>
      <c r="E117" s="1">
        <v>637</v>
      </c>
      <c r="F117" s="1">
        <v>521</v>
      </c>
      <c r="G117" s="61">
        <f t="shared" si="85"/>
        <v>0.14568345323741008</v>
      </c>
      <c r="H117" s="61">
        <f t="shared" si="86"/>
        <v>0.11087420042643924</v>
      </c>
      <c r="I117" s="1">
        <f t="shared" si="87"/>
        <v>12649</v>
      </c>
      <c r="J117" s="1">
        <f t="shared" si="88"/>
        <v>10394</v>
      </c>
      <c r="K117" s="1">
        <f>K116+Table9[[#This Row],[Calls Off]]</f>
        <v>57038</v>
      </c>
      <c r="L117" s="1">
        <f>L116+Table9[[#This Row],[Calls Ans]]</f>
        <v>45479</v>
      </c>
      <c r="M117" s="17">
        <v>0.42</v>
      </c>
      <c r="N117" s="17">
        <v>0.18</v>
      </c>
      <c r="O117" s="17">
        <v>0.82</v>
      </c>
      <c r="P117" s="17">
        <v>0.64</v>
      </c>
      <c r="Q117" s="22">
        <v>1</v>
      </c>
      <c r="R117" s="285">
        <v>110</v>
      </c>
      <c r="S117" s="285">
        <v>0</v>
      </c>
      <c r="T117" s="111">
        <v>4</v>
      </c>
      <c r="U117" s="111" t="str">
        <f t="shared" si="55"/>
        <v>Normal</v>
      </c>
      <c r="V117" s="111" t="str">
        <f t="shared" si="56"/>
        <v>Normal</v>
      </c>
      <c r="W117" s="18">
        <f t="shared" si="57"/>
        <v>0.14568345323741008</v>
      </c>
      <c r="X117" s="18">
        <f t="shared" si="58"/>
        <v>0.11087420042643924</v>
      </c>
    </row>
    <row r="118" spans="1:24">
      <c r="A118" s="29">
        <v>45499</v>
      </c>
      <c r="B118" s="393">
        <f>IF(YEAR(Table6[[#This Row],[Date]]) = 2024, WEEKNUM(Table6[[#This Row],[Date]])-13, WEEKNUM(Table6[[#This Row],[Date]])+40)</f>
        <v>17</v>
      </c>
      <c r="C118" s="31" t="s">
        <v>52</v>
      </c>
      <c r="D118" s="295" t="s">
        <v>48</v>
      </c>
      <c r="E118" s="1">
        <v>811</v>
      </c>
      <c r="F118" s="1">
        <v>583</v>
      </c>
      <c r="G118" s="61">
        <f t="shared" si="85"/>
        <v>0.46126126126126127</v>
      </c>
      <c r="H118" s="61">
        <f t="shared" si="86"/>
        <v>0.38479809976247031</v>
      </c>
      <c r="I118" s="1">
        <f t="shared" si="87"/>
        <v>13460</v>
      </c>
      <c r="J118" s="1">
        <f t="shared" si="88"/>
        <v>10977</v>
      </c>
      <c r="K118" s="1">
        <f>K117+Table9[[#This Row],[Calls Off]]</f>
        <v>57849</v>
      </c>
      <c r="L118" s="1">
        <f>L117+Table9[[#This Row],[Calls Ans]]</f>
        <v>46062</v>
      </c>
      <c r="M118" s="17">
        <v>0.24</v>
      </c>
      <c r="N118" s="17">
        <v>0.28000000000000003</v>
      </c>
      <c r="O118" s="17">
        <v>0.82</v>
      </c>
      <c r="P118" s="17">
        <v>0.35</v>
      </c>
      <c r="Q118" s="22">
        <v>1</v>
      </c>
      <c r="R118" s="285">
        <v>96</v>
      </c>
      <c r="S118" s="285">
        <v>0</v>
      </c>
      <c r="T118" s="111">
        <v>4</v>
      </c>
      <c r="U118" s="111" t="str">
        <f t="shared" si="55"/>
        <v>Normal</v>
      </c>
      <c r="V118" s="111" t="str">
        <f t="shared" si="56"/>
        <v>Outlier</v>
      </c>
      <c r="W118" s="18">
        <f t="shared" si="57"/>
        <v>0.46126126126126127</v>
      </c>
      <c r="X118" s="18">
        <f t="shared" si="58"/>
        <v>0.38479809976247031</v>
      </c>
    </row>
    <row r="119" spans="1:24">
      <c r="A119" s="29">
        <v>45500</v>
      </c>
      <c r="B119" s="393">
        <f>IF(YEAR(Table6[[#This Row],[Date]]) = 2024, WEEKNUM(Table6[[#This Row],[Date]])-13, WEEKNUM(Table6[[#This Row],[Date]])+40)</f>
        <v>17</v>
      </c>
      <c r="C119" s="31" t="s">
        <v>53</v>
      </c>
      <c r="D119" s="295" t="s">
        <v>48</v>
      </c>
      <c r="E119" s="1">
        <v>496</v>
      </c>
      <c r="F119" s="1">
        <v>377</v>
      </c>
      <c r="G119" s="61">
        <f t="shared" si="85"/>
        <v>0.12727272727272726</v>
      </c>
      <c r="H119" s="61">
        <f t="shared" si="86"/>
        <v>-3.0848329048843187E-2</v>
      </c>
      <c r="I119" s="1">
        <f t="shared" si="87"/>
        <v>13956</v>
      </c>
      <c r="J119" s="1">
        <f t="shared" si="88"/>
        <v>11354</v>
      </c>
      <c r="K119" s="1">
        <f>K118+Table9[[#This Row],[Calls Off]]</f>
        <v>58345</v>
      </c>
      <c r="L119" s="1">
        <f>L118+Table9[[#This Row],[Calls Ans]]</f>
        <v>46439</v>
      </c>
      <c r="M119" s="17">
        <v>0.46</v>
      </c>
      <c r="N119" s="17">
        <v>0.24</v>
      </c>
      <c r="O119" s="17">
        <v>0.76</v>
      </c>
      <c r="P119" s="17">
        <v>0.6</v>
      </c>
      <c r="Q119" s="22">
        <v>1</v>
      </c>
      <c r="R119" s="285">
        <v>87</v>
      </c>
      <c r="S119" s="285">
        <v>0</v>
      </c>
      <c r="T119" s="111">
        <v>3</v>
      </c>
      <c r="U119" s="111" t="str">
        <f t="shared" si="55"/>
        <v>Normal</v>
      </c>
      <c r="V119" s="111" t="str">
        <f t="shared" si="56"/>
        <v>Normal</v>
      </c>
      <c r="W119" s="18">
        <f t="shared" si="57"/>
        <v>0.12727272727272726</v>
      </c>
      <c r="X119" s="18">
        <f t="shared" si="58"/>
        <v>-3.0848329048843187E-2</v>
      </c>
    </row>
    <row r="120" spans="1:24">
      <c r="A120" s="29">
        <v>45501</v>
      </c>
      <c r="B120" s="393">
        <f>IF(YEAR(Table6[[#This Row],[Date]]) = 2024, WEEKNUM(Table6[[#This Row],[Date]])-13, WEEKNUM(Table6[[#This Row],[Date]])+40)</f>
        <v>18</v>
      </c>
      <c r="C120" s="31" t="s">
        <v>54</v>
      </c>
      <c r="D120" s="295" t="s">
        <v>48</v>
      </c>
      <c r="E120" s="1">
        <v>0</v>
      </c>
      <c r="F120" s="1">
        <v>0</v>
      </c>
      <c r="G120" s="61">
        <v>0</v>
      </c>
      <c r="H120" s="61">
        <v>0</v>
      </c>
      <c r="I120" s="1">
        <v>0</v>
      </c>
      <c r="J120" s="1">
        <v>0</v>
      </c>
      <c r="K120" s="1">
        <v>0</v>
      </c>
      <c r="L120" s="1">
        <v>0</v>
      </c>
      <c r="M120" s="17">
        <v>0</v>
      </c>
      <c r="N120" s="17">
        <v>0</v>
      </c>
      <c r="O120" s="17">
        <v>0</v>
      </c>
      <c r="P120" s="17">
        <v>0</v>
      </c>
      <c r="Q120" s="22">
        <v>0</v>
      </c>
      <c r="R120" s="285">
        <v>0</v>
      </c>
      <c r="S120" s="285">
        <v>0</v>
      </c>
      <c r="T120" s="111">
        <v>0</v>
      </c>
      <c r="U120" s="111" t="str">
        <f t="shared" si="55"/>
        <v>Normal</v>
      </c>
      <c r="V120" s="111" t="str">
        <f t="shared" si="56"/>
        <v>Normal</v>
      </c>
      <c r="W120" s="18">
        <f t="shared" si="57"/>
        <v>0</v>
      </c>
      <c r="X120" s="18">
        <f t="shared" si="58"/>
        <v>0</v>
      </c>
    </row>
    <row r="121" spans="1:24">
      <c r="A121" s="29">
        <v>45502</v>
      </c>
      <c r="B121" s="393">
        <f>IF(YEAR(Table6[[#This Row],[Date]]) = 2024, WEEKNUM(Table6[[#This Row],[Date]])-13, WEEKNUM(Table6[[#This Row],[Date]])+40)</f>
        <v>18</v>
      </c>
      <c r="C121" s="31" t="s">
        <v>55</v>
      </c>
      <c r="D121" s="295" t="s">
        <v>48</v>
      </c>
      <c r="E121" s="1">
        <v>593</v>
      </c>
      <c r="F121" s="1">
        <v>490</v>
      </c>
      <c r="G121" s="61">
        <f>(E121-E114)/E114</f>
        <v>6.4631956912028721E-2</v>
      </c>
      <c r="H121" s="61">
        <f>(F121-F114)/F114</f>
        <v>-4.8543689320388349E-2</v>
      </c>
      <c r="I121" s="1">
        <f>I119+E121</f>
        <v>14549</v>
      </c>
      <c r="J121" s="1">
        <f>J119+F121</f>
        <v>11844</v>
      </c>
      <c r="K121" s="1">
        <f>K119+Table9[[#This Row],[Calls Off]]</f>
        <v>58938</v>
      </c>
      <c r="L121" s="1">
        <f>L119+Table9[[#This Row],[Calls Ans]]</f>
        <v>46929</v>
      </c>
      <c r="M121" s="17">
        <v>0.45</v>
      </c>
      <c r="N121" s="17">
        <v>0.17</v>
      </c>
      <c r="O121" s="17">
        <v>0.83</v>
      </c>
      <c r="P121" s="17">
        <v>0.71</v>
      </c>
      <c r="Q121" s="22">
        <v>1</v>
      </c>
      <c r="R121" s="285">
        <v>80</v>
      </c>
      <c r="S121" s="285">
        <v>0</v>
      </c>
      <c r="T121" s="111">
        <v>4</v>
      </c>
      <c r="U121" s="111" t="str">
        <f t="shared" si="55"/>
        <v>Normal</v>
      </c>
      <c r="V121" s="111" t="str">
        <f t="shared" si="56"/>
        <v>Normal</v>
      </c>
      <c r="W121" s="18">
        <f t="shared" si="57"/>
        <v>6.4631956912028721E-2</v>
      </c>
      <c r="X121" s="18">
        <f t="shared" si="58"/>
        <v>-4.8543689320388349E-2</v>
      </c>
    </row>
    <row r="122" spans="1:24">
      <c r="A122" s="29">
        <v>45503</v>
      </c>
      <c r="B122" s="393">
        <f>IF(YEAR(Table6[[#This Row],[Date]]) = 2024, WEEKNUM(Table6[[#This Row],[Date]])-13, WEEKNUM(Table6[[#This Row],[Date]])+40)</f>
        <v>18</v>
      </c>
      <c r="C122" s="31" t="s">
        <v>49</v>
      </c>
      <c r="D122" s="295" t="s">
        <v>48</v>
      </c>
      <c r="E122" s="1">
        <v>527</v>
      </c>
      <c r="F122" s="1">
        <v>456</v>
      </c>
      <c r="G122" s="61">
        <f t="shared" ref="G122:G123" si="89">(E122-E115)/E115</f>
        <v>-0.11428571428571428</v>
      </c>
      <c r="H122" s="61">
        <f t="shared" ref="H122:H123" si="90">(F122-F115)/F115</f>
        <v>-8.617234468937876E-2</v>
      </c>
      <c r="I122" s="1">
        <f>I121+E122</f>
        <v>15076</v>
      </c>
      <c r="J122" s="1">
        <f>J121+F122</f>
        <v>12300</v>
      </c>
      <c r="K122" s="1">
        <f>K121+Table9[[#This Row],[Calls Off]]</f>
        <v>59465</v>
      </c>
      <c r="L122" s="1">
        <f>L121+Table9[[#This Row],[Calls Ans]]</f>
        <v>47385</v>
      </c>
      <c r="M122" s="17">
        <v>0.82</v>
      </c>
      <c r="N122" s="17">
        <v>0.13</v>
      </c>
      <c r="O122" s="17">
        <v>0.87</v>
      </c>
      <c r="P122" s="17">
        <v>0.63</v>
      </c>
      <c r="Q122" s="22">
        <v>1</v>
      </c>
      <c r="R122" s="285">
        <v>114</v>
      </c>
      <c r="S122" s="285">
        <v>0</v>
      </c>
      <c r="T122" s="111">
        <v>4</v>
      </c>
      <c r="U122" s="111" t="str">
        <f t="shared" si="55"/>
        <v>Normal</v>
      </c>
      <c r="V122" s="111" t="str">
        <f t="shared" si="56"/>
        <v>Normal</v>
      </c>
      <c r="W122" s="18">
        <f t="shared" si="57"/>
        <v>-0.11428571428571428</v>
      </c>
      <c r="X122" s="18">
        <f t="shared" si="58"/>
        <v>-8.617234468937876E-2</v>
      </c>
    </row>
    <row r="123" spans="1:24">
      <c r="A123" s="29">
        <v>45504</v>
      </c>
      <c r="B123" s="393">
        <f>IF(YEAR(Table6[[#This Row],[Date]]) = 2024, WEEKNUM(Table6[[#This Row],[Date]])-13, WEEKNUM(Table6[[#This Row],[Date]])+40)</f>
        <v>18</v>
      </c>
      <c r="C123" s="31" t="s">
        <v>50</v>
      </c>
      <c r="D123" s="295" t="s">
        <v>48</v>
      </c>
      <c r="E123" s="1">
        <v>592</v>
      </c>
      <c r="F123" s="1">
        <v>489</v>
      </c>
      <c r="G123" s="61">
        <f t="shared" si="89"/>
        <v>-0.1697054698457223</v>
      </c>
      <c r="H123" s="61">
        <f t="shared" si="90"/>
        <v>-0.1697792869269949</v>
      </c>
      <c r="I123" s="1">
        <f t="shared" ref="I123" si="91">I122+E123</f>
        <v>15668</v>
      </c>
      <c r="J123" s="1">
        <f t="shared" ref="J123" si="92">J122+F123</f>
        <v>12789</v>
      </c>
      <c r="K123" s="1">
        <f>K122+Table9[[#This Row],[Calls Off]]</f>
        <v>60057</v>
      </c>
      <c r="L123" s="1">
        <f>L122+Table9[[#This Row],[Calls Ans]]</f>
        <v>47874</v>
      </c>
      <c r="M123" s="17">
        <v>0.43</v>
      </c>
      <c r="N123" s="17">
        <v>0.17</v>
      </c>
      <c r="O123" s="17">
        <v>0.83</v>
      </c>
      <c r="P123" s="17">
        <v>0.6</v>
      </c>
      <c r="Q123" s="22">
        <v>1</v>
      </c>
      <c r="R123" s="285">
        <v>68</v>
      </c>
      <c r="S123" s="285">
        <v>0</v>
      </c>
      <c r="T123" s="111">
        <v>4</v>
      </c>
      <c r="U123" s="111" t="str">
        <f t="shared" si="55"/>
        <v>Normal</v>
      </c>
      <c r="V123" s="111" t="str">
        <f t="shared" si="56"/>
        <v>Normal</v>
      </c>
      <c r="W123" s="18">
        <f t="shared" si="57"/>
        <v>-0.1697054698457223</v>
      </c>
      <c r="X123" s="18">
        <f t="shared" si="58"/>
        <v>-0.1697792869269949</v>
      </c>
    </row>
    <row r="124" spans="1:24">
      <c r="A124" s="29">
        <v>45505</v>
      </c>
      <c r="B124" s="393">
        <f>IF(YEAR(Table6[[#This Row],[Date]]) = 2024, WEEKNUM(Table6[[#This Row],[Date]])-13, WEEKNUM(Table6[[#This Row],[Date]])+40)</f>
        <v>18</v>
      </c>
      <c r="C124" s="46" t="s">
        <v>51</v>
      </c>
      <c r="D124" s="295" t="s">
        <v>48</v>
      </c>
      <c r="E124" s="1">
        <v>0</v>
      </c>
      <c r="F124" s="1">
        <v>0</v>
      </c>
      <c r="G124" s="61">
        <v>0</v>
      </c>
      <c r="H124" s="61">
        <v>0</v>
      </c>
      <c r="I124" s="1">
        <v>0</v>
      </c>
      <c r="J124" s="1">
        <v>0</v>
      </c>
      <c r="K124" s="1">
        <v>0</v>
      </c>
      <c r="L124" s="1">
        <v>0</v>
      </c>
      <c r="M124" s="17">
        <v>0</v>
      </c>
      <c r="N124" s="17">
        <v>0</v>
      </c>
      <c r="O124" s="17">
        <v>0</v>
      </c>
      <c r="P124" s="17">
        <v>0</v>
      </c>
      <c r="Q124" s="22">
        <v>0</v>
      </c>
      <c r="R124" s="285">
        <v>0</v>
      </c>
      <c r="S124" s="285">
        <v>0</v>
      </c>
      <c r="T124" s="111">
        <v>0</v>
      </c>
      <c r="U124" s="111" t="str">
        <f t="shared" si="55"/>
        <v>Normal</v>
      </c>
      <c r="V124" s="111" t="str">
        <f t="shared" si="56"/>
        <v>Normal</v>
      </c>
      <c r="W124" s="18">
        <f t="shared" si="57"/>
        <v>0</v>
      </c>
      <c r="X124" s="18">
        <f t="shared" si="58"/>
        <v>0</v>
      </c>
    </row>
    <row r="125" spans="1:24">
      <c r="A125" s="29">
        <v>45506</v>
      </c>
      <c r="B125" s="393">
        <f>IF(YEAR(Table6[[#This Row],[Date]]) = 2024, WEEKNUM(Table6[[#This Row],[Date]])-13, WEEKNUM(Table6[[#This Row],[Date]])+40)</f>
        <v>18</v>
      </c>
      <c r="C125" s="31" t="s">
        <v>52</v>
      </c>
      <c r="D125" s="295" t="s">
        <v>48</v>
      </c>
      <c r="E125" s="1">
        <v>694</v>
      </c>
      <c r="F125" s="1">
        <v>509</v>
      </c>
      <c r="G125" s="61">
        <f t="shared" ref="G125:G126" si="93">(E125-E118)/E118</f>
        <v>-0.1442663378545006</v>
      </c>
      <c r="H125" s="61">
        <f t="shared" ref="H125:H126" si="94">(F125-F118)/F118</f>
        <v>-0.12692967409948541</v>
      </c>
      <c r="I125" s="1">
        <f t="shared" ref="I125:I126" si="95">I124+E125</f>
        <v>694</v>
      </c>
      <c r="J125" s="1">
        <f t="shared" ref="J125:J126" si="96">J124+F125</f>
        <v>509</v>
      </c>
      <c r="K125" s="1">
        <f>K123+Table9[[#This Row],[Calls Off]]</f>
        <v>60751</v>
      </c>
      <c r="L125" s="1">
        <f>L123+Table9[[#This Row],[Calls Ans]]</f>
        <v>48383</v>
      </c>
      <c r="M125" s="17">
        <v>0.34</v>
      </c>
      <c r="N125" s="17">
        <v>0.27</v>
      </c>
      <c r="O125" s="17">
        <v>0.73</v>
      </c>
      <c r="P125" s="17">
        <v>0.6</v>
      </c>
      <c r="Q125" s="22">
        <v>1</v>
      </c>
      <c r="R125" s="285">
        <v>118</v>
      </c>
      <c r="S125" s="285">
        <v>0</v>
      </c>
      <c r="T125" s="111"/>
      <c r="U125" s="111" t="str">
        <f t="shared" si="55"/>
        <v>Normal</v>
      </c>
      <c r="V125" s="111" t="str">
        <f t="shared" si="56"/>
        <v>Normal</v>
      </c>
      <c r="W125" s="18">
        <f t="shared" si="57"/>
        <v>-0.1442663378545006</v>
      </c>
      <c r="X125" s="18">
        <f t="shared" si="58"/>
        <v>-0.12692967409948541</v>
      </c>
    </row>
    <row r="126" spans="1:24">
      <c r="A126" s="29">
        <v>45507</v>
      </c>
      <c r="B126" s="393">
        <f>IF(YEAR(Table6[[#This Row],[Date]]) = 2024, WEEKNUM(Table6[[#This Row],[Date]])-13, WEEKNUM(Table6[[#This Row],[Date]])+40)</f>
        <v>18</v>
      </c>
      <c r="C126" s="31" t="s">
        <v>53</v>
      </c>
      <c r="D126" s="295" t="s">
        <v>48</v>
      </c>
      <c r="E126" s="1">
        <v>331</v>
      </c>
      <c r="F126" s="1">
        <v>304</v>
      </c>
      <c r="G126" s="61">
        <f t="shared" si="93"/>
        <v>-0.33266129032258063</v>
      </c>
      <c r="H126" s="61">
        <f t="shared" si="94"/>
        <v>-0.19363395225464192</v>
      </c>
      <c r="I126" s="1">
        <f t="shared" si="95"/>
        <v>1025</v>
      </c>
      <c r="J126" s="1">
        <f t="shared" si="96"/>
        <v>813</v>
      </c>
      <c r="K126" s="1">
        <f>K125+Table9[[#This Row],[Calls Off]]</f>
        <v>61082</v>
      </c>
      <c r="L126" s="1">
        <f>L125+Table9[[#This Row],[Calls Ans]]</f>
        <v>48687</v>
      </c>
      <c r="M126" s="17">
        <v>0.95</v>
      </c>
      <c r="N126" s="17">
        <v>0.08</v>
      </c>
      <c r="O126" s="17">
        <v>0.92</v>
      </c>
      <c r="P126" s="17">
        <v>0.54</v>
      </c>
      <c r="Q126" s="22">
        <v>1</v>
      </c>
      <c r="R126" s="285">
        <v>180</v>
      </c>
      <c r="S126" s="285">
        <v>0</v>
      </c>
      <c r="T126" s="111"/>
      <c r="U126" s="111" t="str">
        <f t="shared" si="55"/>
        <v>Normal</v>
      </c>
      <c r="V126" s="111" t="str">
        <f t="shared" si="56"/>
        <v>Normal</v>
      </c>
      <c r="W126" s="18">
        <f t="shared" si="57"/>
        <v>-0.33266129032258063</v>
      </c>
      <c r="X126" s="18">
        <f t="shared" si="58"/>
        <v>-0.19363395225464192</v>
      </c>
    </row>
    <row r="127" spans="1:24">
      <c r="A127" s="29">
        <v>45508</v>
      </c>
      <c r="B127" s="393">
        <f>IF(YEAR(Table6[[#This Row],[Date]]) = 2024, WEEKNUM(Table6[[#This Row],[Date]])-13, WEEKNUM(Table6[[#This Row],[Date]])+40)</f>
        <v>19</v>
      </c>
      <c r="C127" s="31" t="s">
        <v>54</v>
      </c>
      <c r="D127" s="295" t="s">
        <v>48</v>
      </c>
      <c r="E127" s="1">
        <v>0</v>
      </c>
      <c r="F127" s="1">
        <v>0</v>
      </c>
      <c r="G127" s="61">
        <v>0</v>
      </c>
      <c r="H127" s="61">
        <v>0</v>
      </c>
      <c r="I127" s="1">
        <v>0</v>
      </c>
      <c r="J127" s="1">
        <v>0</v>
      </c>
      <c r="K127" s="1">
        <v>0</v>
      </c>
      <c r="L127" s="1">
        <v>0</v>
      </c>
      <c r="M127" s="17">
        <v>0</v>
      </c>
      <c r="N127" s="17">
        <v>0</v>
      </c>
      <c r="O127" s="17">
        <v>0</v>
      </c>
      <c r="P127" s="17">
        <v>0</v>
      </c>
      <c r="Q127" s="22">
        <v>0</v>
      </c>
      <c r="R127" s="285">
        <v>0</v>
      </c>
      <c r="S127" s="285">
        <v>0</v>
      </c>
      <c r="T127" s="111">
        <v>0</v>
      </c>
      <c r="U127" s="111" t="str">
        <f t="shared" si="55"/>
        <v>Normal</v>
      </c>
      <c r="V127" s="111" t="str">
        <f t="shared" si="56"/>
        <v>Normal</v>
      </c>
      <c r="W127" s="18">
        <f t="shared" si="57"/>
        <v>0</v>
      </c>
      <c r="X127" s="18">
        <f t="shared" si="58"/>
        <v>0</v>
      </c>
    </row>
    <row r="128" spans="1:24">
      <c r="A128" s="29">
        <v>45509</v>
      </c>
      <c r="B128" s="393">
        <f>IF(YEAR(Table6[[#This Row],[Date]]) = 2024, WEEKNUM(Table6[[#This Row],[Date]])-13, WEEKNUM(Table6[[#This Row],[Date]])+40)</f>
        <v>19</v>
      </c>
      <c r="C128" s="46" t="s">
        <v>55</v>
      </c>
      <c r="D128" s="295" t="s">
        <v>48</v>
      </c>
      <c r="E128" s="1">
        <v>599</v>
      </c>
      <c r="F128" s="1">
        <v>535</v>
      </c>
      <c r="G128" s="61">
        <f>(E128-E121)/E121</f>
        <v>1.0118043844856661E-2</v>
      </c>
      <c r="H128" s="61">
        <f>(F128-F121)/F121</f>
        <v>9.1836734693877556E-2</v>
      </c>
      <c r="I128" s="1">
        <f>I126+E128</f>
        <v>1624</v>
      </c>
      <c r="J128" s="1">
        <f>J126+F128</f>
        <v>1348</v>
      </c>
      <c r="K128" s="1">
        <f>K126+Table9[[#This Row],[Calls Off]]</f>
        <v>61681</v>
      </c>
      <c r="L128" s="1">
        <f>L126+Table9[[#This Row],[Calls Ans]]</f>
        <v>49222</v>
      </c>
      <c r="M128" s="17">
        <v>0.95</v>
      </c>
      <c r="N128" s="17">
        <v>0.11</v>
      </c>
      <c r="O128" s="17">
        <v>0.89</v>
      </c>
      <c r="P128" s="17">
        <v>0.65</v>
      </c>
      <c r="Q128" s="22">
        <v>1</v>
      </c>
      <c r="R128" s="285">
        <v>126</v>
      </c>
      <c r="S128" s="285">
        <v>0</v>
      </c>
      <c r="T128" s="111"/>
      <c r="U128" s="111" t="str">
        <f t="shared" si="55"/>
        <v>Normal</v>
      </c>
      <c r="V128" s="111" t="str">
        <f t="shared" si="56"/>
        <v>Normal</v>
      </c>
      <c r="W128" s="18">
        <f t="shared" si="57"/>
        <v>1.0118043844856661E-2</v>
      </c>
      <c r="X128" s="18">
        <f t="shared" si="58"/>
        <v>9.1836734693877556E-2</v>
      </c>
    </row>
    <row r="129" spans="1:24">
      <c r="A129" s="29">
        <v>45510</v>
      </c>
      <c r="B129" s="393">
        <f>IF(YEAR(Table6[[#This Row],[Date]]) = 2024, WEEKNUM(Table6[[#This Row],[Date]])-13, WEEKNUM(Table6[[#This Row],[Date]])+40)</f>
        <v>19</v>
      </c>
      <c r="C129" s="31" t="s">
        <v>49</v>
      </c>
      <c r="D129" s="295" t="s">
        <v>48</v>
      </c>
      <c r="E129" s="1">
        <v>591</v>
      </c>
      <c r="F129" s="1">
        <v>503</v>
      </c>
      <c r="G129" s="61">
        <f t="shared" ref="G129:G133" si="97">(E129-E122)/E122</f>
        <v>0.12144212523719165</v>
      </c>
      <c r="H129" s="61">
        <f t="shared" ref="H129:H133" si="98">(F129-F122)/F122</f>
        <v>0.10307017543859649</v>
      </c>
      <c r="I129" s="1">
        <f>I128+E129</f>
        <v>2215</v>
      </c>
      <c r="J129" s="1">
        <f>J128+F129</f>
        <v>1851</v>
      </c>
      <c r="K129" s="1">
        <f>K128+Table9[[#This Row],[Calls Off]]</f>
        <v>62272</v>
      </c>
      <c r="L129" s="1">
        <f>L128+Table9[[#This Row],[Calls Ans]]</f>
        <v>49725</v>
      </c>
      <c r="M129" s="17">
        <v>0.83</v>
      </c>
      <c r="N129" s="17">
        <v>0.15</v>
      </c>
      <c r="O129" s="17">
        <v>0.85</v>
      </c>
      <c r="P129" s="17">
        <v>0.67</v>
      </c>
      <c r="Q129" s="22">
        <v>1</v>
      </c>
      <c r="R129" s="285">
        <v>102</v>
      </c>
      <c r="S129" s="285">
        <v>0</v>
      </c>
      <c r="T129" s="111"/>
      <c r="U129" s="111" t="str">
        <f t="shared" si="55"/>
        <v>Normal</v>
      </c>
      <c r="V129" s="111" t="str">
        <f t="shared" si="56"/>
        <v>Normal</v>
      </c>
      <c r="W129" s="18">
        <f t="shared" si="57"/>
        <v>0.12144212523719165</v>
      </c>
      <c r="X129" s="18">
        <f t="shared" si="58"/>
        <v>0.10307017543859649</v>
      </c>
    </row>
    <row r="130" spans="1:24">
      <c r="A130" s="29">
        <v>45511</v>
      </c>
      <c r="B130" s="393">
        <f>IF(YEAR(Table6[[#This Row],[Date]]) = 2024, WEEKNUM(Table6[[#This Row],[Date]])-13, WEEKNUM(Table6[[#This Row],[Date]])+40)</f>
        <v>19</v>
      </c>
      <c r="C130" s="31" t="s">
        <v>50</v>
      </c>
      <c r="D130" s="295" t="s">
        <v>48</v>
      </c>
      <c r="E130" s="1">
        <v>549</v>
      </c>
      <c r="F130" s="1">
        <v>470</v>
      </c>
      <c r="G130" s="61">
        <f t="shared" si="97"/>
        <v>-7.2635135135135129E-2</v>
      </c>
      <c r="H130" s="61">
        <f t="shared" si="98"/>
        <v>-3.8854805725971372E-2</v>
      </c>
      <c r="I130" s="1">
        <f t="shared" ref="I130:I133" si="99">I129+E130</f>
        <v>2764</v>
      </c>
      <c r="J130" s="1">
        <f t="shared" ref="J130:J133" si="100">J129+F130</f>
        <v>2321</v>
      </c>
      <c r="K130" s="1">
        <f>K129+Table9[[#This Row],[Calls Off]]</f>
        <v>62821</v>
      </c>
      <c r="L130" s="1">
        <f>L129+Table9[[#This Row],[Calls Ans]]</f>
        <v>50195</v>
      </c>
      <c r="M130" s="17">
        <v>0.5</v>
      </c>
      <c r="N130" s="17">
        <v>0.14000000000000001</v>
      </c>
      <c r="O130" s="17">
        <v>0.62</v>
      </c>
      <c r="P130" s="17">
        <v>0.62</v>
      </c>
      <c r="Q130" s="22">
        <v>1</v>
      </c>
      <c r="R130" s="285">
        <v>168</v>
      </c>
      <c r="S130" s="285">
        <v>0</v>
      </c>
      <c r="T130" s="111"/>
      <c r="U130" s="111" t="str">
        <f t="shared" si="55"/>
        <v>Normal</v>
      </c>
      <c r="V130" s="111" t="str">
        <f t="shared" si="56"/>
        <v>Normal</v>
      </c>
      <c r="W130" s="18">
        <f t="shared" si="57"/>
        <v>-7.2635135135135129E-2</v>
      </c>
      <c r="X130" s="18">
        <f t="shared" si="58"/>
        <v>-3.8854805725971372E-2</v>
      </c>
    </row>
    <row r="131" spans="1:24">
      <c r="A131" s="29">
        <v>45512</v>
      </c>
      <c r="B131" s="393">
        <f>IF(YEAR(Table6[[#This Row],[Date]]) = 2024, WEEKNUM(Table6[[#This Row],[Date]])-13, WEEKNUM(Table6[[#This Row],[Date]])+40)</f>
        <v>19</v>
      </c>
      <c r="C131" s="31" t="s">
        <v>51</v>
      </c>
      <c r="D131" s="295" t="s">
        <v>48</v>
      </c>
      <c r="E131" s="1">
        <v>489</v>
      </c>
      <c r="F131" s="1">
        <v>431</v>
      </c>
      <c r="G131" s="61">
        <v>0</v>
      </c>
      <c r="H131" s="61">
        <v>0</v>
      </c>
      <c r="I131" s="1">
        <f t="shared" si="99"/>
        <v>3253</v>
      </c>
      <c r="J131" s="1">
        <f t="shared" si="100"/>
        <v>2752</v>
      </c>
      <c r="K131" s="1">
        <f>K130+Table9[[#This Row],[Calls Off]]</f>
        <v>63310</v>
      </c>
      <c r="L131" s="1">
        <f>L130+Table9[[#This Row],[Calls Ans]]</f>
        <v>50626</v>
      </c>
      <c r="M131" s="17">
        <v>0.69</v>
      </c>
      <c r="N131" s="17">
        <v>0.12</v>
      </c>
      <c r="O131" s="17">
        <v>0.88</v>
      </c>
      <c r="P131" s="17">
        <v>0.56000000000000005</v>
      </c>
      <c r="Q131" s="22">
        <v>1</v>
      </c>
      <c r="R131" s="285">
        <v>149</v>
      </c>
      <c r="S131" s="285">
        <v>0</v>
      </c>
      <c r="T131" s="111"/>
      <c r="U131" s="111" t="str">
        <f t="shared" ref="U131:U194" si="101">IF(OR(G131&lt;$AC$5,G131&gt;$AD$5), "Outlier", "Normal")</f>
        <v>Normal</v>
      </c>
      <c r="V131" s="111" t="str">
        <f t="shared" ref="V131:V194" si="102">IF(OR(H131&lt;$AC$6,H131&gt;$AD$6), "Outlier", "Normal")</f>
        <v>Normal</v>
      </c>
      <c r="W131" s="18">
        <f t="shared" ref="W131:W194" si="103">IF(U131="Normal",$G131,IF($G131&lt;150%, $G131, $AC$9))</f>
        <v>0</v>
      </c>
      <c r="X131" s="18">
        <f t="shared" ref="X131:X194" si="104">IF(V131="Normal",$H131,IF($H131&lt;150%, $H131, $AG$9))</f>
        <v>0</v>
      </c>
    </row>
    <row r="132" spans="1:24">
      <c r="A132" s="29">
        <v>45513</v>
      </c>
      <c r="B132" s="393">
        <f>IF(YEAR(Table6[[#This Row],[Date]]) = 2024, WEEKNUM(Table6[[#This Row],[Date]])-13, WEEKNUM(Table6[[#This Row],[Date]])+40)</f>
        <v>19</v>
      </c>
      <c r="C132" s="31" t="s">
        <v>52</v>
      </c>
      <c r="D132" s="295" t="s">
        <v>48</v>
      </c>
      <c r="E132" s="1">
        <v>489</v>
      </c>
      <c r="F132" s="1">
        <v>431</v>
      </c>
      <c r="G132" s="61">
        <f t="shared" si="97"/>
        <v>-0.29538904899135449</v>
      </c>
      <c r="H132" s="61">
        <f t="shared" si="98"/>
        <v>-0.15324165029469547</v>
      </c>
      <c r="I132" s="1">
        <f t="shared" si="99"/>
        <v>3742</v>
      </c>
      <c r="J132" s="1">
        <f t="shared" si="100"/>
        <v>3183</v>
      </c>
      <c r="K132" s="1">
        <f>K131+Table9[[#This Row],[Calls Off]]</f>
        <v>63799</v>
      </c>
      <c r="L132" s="1">
        <f>L131+Table9[[#This Row],[Calls Ans]]</f>
        <v>51057</v>
      </c>
      <c r="M132" s="17">
        <v>0.8</v>
      </c>
      <c r="N132" s="17">
        <v>0.15</v>
      </c>
      <c r="O132" s="17">
        <v>0.85</v>
      </c>
      <c r="P132" s="17">
        <v>0.54</v>
      </c>
      <c r="Q132" s="22">
        <v>1</v>
      </c>
      <c r="R132" s="285">
        <v>114</v>
      </c>
      <c r="S132" s="285">
        <v>0</v>
      </c>
      <c r="T132" s="111"/>
      <c r="U132" s="111" t="str">
        <f t="shared" si="101"/>
        <v>Normal</v>
      </c>
      <c r="V132" s="111" t="str">
        <f t="shared" si="102"/>
        <v>Normal</v>
      </c>
      <c r="W132" s="18">
        <f t="shared" si="103"/>
        <v>-0.29538904899135449</v>
      </c>
      <c r="X132" s="18">
        <f t="shared" si="104"/>
        <v>-0.15324165029469547</v>
      </c>
    </row>
    <row r="133" spans="1:24">
      <c r="A133" s="29">
        <v>45514</v>
      </c>
      <c r="B133" s="393">
        <f>IF(YEAR(Table6[[#This Row],[Date]]) = 2024, WEEKNUM(Table6[[#This Row],[Date]])-13, WEEKNUM(Table6[[#This Row],[Date]])+40)</f>
        <v>19</v>
      </c>
      <c r="C133" s="31" t="s">
        <v>53</v>
      </c>
      <c r="D133" s="295" t="s">
        <v>48</v>
      </c>
      <c r="E133" s="1">
        <v>349</v>
      </c>
      <c r="F133" s="1">
        <v>311</v>
      </c>
      <c r="G133" s="61">
        <f t="shared" si="97"/>
        <v>5.4380664652567974E-2</v>
      </c>
      <c r="H133" s="61">
        <f t="shared" si="98"/>
        <v>2.3026315789473683E-2</v>
      </c>
      <c r="I133" s="1">
        <f t="shared" si="99"/>
        <v>4091</v>
      </c>
      <c r="J133" s="1">
        <f t="shared" si="100"/>
        <v>3494</v>
      </c>
      <c r="K133" s="1">
        <f>K132+Table9[[#This Row],[Calls Off]]</f>
        <v>64148</v>
      </c>
      <c r="L133" s="1">
        <f>L132+Table9[[#This Row],[Calls Ans]]</f>
        <v>51368</v>
      </c>
      <c r="M133" s="17">
        <v>0.77</v>
      </c>
      <c r="N133" s="17">
        <v>0.11</v>
      </c>
      <c r="O133" s="17">
        <v>0.89</v>
      </c>
      <c r="P133" s="17">
        <v>0.53</v>
      </c>
      <c r="Q133" s="22">
        <v>1</v>
      </c>
      <c r="R133" s="285">
        <v>102</v>
      </c>
      <c r="S133" s="285">
        <v>0</v>
      </c>
      <c r="T133" s="111"/>
      <c r="U133" s="111" t="str">
        <f t="shared" si="101"/>
        <v>Normal</v>
      </c>
      <c r="V133" s="111" t="str">
        <f t="shared" si="102"/>
        <v>Normal</v>
      </c>
      <c r="W133" s="18">
        <f t="shared" si="103"/>
        <v>5.4380664652567974E-2</v>
      </c>
      <c r="X133" s="18">
        <f t="shared" si="104"/>
        <v>2.3026315789473683E-2</v>
      </c>
    </row>
    <row r="134" spans="1:24">
      <c r="A134" s="29">
        <v>45515</v>
      </c>
      <c r="B134" s="409"/>
      <c r="C134" s="31" t="s">
        <v>54</v>
      </c>
      <c r="D134" s="295" t="s">
        <v>48</v>
      </c>
      <c r="E134" s="1"/>
      <c r="F134" s="1"/>
      <c r="G134" s="61"/>
      <c r="H134" s="61"/>
      <c r="I134" s="1"/>
      <c r="J134" s="1"/>
      <c r="K134" s="1"/>
      <c r="L134" s="1"/>
      <c r="M134" s="17"/>
      <c r="N134" s="17"/>
      <c r="O134" s="17"/>
      <c r="P134" s="17"/>
      <c r="Q134" s="22"/>
      <c r="R134" s="285"/>
      <c r="S134" s="285"/>
      <c r="T134" s="111"/>
      <c r="U134" s="111" t="str">
        <f t="shared" si="101"/>
        <v>Normal</v>
      </c>
      <c r="V134" s="111" t="str">
        <f t="shared" si="102"/>
        <v>Normal</v>
      </c>
      <c r="W134" s="18">
        <f t="shared" si="103"/>
        <v>0</v>
      </c>
      <c r="X134" s="18">
        <f t="shared" si="104"/>
        <v>0</v>
      </c>
    </row>
    <row r="135" spans="1:24">
      <c r="A135" s="29">
        <v>45516</v>
      </c>
      <c r="B135" s="409"/>
      <c r="C135" s="31" t="s">
        <v>55</v>
      </c>
      <c r="D135" s="295" t="s">
        <v>48</v>
      </c>
      <c r="E135" s="1"/>
      <c r="F135" s="1"/>
      <c r="G135" s="61"/>
      <c r="H135" s="61"/>
      <c r="I135" s="1"/>
      <c r="J135" s="1"/>
      <c r="K135" s="1"/>
      <c r="L135" s="1"/>
      <c r="M135" s="17"/>
      <c r="N135" s="17"/>
      <c r="O135" s="17"/>
      <c r="P135" s="17"/>
      <c r="Q135" s="22"/>
      <c r="R135" s="285"/>
      <c r="S135" s="285"/>
      <c r="T135" s="111"/>
      <c r="U135" s="111" t="str">
        <f t="shared" si="101"/>
        <v>Normal</v>
      </c>
      <c r="V135" s="111" t="str">
        <f t="shared" si="102"/>
        <v>Normal</v>
      </c>
      <c r="W135" s="18">
        <f t="shared" si="103"/>
        <v>0</v>
      </c>
      <c r="X135" s="18">
        <f t="shared" si="104"/>
        <v>0</v>
      </c>
    </row>
    <row r="136" spans="1:24">
      <c r="A136" s="29">
        <v>45517</v>
      </c>
      <c r="B136" s="409"/>
      <c r="C136" s="31"/>
      <c r="D136" s="295"/>
      <c r="E136" s="1"/>
      <c r="F136" s="1"/>
      <c r="G136" s="61"/>
      <c r="H136" s="61"/>
      <c r="I136" s="1"/>
      <c r="J136" s="1"/>
      <c r="K136" s="1"/>
      <c r="L136" s="1"/>
      <c r="M136" s="17"/>
      <c r="N136" s="17"/>
      <c r="O136" s="17"/>
      <c r="P136" s="17"/>
      <c r="Q136" s="22"/>
      <c r="R136" s="285"/>
      <c r="S136" s="285"/>
      <c r="T136" s="111"/>
      <c r="U136" s="111" t="str">
        <f t="shared" si="101"/>
        <v>Normal</v>
      </c>
      <c r="V136" s="111" t="str">
        <f t="shared" si="102"/>
        <v>Normal</v>
      </c>
      <c r="W136" s="18">
        <f t="shared" si="103"/>
        <v>0</v>
      </c>
      <c r="X136" s="18">
        <f t="shared" si="104"/>
        <v>0</v>
      </c>
    </row>
    <row r="137" spans="1:24">
      <c r="A137" s="29">
        <v>45518</v>
      </c>
      <c r="B137" s="409"/>
      <c r="C137" s="31"/>
      <c r="D137" s="295"/>
      <c r="E137" s="1"/>
      <c r="F137" s="1"/>
      <c r="G137" s="61"/>
      <c r="H137" s="61"/>
      <c r="I137" s="1"/>
      <c r="J137" s="1"/>
      <c r="K137" s="1"/>
      <c r="L137" s="1"/>
      <c r="M137" s="17"/>
      <c r="N137" s="17"/>
      <c r="O137" s="17"/>
      <c r="P137" s="17"/>
      <c r="Q137" s="22"/>
      <c r="R137" s="285"/>
      <c r="S137" s="285"/>
      <c r="T137" s="111"/>
      <c r="U137" s="111" t="str">
        <f t="shared" si="101"/>
        <v>Normal</v>
      </c>
      <c r="V137" s="111" t="str">
        <f t="shared" si="102"/>
        <v>Normal</v>
      </c>
      <c r="W137" s="18">
        <f t="shared" si="103"/>
        <v>0</v>
      </c>
      <c r="X137" s="18">
        <f t="shared" si="104"/>
        <v>0</v>
      </c>
    </row>
    <row r="138" spans="1:24">
      <c r="A138" s="29">
        <v>45519</v>
      </c>
      <c r="B138" s="409"/>
      <c r="C138" s="31"/>
      <c r="D138" s="295"/>
      <c r="E138" s="1"/>
      <c r="F138" s="1"/>
      <c r="G138" s="61"/>
      <c r="H138" s="61"/>
      <c r="I138" s="1"/>
      <c r="J138" s="1"/>
      <c r="K138" s="1"/>
      <c r="L138" s="1"/>
      <c r="M138" s="17"/>
      <c r="N138" s="17"/>
      <c r="O138" s="17"/>
      <c r="P138" s="17"/>
      <c r="Q138" s="22"/>
      <c r="R138" s="285"/>
      <c r="S138" s="285"/>
      <c r="T138" s="111"/>
      <c r="U138" s="111" t="str">
        <f t="shared" si="101"/>
        <v>Normal</v>
      </c>
      <c r="V138" s="111" t="str">
        <f t="shared" si="102"/>
        <v>Normal</v>
      </c>
      <c r="W138" s="18">
        <f t="shared" si="103"/>
        <v>0</v>
      </c>
      <c r="X138" s="18">
        <f t="shared" si="104"/>
        <v>0</v>
      </c>
    </row>
    <row r="139" spans="1:24">
      <c r="A139" s="29">
        <v>45520</v>
      </c>
      <c r="B139" s="409"/>
      <c r="C139" s="31"/>
      <c r="D139" s="295"/>
      <c r="E139" s="1"/>
      <c r="F139" s="1"/>
      <c r="G139" s="61"/>
      <c r="H139" s="61"/>
      <c r="I139" s="1"/>
      <c r="J139" s="1"/>
      <c r="K139" s="1"/>
      <c r="L139" s="1"/>
      <c r="M139" s="17"/>
      <c r="N139" s="17"/>
      <c r="O139" s="17"/>
      <c r="P139" s="17"/>
      <c r="Q139" s="22"/>
      <c r="R139" s="285"/>
      <c r="S139" s="285"/>
      <c r="T139" s="111"/>
      <c r="U139" s="111" t="str">
        <f t="shared" si="101"/>
        <v>Normal</v>
      </c>
      <c r="V139" s="111" t="str">
        <f t="shared" si="102"/>
        <v>Normal</v>
      </c>
      <c r="W139" s="18">
        <f t="shared" si="103"/>
        <v>0</v>
      </c>
      <c r="X139" s="18">
        <f t="shared" si="104"/>
        <v>0</v>
      </c>
    </row>
    <row r="140" spans="1:24">
      <c r="A140" s="29">
        <v>45521</v>
      </c>
      <c r="B140" s="409"/>
      <c r="C140" s="31"/>
      <c r="D140" s="295"/>
      <c r="E140" s="1"/>
      <c r="F140" s="1"/>
      <c r="G140" s="61"/>
      <c r="H140" s="61"/>
      <c r="I140" s="1"/>
      <c r="J140" s="1"/>
      <c r="K140" s="1"/>
      <c r="L140" s="1"/>
      <c r="M140" s="17"/>
      <c r="N140" s="17"/>
      <c r="O140" s="17"/>
      <c r="P140" s="17"/>
      <c r="Q140" s="22"/>
      <c r="R140" s="285"/>
      <c r="S140" s="285"/>
      <c r="T140" s="111"/>
      <c r="U140" s="111" t="str">
        <f t="shared" si="101"/>
        <v>Normal</v>
      </c>
      <c r="V140" s="111" t="str">
        <f t="shared" si="102"/>
        <v>Normal</v>
      </c>
      <c r="W140" s="18">
        <f t="shared" si="103"/>
        <v>0</v>
      </c>
      <c r="X140" s="18">
        <f t="shared" si="104"/>
        <v>0</v>
      </c>
    </row>
    <row r="141" spans="1:24">
      <c r="A141" s="29">
        <v>45522</v>
      </c>
      <c r="B141" s="409"/>
      <c r="C141" s="31"/>
      <c r="D141" s="295"/>
      <c r="E141" s="1"/>
      <c r="F141" s="1"/>
      <c r="G141" s="61"/>
      <c r="H141" s="61"/>
      <c r="I141" s="1"/>
      <c r="J141" s="1"/>
      <c r="K141" s="1"/>
      <c r="L141" s="1"/>
      <c r="M141" s="17"/>
      <c r="N141" s="17"/>
      <c r="O141" s="17"/>
      <c r="P141" s="17"/>
      <c r="Q141" s="22"/>
      <c r="R141" s="285"/>
      <c r="S141" s="285"/>
      <c r="T141" s="111"/>
      <c r="U141" s="111" t="str">
        <f t="shared" si="101"/>
        <v>Normal</v>
      </c>
      <c r="V141" s="111" t="str">
        <f t="shared" si="102"/>
        <v>Normal</v>
      </c>
      <c r="W141" s="18">
        <f t="shared" si="103"/>
        <v>0</v>
      </c>
      <c r="X141" s="18">
        <f t="shared" si="104"/>
        <v>0</v>
      </c>
    </row>
    <row r="142" spans="1:24">
      <c r="A142" s="29">
        <v>45523</v>
      </c>
      <c r="B142" s="409"/>
      <c r="C142" s="31"/>
      <c r="D142" s="295"/>
      <c r="E142" s="1"/>
      <c r="F142" s="1"/>
      <c r="G142" s="61"/>
      <c r="H142" s="61"/>
      <c r="I142" s="1"/>
      <c r="J142" s="1"/>
      <c r="K142" s="1"/>
      <c r="L142" s="1"/>
      <c r="M142" s="17"/>
      <c r="N142" s="17"/>
      <c r="O142" s="17"/>
      <c r="P142" s="17"/>
      <c r="Q142" s="22"/>
      <c r="R142" s="285"/>
      <c r="S142" s="285"/>
      <c r="T142" s="111"/>
      <c r="U142" s="111" t="str">
        <f t="shared" si="101"/>
        <v>Normal</v>
      </c>
      <c r="V142" s="111" t="str">
        <f t="shared" si="102"/>
        <v>Normal</v>
      </c>
      <c r="W142" s="18">
        <f t="shared" si="103"/>
        <v>0</v>
      </c>
      <c r="X142" s="18">
        <f t="shared" si="104"/>
        <v>0</v>
      </c>
    </row>
    <row r="143" spans="1:24">
      <c r="A143" s="29">
        <v>45524</v>
      </c>
      <c r="B143" s="409"/>
      <c r="C143" s="31"/>
      <c r="D143" s="295"/>
      <c r="E143" s="1"/>
      <c r="F143" s="1"/>
      <c r="G143" s="61"/>
      <c r="H143" s="61"/>
      <c r="I143" s="1"/>
      <c r="J143" s="1"/>
      <c r="K143" s="1"/>
      <c r="L143" s="1"/>
      <c r="M143" s="17"/>
      <c r="N143" s="17"/>
      <c r="O143" s="17"/>
      <c r="P143" s="17"/>
      <c r="Q143" s="22"/>
      <c r="R143" s="285"/>
      <c r="S143" s="285"/>
      <c r="T143" s="111"/>
      <c r="U143" s="111" t="str">
        <f t="shared" si="101"/>
        <v>Normal</v>
      </c>
      <c r="V143" s="111" t="str">
        <f t="shared" si="102"/>
        <v>Normal</v>
      </c>
      <c r="W143" s="18">
        <f t="shared" si="103"/>
        <v>0</v>
      </c>
      <c r="X143" s="18">
        <f t="shared" si="104"/>
        <v>0</v>
      </c>
    </row>
    <row r="144" spans="1:24">
      <c r="A144" s="29">
        <v>45525</v>
      </c>
      <c r="B144" s="409"/>
      <c r="C144" s="31"/>
      <c r="D144" s="295"/>
      <c r="E144" s="1"/>
      <c r="F144" s="1"/>
      <c r="G144" s="61"/>
      <c r="H144" s="61"/>
      <c r="I144" s="1"/>
      <c r="J144" s="1"/>
      <c r="K144" s="1"/>
      <c r="L144" s="1"/>
      <c r="M144" s="17"/>
      <c r="N144" s="17"/>
      <c r="O144" s="17"/>
      <c r="P144" s="17"/>
      <c r="Q144" s="22"/>
      <c r="R144" s="285"/>
      <c r="S144" s="285"/>
      <c r="T144" s="111"/>
      <c r="U144" s="111" t="str">
        <f t="shared" si="101"/>
        <v>Normal</v>
      </c>
      <c r="V144" s="111" t="str">
        <f t="shared" si="102"/>
        <v>Normal</v>
      </c>
      <c r="W144" s="18">
        <f t="shared" si="103"/>
        <v>0</v>
      </c>
      <c r="X144" s="18">
        <f t="shared" si="104"/>
        <v>0</v>
      </c>
    </row>
    <row r="145" spans="1:24">
      <c r="A145" s="29">
        <v>45526</v>
      </c>
      <c r="B145" s="409"/>
      <c r="C145" s="31"/>
      <c r="D145" s="295"/>
      <c r="E145" s="1"/>
      <c r="F145" s="1"/>
      <c r="G145" s="61"/>
      <c r="H145" s="61"/>
      <c r="I145" s="1"/>
      <c r="J145" s="1"/>
      <c r="K145" s="1"/>
      <c r="L145" s="1"/>
      <c r="M145" s="17"/>
      <c r="N145" s="17"/>
      <c r="O145" s="17"/>
      <c r="P145" s="17"/>
      <c r="Q145" s="22"/>
      <c r="R145" s="285"/>
      <c r="S145" s="285"/>
      <c r="T145" s="111"/>
      <c r="U145" s="111" t="str">
        <f t="shared" si="101"/>
        <v>Normal</v>
      </c>
      <c r="V145" s="111" t="str">
        <f t="shared" si="102"/>
        <v>Normal</v>
      </c>
      <c r="W145" s="18">
        <f t="shared" si="103"/>
        <v>0</v>
      </c>
      <c r="X145" s="18">
        <f t="shared" si="104"/>
        <v>0</v>
      </c>
    </row>
    <row r="146" spans="1:24">
      <c r="A146" s="29">
        <v>45527</v>
      </c>
      <c r="B146" s="409"/>
      <c r="C146" s="31"/>
      <c r="D146" s="295"/>
      <c r="E146" s="1"/>
      <c r="F146" s="1"/>
      <c r="G146" s="61"/>
      <c r="H146" s="61"/>
      <c r="I146" s="1"/>
      <c r="J146" s="1"/>
      <c r="K146" s="1"/>
      <c r="L146" s="1"/>
      <c r="M146" s="17"/>
      <c r="N146" s="17"/>
      <c r="O146" s="17"/>
      <c r="P146" s="17"/>
      <c r="Q146" s="22"/>
      <c r="R146" s="285"/>
      <c r="S146" s="285"/>
      <c r="T146" s="111"/>
      <c r="U146" s="111" t="str">
        <f t="shared" si="101"/>
        <v>Normal</v>
      </c>
      <c r="V146" s="111" t="str">
        <f t="shared" si="102"/>
        <v>Normal</v>
      </c>
      <c r="W146" s="18">
        <f t="shared" si="103"/>
        <v>0</v>
      </c>
      <c r="X146" s="18">
        <f t="shared" si="104"/>
        <v>0</v>
      </c>
    </row>
    <row r="147" spans="1:24">
      <c r="A147" s="29">
        <v>45528</v>
      </c>
      <c r="B147" s="409"/>
      <c r="C147" s="31"/>
      <c r="D147" s="295"/>
      <c r="E147" s="1"/>
      <c r="F147" s="1"/>
      <c r="G147" s="61"/>
      <c r="H147" s="61"/>
      <c r="I147" s="1"/>
      <c r="J147" s="1"/>
      <c r="K147" s="1"/>
      <c r="L147" s="1"/>
      <c r="M147" s="17"/>
      <c r="N147" s="17"/>
      <c r="O147" s="17"/>
      <c r="P147" s="17"/>
      <c r="Q147" s="22"/>
      <c r="R147" s="285"/>
      <c r="S147" s="285"/>
      <c r="T147" s="111"/>
      <c r="U147" s="111" t="str">
        <f t="shared" si="101"/>
        <v>Normal</v>
      </c>
      <c r="V147" s="111" t="str">
        <f t="shared" si="102"/>
        <v>Normal</v>
      </c>
      <c r="W147" s="18">
        <f t="shared" si="103"/>
        <v>0</v>
      </c>
      <c r="X147" s="18">
        <f t="shared" si="104"/>
        <v>0</v>
      </c>
    </row>
    <row r="148" spans="1:24">
      <c r="A148" s="29">
        <v>45529</v>
      </c>
      <c r="B148" s="409"/>
      <c r="C148" s="31"/>
      <c r="D148" s="295"/>
      <c r="E148" s="1"/>
      <c r="F148" s="1"/>
      <c r="G148" s="61"/>
      <c r="H148" s="61"/>
      <c r="I148" s="1"/>
      <c r="J148" s="1"/>
      <c r="K148" s="1"/>
      <c r="L148" s="1"/>
      <c r="M148" s="17"/>
      <c r="N148" s="17"/>
      <c r="O148" s="17"/>
      <c r="P148" s="17"/>
      <c r="Q148" s="22"/>
      <c r="R148" s="285"/>
      <c r="S148" s="285"/>
      <c r="T148" s="111"/>
      <c r="U148" s="111" t="str">
        <f t="shared" si="101"/>
        <v>Normal</v>
      </c>
      <c r="V148" s="111" t="str">
        <f t="shared" si="102"/>
        <v>Normal</v>
      </c>
      <c r="W148" s="18">
        <f t="shared" si="103"/>
        <v>0</v>
      </c>
      <c r="X148" s="18">
        <f t="shared" si="104"/>
        <v>0</v>
      </c>
    </row>
    <row r="149" spans="1:24">
      <c r="A149" s="29">
        <v>45530</v>
      </c>
      <c r="B149" s="409"/>
      <c r="C149" s="31"/>
      <c r="D149" s="295"/>
      <c r="E149" s="1"/>
      <c r="F149" s="1"/>
      <c r="G149" s="61"/>
      <c r="H149" s="61"/>
      <c r="I149" s="1"/>
      <c r="J149" s="1"/>
      <c r="K149" s="1"/>
      <c r="L149" s="1"/>
      <c r="M149" s="17"/>
      <c r="N149" s="17"/>
      <c r="O149" s="17"/>
      <c r="P149" s="17"/>
      <c r="Q149" s="22"/>
      <c r="R149" s="285"/>
      <c r="S149" s="285"/>
      <c r="T149" s="111"/>
      <c r="U149" s="111" t="str">
        <f t="shared" si="101"/>
        <v>Normal</v>
      </c>
      <c r="V149" s="111" t="str">
        <f t="shared" si="102"/>
        <v>Normal</v>
      </c>
      <c r="W149" s="18">
        <f t="shared" si="103"/>
        <v>0</v>
      </c>
      <c r="X149" s="18">
        <f t="shared" si="104"/>
        <v>0</v>
      </c>
    </row>
    <row r="150" spans="1:24">
      <c r="A150" s="29">
        <v>45531</v>
      </c>
      <c r="B150" s="409"/>
      <c r="C150" s="31"/>
      <c r="D150" s="295"/>
      <c r="E150" s="1"/>
      <c r="F150" s="1"/>
      <c r="G150" s="61"/>
      <c r="H150" s="61"/>
      <c r="I150" s="1"/>
      <c r="J150" s="1"/>
      <c r="K150" s="1"/>
      <c r="L150" s="1"/>
      <c r="M150" s="17"/>
      <c r="N150" s="17"/>
      <c r="O150" s="17"/>
      <c r="P150" s="17"/>
      <c r="Q150" s="22"/>
      <c r="R150" s="285"/>
      <c r="S150" s="285"/>
      <c r="T150" s="111"/>
      <c r="U150" s="111" t="str">
        <f t="shared" si="101"/>
        <v>Normal</v>
      </c>
      <c r="V150" s="111" t="str">
        <f t="shared" si="102"/>
        <v>Normal</v>
      </c>
      <c r="W150" s="18">
        <f t="shared" si="103"/>
        <v>0</v>
      </c>
      <c r="X150" s="18">
        <f t="shared" si="104"/>
        <v>0</v>
      </c>
    </row>
    <row r="151" spans="1:24">
      <c r="A151" s="29">
        <v>45532</v>
      </c>
      <c r="B151" s="409"/>
      <c r="C151" s="31"/>
      <c r="D151" s="295"/>
      <c r="E151" s="1"/>
      <c r="F151" s="1"/>
      <c r="G151" s="61"/>
      <c r="H151" s="61"/>
      <c r="I151" s="1"/>
      <c r="J151" s="1"/>
      <c r="K151" s="1"/>
      <c r="L151" s="1"/>
      <c r="M151" s="17"/>
      <c r="N151" s="17"/>
      <c r="O151" s="17"/>
      <c r="P151" s="17"/>
      <c r="Q151" s="22"/>
      <c r="R151" s="285"/>
      <c r="S151" s="285"/>
      <c r="T151" s="111"/>
      <c r="U151" s="111" t="str">
        <f t="shared" si="101"/>
        <v>Normal</v>
      </c>
      <c r="V151" s="111" t="str">
        <f t="shared" si="102"/>
        <v>Normal</v>
      </c>
      <c r="W151" s="18">
        <f t="shared" si="103"/>
        <v>0</v>
      </c>
      <c r="X151" s="18">
        <f t="shared" si="104"/>
        <v>0</v>
      </c>
    </row>
    <row r="152" spans="1:24">
      <c r="A152" s="29">
        <v>45533</v>
      </c>
      <c r="B152" s="409"/>
      <c r="C152" s="31"/>
      <c r="D152" s="295"/>
      <c r="E152" s="1"/>
      <c r="F152" s="1"/>
      <c r="G152" s="61"/>
      <c r="H152" s="61"/>
      <c r="I152" s="1"/>
      <c r="J152" s="1"/>
      <c r="K152" s="1"/>
      <c r="L152" s="1"/>
      <c r="M152" s="17"/>
      <c r="N152" s="17"/>
      <c r="O152" s="17"/>
      <c r="P152" s="17"/>
      <c r="Q152" s="22"/>
      <c r="R152" s="285"/>
      <c r="S152" s="285"/>
      <c r="T152" s="111"/>
      <c r="U152" s="111" t="str">
        <f t="shared" si="101"/>
        <v>Normal</v>
      </c>
      <c r="V152" s="111" t="str">
        <f t="shared" si="102"/>
        <v>Normal</v>
      </c>
      <c r="W152" s="18">
        <f t="shared" si="103"/>
        <v>0</v>
      </c>
      <c r="X152" s="18">
        <f t="shared" si="104"/>
        <v>0</v>
      </c>
    </row>
    <row r="153" spans="1:24">
      <c r="A153" s="29">
        <v>45534</v>
      </c>
      <c r="B153" s="409"/>
      <c r="C153" s="31"/>
      <c r="D153" s="295"/>
      <c r="E153" s="1"/>
      <c r="F153" s="1"/>
      <c r="G153" s="61"/>
      <c r="H153" s="61"/>
      <c r="I153" s="1"/>
      <c r="J153" s="1"/>
      <c r="K153" s="1"/>
      <c r="L153" s="1"/>
      <c r="M153" s="17"/>
      <c r="N153" s="17"/>
      <c r="O153" s="17"/>
      <c r="P153" s="17"/>
      <c r="Q153" s="22"/>
      <c r="R153" s="285"/>
      <c r="S153" s="285"/>
      <c r="T153" s="111"/>
      <c r="U153" s="111" t="str">
        <f t="shared" si="101"/>
        <v>Normal</v>
      </c>
      <c r="V153" s="111" t="str">
        <f t="shared" si="102"/>
        <v>Normal</v>
      </c>
      <c r="W153" s="18">
        <f t="shared" si="103"/>
        <v>0</v>
      </c>
      <c r="X153" s="18">
        <f t="shared" si="104"/>
        <v>0</v>
      </c>
    </row>
    <row r="154" spans="1:24">
      <c r="A154" s="29">
        <v>45535</v>
      </c>
      <c r="B154" s="409"/>
      <c r="C154" s="31"/>
      <c r="D154" s="295"/>
      <c r="E154" s="1"/>
      <c r="F154" s="1"/>
      <c r="G154" s="61"/>
      <c r="H154" s="61"/>
      <c r="I154" s="1"/>
      <c r="J154" s="1"/>
      <c r="K154" s="1"/>
      <c r="L154" s="1"/>
      <c r="M154" s="17"/>
      <c r="N154" s="17"/>
      <c r="O154" s="17"/>
      <c r="P154" s="17"/>
      <c r="Q154" s="22"/>
      <c r="R154" s="285"/>
      <c r="S154" s="285"/>
      <c r="T154" s="111"/>
      <c r="U154" s="111" t="str">
        <f t="shared" si="101"/>
        <v>Normal</v>
      </c>
      <c r="V154" s="111" t="str">
        <f t="shared" si="102"/>
        <v>Normal</v>
      </c>
      <c r="W154" s="18">
        <f t="shared" si="103"/>
        <v>0</v>
      </c>
      <c r="X154" s="18">
        <f t="shared" si="104"/>
        <v>0</v>
      </c>
    </row>
    <row r="155" spans="1:24">
      <c r="A155" s="29">
        <v>45536</v>
      </c>
      <c r="B155" s="409"/>
      <c r="C155" s="31"/>
      <c r="D155" s="295"/>
      <c r="E155" s="1"/>
      <c r="F155" s="1"/>
      <c r="G155" s="61"/>
      <c r="H155" s="61"/>
      <c r="I155" s="1"/>
      <c r="J155" s="1"/>
      <c r="K155" s="1"/>
      <c r="L155" s="1"/>
      <c r="M155" s="17"/>
      <c r="N155" s="17"/>
      <c r="O155" s="17"/>
      <c r="P155" s="17"/>
      <c r="Q155" s="22"/>
      <c r="R155" s="285"/>
      <c r="S155" s="285"/>
      <c r="T155" s="111"/>
      <c r="U155" s="111" t="str">
        <f t="shared" si="101"/>
        <v>Normal</v>
      </c>
      <c r="V155" s="111" t="str">
        <f t="shared" si="102"/>
        <v>Normal</v>
      </c>
      <c r="W155" s="18">
        <f t="shared" si="103"/>
        <v>0</v>
      </c>
      <c r="X155" s="18">
        <f t="shared" si="104"/>
        <v>0</v>
      </c>
    </row>
    <row r="156" spans="1:24">
      <c r="A156" s="29">
        <v>45537</v>
      </c>
      <c r="B156" s="409"/>
      <c r="C156" s="31"/>
      <c r="D156" s="295"/>
      <c r="E156" s="1"/>
      <c r="F156" s="1"/>
      <c r="G156" s="61"/>
      <c r="H156" s="61"/>
      <c r="I156" s="1"/>
      <c r="J156" s="1"/>
      <c r="K156" s="1"/>
      <c r="L156" s="1"/>
      <c r="M156" s="17"/>
      <c r="N156" s="17"/>
      <c r="O156" s="17"/>
      <c r="P156" s="17"/>
      <c r="Q156" s="22"/>
      <c r="R156" s="285"/>
      <c r="S156" s="285"/>
      <c r="T156" s="111"/>
      <c r="U156" s="111" t="str">
        <f t="shared" si="101"/>
        <v>Normal</v>
      </c>
      <c r="V156" s="111" t="str">
        <f t="shared" si="102"/>
        <v>Normal</v>
      </c>
      <c r="W156" s="18">
        <f t="shared" si="103"/>
        <v>0</v>
      </c>
      <c r="X156" s="18">
        <f t="shared" si="104"/>
        <v>0</v>
      </c>
    </row>
    <row r="157" spans="1:24">
      <c r="A157" s="29">
        <v>45538</v>
      </c>
      <c r="B157" s="409"/>
      <c r="C157" s="31"/>
      <c r="D157" s="295"/>
      <c r="E157" s="1"/>
      <c r="F157" s="1"/>
      <c r="G157" s="61"/>
      <c r="H157" s="61"/>
      <c r="I157" s="1"/>
      <c r="J157" s="1"/>
      <c r="K157" s="1"/>
      <c r="L157" s="1"/>
      <c r="M157" s="17"/>
      <c r="N157" s="17"/>
      <c r="O157" s="17"/>
      <c r="P157" s="17"/>
      <c r="Q157" s="22"/>
      <c r="R157" s="285"/>
      <c r="S157" s="285"/>
      <c r="T157" s="111"/>
      <c r="U157" s="111" t="str">
        <f t="shared" si="101"/>
        <v>Normal</v>
      </c>
      <c r="V157" s="111" t="str">
        <f t="shared" si="102"/>
        <v>Normal</v>
      </c>
      <c r="W157" s="18">
        <f t="shared" si="103"/>
        <v>0</v>
      </c>
      <c r="X157" s="18">
        <f t="shared" si="104"/>
        <v>0</v>
      </c>
    </row>
    <row r="158" spans="1:24">
      <c r="A158" s="29">
        <v>45539</v>
      </c>
      <c r="B158" s="409"/>
      <c r="C158" s="31"/>
      <c r="D158" s="295"/>
      <c r="E158" s="1"/>
      <c r="F158" s="1"/>
      <c r="G158" s="61"/>
      <c r="H158" s="61"/>
      <c r="I158" s="1"/>
      <c r="J158" s="1"/>
      <c r="K158" s="1"/>
      <c r="L158" s="1"/>
      <c r="M158" s="17"/>
      <c r="N158" s="17"/>
      <c r="O158" s="17"/>
      <c r="P158" s="17"/>
      <c r="Q158" s="22"/>
      <c r="R158" s="285"/>
      <c r="S158" s="285"/>
      <c r="T158" s="111"/>
      <c r="U158" s="111" t="str">
        <f t="shared" si="101"/>
        <v>Normal</v>
      </c>
      <c r="V158" s="111" t="str">
        <f t="shared" si="102"/>
        <v>Normal</v>
      </c>
      <c r="W158" s="18">
        <f t="shared" si="103"/>
        <v>0</v>
      </c>
      <c r="X158" s="18">
        <f t="shared" si="104"/>
        <v>0</v>
      </c>
    </row>
    <row r="159" spans="1:24">
      <c r="A159" s="29">
        <v>45540</v>
      </c>
      <c r="B159" s="409"/>
      <c r="C159" s="31"/>
      <c r="D159" s="295"/>
      <c r="E159" s="1"/>
      <c r="F159" s="1"/>
      <c r="G159" s="61"/>
      <c r="H159" s="61"/>
      <c r="I159" s="1"/>
      <c r="J159" s="1"/>
      <c r="K159" s="1"/>
      <c r="L159" s="1"/>
      <c r="M159" s="17"/>
      <c r="N159" s="17"/>
      <c r="O159" s="17"/>
      <c r="P159" s="17"/>
      <c r="Q159" s="22"/>
      <c r="R159" s="285"/>
      <c r="S159" s="285"/>
      <c r="T159" s="111"/>
      <c r="U159" s="111" t="str">
        <f t="shared" si="101"/>
        <v>Normal</v>
      </c>
      <c r="V159" s="111" t="str">
        <f t="shared" si="102"/>
        <v>Normal</v>
      </c>
      <c r="W159" s="18">
        <f t="shared" si="103"/>
        <v>0</v>
      </c>
      <c r="X159" s="18">
        <f t="shared" si="104"/>
        <v>0</v>
      </c>
    </row>
    <row r="160" spans="1:24">
      <c r="A160" s="29">
        <v>45541</v>
      </c>
      <c r="B160" s="409"/>
      <c r="C160" s="31"/>
      <c r="D160" s="295"/>
      <c r="E160" s="1"/>
      <c r="F160" s="1"/>
      <c r="G160" s="61"/>
      <c r="H160" s="61"/>
      <c r="I160" s="1"/>
      <c r="J160" s="1"/>
      <c r="K160" s="1"/>
      <c r="L160" s="1"/>
      <c r="M160" s="17"/>
      <c r="N160" s="17"/>
      <c r="O160" s="17"/>
      <c r="P160" s="17"/>
      <c r="Q160" s="22"/>
      <c r="R160" s="285"/>
      <c r="S160" s="285"/>
      <c r="T160" s="111"/>
      <c r="U160" s="111" t="str">
        <f t="shared" si="101"/>
        <v>Normal</v>
      </c>
      <c r="V160" s="111" t="str">
        <f t="shared" si="102"/>
        <v>Normal</v>
      </c>
      <c r="W160" s="18">
        <f t="shared" si="103"/>
        <v>0</v>
      </c>
      <c r="X160" s="18">
        <f t="shared" si="104"/>
        <v>0</v>
      </c>
    </row>
    <row r="161" spans="1:24">
      <c r="A161" s="29">
        <v>45542</v>
      </c>
      <c r="B161" s="409"/>
      <c r="C161" s="31"/>
      <c r="D161" s="295"/>
      <c r="E161" s="1"/>
      <c r="F161" s="1"/>
      <c r="G161" s="61"/>
      <c r="H161" s="61"/>
      <c r="I161" s="1"/>
      <c r="J161" s="1"/>
      <c r="K161" s="1"/>
      <c r="L161" s="1"/>
      <c r="M161" s="17"/>
      <c r="N161" s="17"/>
      <c r="O161" s="17"/>
      <c r="P161" s="17"/>
      <c r="Q161" s="22"/>
      <c r="R161" s="285"/>
      <c r="S161" s="285"/>
      <c r="T161" s="111"/>
      <c r="U161" s="111" t="str">
        <f t="shared" si="101"/>
        <v>Normal</v>
      </c>
      <c r="V161" s="111" t="str">
        <f t="shared" si="102"/>
        <v>Normal</v>
      </c>
      <c r="W161" s="18">
        <f t="shared" si="103"/>
        <v>0</v>
      </c>
      <c r="X161" s="18">
        <f t="shared" si="104"/>
        <v>0</v>
      </c>
    </row>
    <row r="162" spans="1:24">
      <c r="A162" s="29">
        <v>45543</v>
      </c>
      <c r="B162" s="409"/>
      <c r="C162" s="31"/>
      <c r="D162" s="295"/>
      <c r="E162" s="1"/>
      <c r="F162" s="1"/>
      <c r="G162" s="61"/>
      <c r="H162" s="61"/>
      <c r="I162" s="1"/>
      <c r="J162" s="1"/>
      <c r="K162" s="1"/>
      <c r="L162" s="1"/>
      <c r="M162" s="17"/>
      <c r="N162" s="17"/>
      <c r="O162" s="17"/>
      <c r="P162" s="17"/>
      <c r="Q162" s="22"/>
      <c r="R162" s="285"/>
      <c r="S162" s="285"/>
      <c r="T162" s="111"/>
      <c r="U162" s="111" t="str">
        <f t="shared" si="101"/>
        <v>Normal</v>
      </c>
      <c r="V162" s="111" t="str">
        <f t="shared" si="102"/>
        <v>Normal</v>
      </c>
      <c r="W162" s="18">
        <f t="shared" si="103"/>
        <v>0</v>
      </c>
      <c r="X162" s="18">
        <f t="shared" si="104"/>
        <v>0</v>
      </c>
    </row>
    <row r="163" spans="1:24">
      <c r="A163" s="29">
        <v>45544</v>
      </c>
      <c r="B163" s="409"/>
      <c r="C163" s="31"/>
      <c r="D163" s="295"/>
      <c r="E163" s="1"/>
      <c r="F163" s="1"/>
      <c r="G163" s="61"/>
      <c r="H163" s="61"/>
      <c r="I163" s="1"/>
      <c r="J163" s="1"/>
      <c r="K163" s="1"/>
      <c r="L163" s="1"/>
      <c r="M163" s="17"/>
      <c r="N163" s="17"/>
      <c r="O163" s="17"/>
      <c r="P163" s="17"/>
      <c r="Q163" s="22"/>
      <c r="R163" s="285"/>
      <c r="S163" s="285"/>
      <c r="T163" s="111"/>
      <c r="U163" s="111" t="str">
        <f t="shared" si="101"/>
        <v>Normal</v>
      </c>
      <c r="V163" s="111" t="str">
        <f t="shared" si="102"/>
        <v>Normal</v>
      </c>
      <c r="W163" s="18">
        <f t="shared" si="103"/>
        <v>0</v>
      </c>
      <c r="X163" s="18">
        <f t="shared" si="104"/>
        <v>0</v>
      </c>
    </row>
    <row r="164" spans="1:24">
      <c r="A164" s="29">
        <v>45545</v>
      </c>
      <c r="B164" s="409"/>
      <c r="C164" s="31"/>
      <c r="D164" s="295"/>
      <c r="E164" s="1"/>
      <c r="F164" s="1"/>
      <c r="G164" s="61"/>
      <c r="H164" s="61"/>
      <c r="I164" s="1"/>
      <c r="J164" s="1"/>
      <c r="K164" s="1"/>
      <c r="L164" s="1"/>
      <c r="M164" s="17"/>
      <c r="N164" s="17"/>
      <c r="O164" s="17"/>
      <c r="P164" s="17"/>
      <c r="Q164" s="22"/>
      <c r="R164" s="285"/>
      <c r="S164" s="285"/>
      <c r="T164" s="111"/>
      <c r="U164" s="111" t="str">
        <f t="shared" si="101"/>
        <v>Normal</v>
      </c>
      <c r="V164" s="111" t="str">
        <f t="shared" si="102"/>
        <v>Normal</v>
      </c>
      <c r="W164" s="18">
        <f t="shared" si="103"/>
        <v>0</v>
      </c>
      <c r="X164" s="18">
        <f t="shared" si="104"/>
        <v>0</v>
      </c>
    </row>
    <row r="165" spans="1:24">
      <c r="A165" s="29">
        <v>45546</v>
      </c>
      <c r="B165" s="409"/>
      <c r="C165" s="31"/>
      <c r="D165" s="295"/>
      <c r="E165" s="1"/>
      <c r="F165" s="1"/>
      <c r="G165" s="61"/>
      <c r="H165" s="61"/>
      <c r="I165" s="1"/>
      <c r="J165" s="1"/>
      <c r="K165" s="1"/>
      <c r="L165" s="1"/>
      <c r="M165" s="17"/>
      <c r="N165" s="17"/>
      <c r="O165" s="17"/>
      <c r="P165" s="17"/>
      <c r="Q165" s="22"/>
      <c r="R165" s="285"/>
      <c r="S165" s="285"/>
      <c r="T165" s="111"/>
      <c r="U165" s="111" t="str">
        <f t="shared" si="101"/>
        <v>Normal</v>
      </c>
      <c r="V165" s="111" t="str">
        <f t="shared" si="102"/>
        <v>Normal</v>
      </c>
      <c r="W165" s="18">
        <f t="shared" si="103"/>
        <v>0</v>
      </c>
      <c r="X165" s="18">
        <f t="shared" si="104"/>
        <v>0</v>
      </c>
    </row>
    <row r="166" spans="1:24">
      <c r="A166" s="29">
        <v>45547</v>
      </c>
      <c r="B166" s="409"/>
      <c r="C166" s="31"/>
      <c r="D166" s="295"/>
      <c r="E166" s="1"/>
      <c r="F166" s="1"/>
      <c r="G166" s="61"/>
      <c r="H166" s="61"/>
      <c r="I166" s="1"/>
      <c r="J166" s="1"/>
      <c r="K166" s="1"/>
      <c r="L166" s="1"/>
      <c r="M166" s="17"/>
      <c r="N166" s="17"/>
      <c r="O166" s="17"/>
      <c r="P166" s="17"/>
      <c r="Q166" s="22"/>
      <c r="R166" s="285"/>
      <c r="S166" s="285"/>
      <c r="T166" s="111"/>
      <c r="U166" s="111" t="str">
        <f t="shared" si="101"/>
        <v>Normal</v>
      </c>
      <c r="V166" s="111" t="str">
        <f t="shared" si="102"/>
        <v>Normal</v>
      </c>
      <c r="W166" s="18">
        <f t="shared" si="103"/>
        <v>0</v>
      </c>
      <c r="X166" s="18">
        <f t="shared" si="104"/>
        <v>0</v>
      </c>
    </row>
    <row r="167" spans="1:24">
      <c r="A167" s="29">
        <v>45548</v>
      </c>
      <c r="B167" s="409"/>
      <c r="C167" s="31"/>
      <c r="D167" s="295"/>
      <c r="E167" s="1"/>
      <c r="F167" s="1"/>
      <c r="G167" s="61"/>
      <c r="H167" s="61"/>
      <c r="I167" s="1"/>
      <c r="J167" s="1"/>
      <c r="K167" s="1"/>
      <c r="L167" s="1"/>
      <c r="M167" s="17"/>
      <c r="N167" s="17"/>
      <c r="O167" s="17"/>
      <c r="P167" s="17"/>
      <c r="Q167" s="22"/>
      <c r="R167" s="285"/>
      <c r="S167" s="285"/>
      <c r="T167" s="111"/>
      <c r="U167" s="111" t="str">
        <f t="shared" si="101"/>
        <v>Normal</v>
      </c>
      <c r="V167" s="111" t="str">
        <f t="shared" si="102"/>
        <v>Normal</v>
      </c>
      <c r="W167" s="18">
        <f t="shared" si="103"/>
        <v>0</v>
      </c>
      <c r="X167" s="18">
        <f t="shared" si="104"/>
        <v>0</v>
      </c>
    </row>
    <row r="168" spans="1:24">
      <c r="A168" s="29">
        <v>45549</v>
      </c>
      <c r="B168" s="409"/>
      <c r="C168" s="31"/>
      <c r="D168" s="295"/>
      <c r="E168" s="1"/>
      <c r="F168" s="1"/>
      <c r="G168" s="61"/>
      <c r="H168" s="61"/>
      <c r="I168" s="1"/>
      <c r="J168" s="1"/>
      <c r="K168" s="1"/>
      <c r="L168" s="1"/>
      <c r="M168" s="17"/>
      <c r="N168" s="17"/>
      <c r="O168" s="17"/>
      <c r="P168" s="17"/>
      <c r="Q168" s="22"/>
      <c r="R168" s="285"/>
      <c r="S168" s="285"/>
      <c r="T168" s="111"/>
      <c r="U168" s="111" t="str">
        <f t="shared" si="101"/>
        <v>Normal</v>
      </c>
      <c r="V168" s="111" t="str">
        <f t="shared" si="102"/>
        <v>Normal</v>
      </c>
      <c r="W168" s="18">
        <f t="shared" si="103"/>
        <v>0</v>
      </c>
      <c r="X168" s="18">
        <f t="shared" si="104"/>
        <v>0</v>
      </c>
    </row>
    <row r="169" spans="1:24">
      <c r="A169" s="29">
        <v>45550</v>
      </c>
      <c r="B169" s="409"/>
      <c r="C169" s="31"/>
      <c r="D169" s="295"/>
      <c r="E169" s="1"/>
      <c r="F169" s="1"/>
      <c r="G169" s="61"/>
      <c r="H169" s="61"/>
      <c r="I169" s="1"/>
      <c r="J169" s="1"/>
      <c r="K169" s="1"/>
      <c r="L169" s="1"/>
      <c r="M169" s="17"/>
      <c r="N169" s="17"/>
      <c r="O169" s="17"/>
      <c r="P169" s="17"/>
      <c r="Q169" s="22"/>
      <c r="R169" s="285"/>
      <c r="S169" s="285"/>
      <c r="T169" s="111"/>
      <c r="U169" s="111" t="str">
        <f t="shared" si="101"/>
        <v>Normal</v>
      </c>
      <c r="V169" s="111" t="str">
        <f t="shared" si="102"/>
        <v>Normal</v>
      </c>
      <c r="W169" s="18">
        <f t="shared" si="103"/>
        <v>0</v>
      </c>
      <c r="X169" s="18">
        <f t="shared" si="104"/>
        <v>0</v>
      </c>
    </row>
    <row r="170" spans="1:24">
      <c r="A170" s="29">
        <v>45551</v>
      </c>
      <c r="B170" s="409"/>
      <c r="C170" s="31"/>
      <c r="D170" s="295"/>
      <c r="E170" s="1"/>
      <c r="F170" s="1"/>
      <c r="G170" s="61"/>
      <c r="H170" s="61"/>
      <c r="I170" s="1"/>
      <c r="J170" s="1"/>
      <c r="K170" s="1"/>
      <c r="L170" s="1"/>
      <c r="M170" s="17"/>
      <c r="N170" s="17"/>
      <c r="O170" s="17"/>
      <c r="P170" s="17"/>
      <c r="Q170" s="22"/>
      <c r="R170" s="285"/>
      <c r="S170" s="285"/>
      <c r="T170" s="111"/>
      <c r="U170" s="111" t="str">
        <f t="shared" si="101"/>
        <v>Normal</v>
      </c>
      <c r="V170" s="111" t="str">
        <f t="shared" si="102"/>
        <v>Normal</v>
      </c>
      <c r="W170" s="18">
        <f t="shared" si="103"/>
        <v>0</v>
      </c>
      <c r="X170" s="18">
        <f t="shared" si="104"/>
        <v>0</v>
      </c>
    </row>
    <row r="171" spans="1:24">
      <c r="A171" s="29">
        <v>45552</v>
      </c>
      <c r="B171" s="409"/>
      <c r="C171" s="31"/>
      <c r="D171" s="295"/>
      <c r="E171" s="1"/>
      <c r="F171" s="1"/>
      <c r="G171" s="61"/>
      <c r="H171" s="61"/>
      <c r="I171" s="1"/>
      <c r="J171" s="1"/>
      <c r="K171" s="1"/>
      <c r="L171" s="1"/>
      <c r="M171" s="17"/>
      <c r="N171" s="17"/>
      <c r="O171" s="17"/>
      <c r="P171" s="17"/>
      <c r="Q171" s="22"/>
      <c r="R171" s="285"/>
      <c r="S171" s="285"/>
      <c r="T171" s="111"/>
      <c r="U171" s="111" t="str">
        <f t="shared" si="101"/>
        <v>Normal</v>
      </c>
      <c r="V171" s="111" t="str">
        <f t="shared" si="102"/>
        <v>Normal</v>
      </c>
      <c r="W171" s="18">
        <f t="shared" si="103"/>
        <v>0</v>
      </c>
      <c r="X171" s="18">
        <f t="shared" si="104"/>
        <v>0</v>
      </c>
    </row>
    <row r="172" spans="1:24">
      <c r="A172" s="29">
        <v>45553</v>
      </c>
      <c r="B172" s="409"/>
      <c r="C172" s="31"/>
      <c r="D172" s="295"/>
      <c r="E172" s="1"/>
      <c r="F172" s="1"/>
      <c r="G172" s="61"/>
      <c r="H172" s="61"/>
      <c r="I172" s="1"/>
      <c r="J172" s="1"/>
      <c r="K172" s="1"/>
      <c r="L172" s="1"/>
      <c r="M172" s="17"/>
      <c r="N172" s="17"/>
      <c r="O172" s="17"/>
      <c r="P172" s="17"/>
      <c r="Q172" s="22"/>
      <c r="R172" s="285"/>
      <c r="S172" s="285"/>
      <c r="T172" s="111"/>
      <c r="U172" s="111" t="str">
        <f t="shared" si="101"/>
        <v>Normal</v>
      </c>
      <c r="V172" s="111" t="str">
        <f t="shared" si="102"/>
        <v>Normal</v>
      </c>
      <c r="W172" s="18">
        <f t="shared" si="103"/>
        <v>0</v>
      </c>
      <c r="X172" s="18">
        <f t="shared" si="104"/>
        <v>0</v>
      </c>
    </row>
    <row r="173" spans="1:24">
      <c r="A173" s="29">
        <v>45554</v>
      </c>
      <c r="B173" s="409"/>
      <c r="C173" s="31"/>
      <c r="D173" s="295"/>
      <c r="E173" s="1"/>
      <c r="F173" s="1"/>
      <c r="G173" s="61"/>
      <c r="H173" s="61"/>
      <c r="I173" s="1"/>
      <c r="J173" s="1"/>
      <c r="K173" s="1"/>
      <c r="L173" s="1"/>
      <c r="M173" s="17"/>
      <c r="N173" s="17"/>
      <c r="O173" s="17"/>
      <c r="P173" s="17"/>
      <c r="Q173" s="22"/>
      <c r="R173" s="285"/>
      <c r="S173" s="285"/>
      <c r="T173" s="111"/>
      <c r="U173" s="111" t="str">
        <f t="shared" si="101"/>
        <v>Normal</v>
      </c>
      <c r="V173" s="111" t="str">
        <f t="shared" si="102"/>
        <v>Normal</v>
      </c>
      <c r="W173" s="18">
        <f t="shared" si="103"/>
        <v>0</v>
      </c>
      <c r="X173" s="18">
        <f t="shared" si="104"/>
        <v>0</v>
      </c>
    </row>
    <row r="174" spans="1:24">
      <c r="A174" s="29">
        <v>45555</v>
      </c>
      <c r="B174" s="409"/>
      <c r="C174" s="31"/>
      <c r="D174" s="295"/>
      <c r="E174" s="1"/>
      <c r="F174" s="1"/>
      <c r="G174" s="61"/>
      <c r="H174" s="61"/>
      <c r="I174" s="1"/>
      <c r="J174" s="1"/>
      <c r="K174" s="1"/>
      <c r="L174" s="1"/>
      <c r="M174" s="17"/>
      <c r="N174" s="17"/>
      <c r="O174" s="17"/>
      <c r="P174" s="17"/>
      <c r="Q174" s="22"/>
      <c r="R174" s="285"/>
      <c r="S174" s="285"/>
      <c r="T174" s="111"/>
      <c r="U174" s="111" t="str">
        <f t="shared" si="101"/>
        <v>Normal</v>
      </c>
      <c r="V174" s="111" t="str">
        <f t="shared" si="102"/>
        <v>Normal</v>
      </c>
      <c r="W174" s="18">
        <f t="shared" si="103"/>
        <v>0</v>
      </c>
      <c r="X174" s="18">
        <f t="shared" si="104"/>
        <v>0</v>
      </c>
    </row>
    <row r="175" spans="1:24">
      <c r="A175" s="29">
        <v>45556</v>
      </c>
      <c r="B175" s="409"/>
      <c r="C175" s="31"/>
      <c r="D175" s="295"/>
      <c r="E175" s="1"/>
      <c r="F175" s="1"/>
      <c r="G175" s="61"/>
      <c r="H175" s="61"/>
      <c r="I175" s="1"/>
      <c r="J175" s="1"/>
      <c r="K175" s="1"/>
      <c r="L175" s="1"/>
      <c r="M175" s="17"/>
      <c r="N175" s="17"/>
      <c r="O175" s="17"/>
      <c r="P175" s="17"/>
      <c r="Q175" s="22"/>
      <c r="R175" s="285"/>
      <c r="S175" s="285"/>
      <c r="T175" s="111"/>
      <c r="U175" s="111" t="str">
        <f t="shared" si="101"/>
        <v>Normal</v>
      </c>
      <c r="V175" s="111" t="str">
        <f t="shared" si="102"/>
        <v>Normal</v>
      </c>
      <c r="W175" s="18">
        <f t="shared" si="103"/>
        <v>0</v>
      </c>
      <c r="X175" s="18">
        <f t="shared" si="104"/>
        <v>0</v>
      </c>
    </row>
    <row r="176" spans="1:24">
      <c r="A176" s="29">
        <v>45557</v>
      </c>
      <c r="B176" s="409"/>
      <c r="C176" s="31"/>
      <c r="D176" s="295"/>
      <c r="E176" s="1"/>
      <c r="F176" s="1"/>
      <c r="G176" s="61"/>
      <c r="H176" s="61"/>
      <c r="I176" s="1"/>
      <c r="J176" s="1"/>
      <c r="K176" s="1"/>
      <c r="L176" s="1"/>
      <c r="M176" s="17"/>
      <c r="N176" s="17"/>
      <c r="O176" s="17"/>
      <c r="P176" s="17"/>
      <c r="Q176" s="22"/>
      <c r="R176" s="285"/>
      <c r="S176" s="285"/>
      <c r="T176" s="111"/>
      <c r="U176" s="111" t="str">
        <f t="shared" si="101"/>
        <v>Normal</v>
      </c>
      <c r="V176" s="111" t="str">
        <f t="shared" si="102"/>
        <v>Normal</v>
      </c>
      <c r="W176" s="18">
        <f t="shared" si="103"/>
        <v>0</v>
      </c>
      <c r="X176" s="18">
        <f t="shared" si="104"/>
        <v>0</v>
      </c>
    </row>
    <row r="177" spans="1:33">
      <c r="A177" s="29">
        <v>45558</v>
      </c>
      <c r="B177" s="409"/>
      <c r="C177" s="31"/>
      <c r="D177" s="295"/>
      <c r="E177" s="1"/>
      <c r="F177" s="1"/>
      <c r="G177" s="61"/>
      <c r="H177" s="61"/>
      <c r="I177" s="1"/>
      <c r="J177" s="1"/>
      <c r="K177" s="1"/>
      <c r="L177" s="1"/>
      <c r="M177" s="17"/>
      <c r="N177" s="17"/>
      <c r="O177" s="17"/>
      <c r="P177" s="17"/>
      <c r="Q177" s="22"/>
      <c r="R177" s="285"/>
      <c r="S177" s="285"/>
      <c r="T177" s="111"/>
      <c r="U177" s="111" t="str">
        <f t="shared" si="101"/>
        <v>Normal</v>
      </c>
      <c r="V177" s="111" t="str">
        <f t="shared" si="102"/>
        <v>Normal</v>
      </c>
      <c r="W177" s="18">
        <f t="shared" si="103"/>
        <v>0</v>
      </c>
      <c r="X177" s="18">
        <f t="shared" si="104"/>
        <v>0</v>
      </c>
    </row>
    <row r="178" spans="1:33">
      <c r="A178" s="29">
        <v>45559</v>
      </c>
      <c r="B178" s="409"/>
      <c r="C178" s="31"/>
      <c r="D178" s="295"/>
      <c r="E178" s="1"/>
      <c r="F178" s="1"/>
      <c r="G178" s="61"/>
      <c r="H178" s="61"/>
      <c r="I178" s="1"/>
      <c r="J178" s="1"/>
      <c r="K178" s="1"/>
      <c r="L178" s="1"/>
      <c r="M178" s="17"/>
      <c r="N178" s="17"/>
      <c r="O178" s="17"/>
      <c r="P178" s="17"/>
      <c r="Q178" s="22"/>
      <c r="R178" s="285"/>
      <c r="S178" s="285"/>
      <c r="T178" s="111"/>
      <c r="U178" s="111" t="str">
        <f t="shared" si="101"/>
        <v>Normal</v>
      </c>
      <c r="V178" s="111" t="str">
        <f t="shared" si="102"/>
        <v>Normal</v>
      </c>
      <c r="W178" s="18">
        <f t="shared" si="103"/>
        <v>0</v>
      </c>
      <c r="X178" s="18">
        <f t="shared" si="104"/>
        <v>0</v>
      </c>
    </row>
    <row r="179" spans="1:33">
      <c r="A179" s="29">
        <v>45560</v>
      </c>
      <c r="B179" s="409"/>
      <c r="C179" s="31"/>
      <c r="D179" s="295"/>
      <c r="E179" s="1"/>
      <c r="F179" s="1"/>
      <c r="G179" s="61"/>
      <c r="H179" s="61"/>
      <c r="I179" s="1"/>
      <c r="J179" s="1"/>
      <c r="K179" s="1"/>
      <c r="L179" s="1"/>
      <c r="M179" s="17"/>
      <c r="N179" s="17"/>
      <c r="O179" s="17"/>
      <c r="P179" s="17"/>
      <c r="Q179" s="22"/>
      <c r="R179" s="285"/>
      <c r="S179" s="285"/>
      <c r="T179" s="111"/>
      <c r="U179" s="111" t="str">
        <f t="shared" si="101"/>
        <v>Normal</v>
      </c>
      <c r="V179" s="111" t="str">
        <f t="shared" si="102"/>
        <v>Normal</v>
      </c>
      <c r="W179" s="18">
        <f t="shared" si="103"/>
        <v>0</v>
      </c>
      <c r="X179" s="18">
        <f t="shared" si="104"/>
        <v>0</v>
      </c>
    </row>
    <row r="180" spans="1:33">
      <c r="A180" s="29">
        <v>45561</v>
      </c>
      <c r="B180" s="409"/>
      <c r="C180" s="31"/>
      <c r="D180" s="295"/>
      <c r="E180" s="1"/>
      <c r="F180" s="1"/>
      <c r="G180" s="61"/>
      <c r="H180" s="61"/>
      <c r="I180" s="1"/>
      <c r="J180" s="1"/>
      <c r="K180" s="1"/>
      <c r="L180" s="1"/>
      <c r="M180" s="17"/>
      <c r="N180" s="17"/>
      <c r="O180" s="17"/>
      <c r="P180" s="17"/>
      <c r="Q180" s="22"/>
      <c r="R180" s="285"/>
      <c r="S180" s="285"/>
      <c r="T180" s="111"/>
      <c r="U180" s="111" t="str">
        <f t="shared" si="101"/>
        <v>Normal</v>
      </c>
      <c r="V180" s="111" t="str">
        <f t="shared" si="102"/>
        <v>Normal</v>
      </c>
      <c r="W180" s="18">
        <f t="shared" si="103"/>
        <v>0</v>
      </c>
      <c r="X180" s="18">
        <f t="shared" si="104"/>
        <v>0</v>
      </c>
    </row>
    <row r="181" spans="1:33">
      <c r="A181" s="29">
        <v>45562</v>
      </c>
      <c r="B181" s="409"/>
      <c r="C181" s="31"/>
      <c r="D181" s="295"/>
      <c r="E181" s="1"/>
      <c r="F181" s="1"/>
      <c r="G181" s="61"/>
      <c r="H181" s="61"/>
      <c r="I181" s="1"/>
      <c r="J181" s="1"/>
      <c r="K181" s="1"/>
      <c r="L181" s="1"/>
      <c r="M181" s="17"/>
      <c r="N181" s="17"/>
      <c r="O181" s="17"/>
      <c r="P181" s="17"/>
      <c r="Q181" s="22"/>
      <c r="R181" s="285"/>
      <c r="S181" s="285"/>
      <c r="T181" s="111"/>
      <c r="U181" s="111" t="str">
        <f t="shared" si="101"/>
        <v>Normal</v>
      </c>
      <c r="V181" s="111" t="str">
        <f t="shared" si="102"/>
        <v>Normal</v>
      </c>
      <c r="W181" s="18">
        <f t="shared" si="103"/>
        <v>0</v>
      </c>
      <c r="X181" s="18">
        <f t="shared" si="104"/>
        <v>0</v>
      </c>
    </row>
    <row r="182" spans="1:33">
      <c r="A182" s="29">
        <v>45563</v>
      </c>
      <c r="B182" s="409"/>
      <c r="C182" s="31"/>
      <c r="D182" s="295"/>
      <c r="E182" s="1"/>
      <c r="F182" s="1"/>
      <c r="G182" s="61"/>
      <c r="H182" s="61"/>
      <c r="I182" s="1"/>
      <c r="J182" s="1"/>
      <c r="K182" s="1"/>
      <c r="L182" s="1"/>
      <c r="M182" s="17"/>
      <c r="N182" s="17"/>
      <c r="O182" s="17"/>
      <c r="P182" s="17"/>
      <c r="Q182" s="22"/>
      <c r="R182" s="285"/>
      <c r="S182" s="285"/>
      <c r="T182" s="111"/>
      <c r="U182" s="111" t="str">
        <f t="shared" si="101"/>
        <v>Normal</v>
      </c>
      <c r="V182" s="111" t="str">
        <f t="shared" si="102"/>
        <v>Normal</v>
      </c>
      <c r="W182" s="18">
        <f t="shared" si="103"/>
        <v>0</v>
      </c>
      <c r="X182" s="18">
        <f t="shared" si="104"/>
        <v>0</v>
      </c>
    </row>
    <row r="183" spans="1:33">
      <c r="A183" s="29">
        <v>45564</v>
      </c>
      <c r="B183" s="409"/>
      <c r="C183" s="31"/>
      <c r="D183" s="295"/>
      <c r="E183" s="1"/>
      <c r="F183" s="1"/>
      <c r="G183" s="61"/>
      <c r="H183" s="61"/>
      <c r="I183" s="1"/>
      <c r="J183" s="1"/>
      <c r="K183" s="1"/>
      <c r="L183" s="1"/>
      <c r="M183" s="17"/>
      <c r="N183" s="17"/>
      <c r="O183" s="17"/>
      <c r="P183" s="17"/>
      <c r="Q183" s="22"/>
      <c r="R183" s="285"/>
      <c r="S183" s="285"/>
      <c r="T183" s="111"/>
      <c r="U183" s="111" t="str">
        <f t="shared" si="101"/>
        <v>Normal</v>
      </c>
      <c r="V183" s="111" t="str">
        <f t="shared" si="102"/>
        <v>Normal</v>
      </c>
      <c r="W183" s="18">
        <f t="shared" si="103"/>
        <v>0</v>
      </c>
      <c r="X183" s="18">
        <f t="shared" si="104"/>
        <v>0</v>
      </c>
    </row>
    <row r="184" spans="1:33">
      <c r="A184" s="29">
        <v>45565</v>
      </c>
      <c r="B184" s="409"/>
      <c r="C184" s="31"/>
      <c r="D184" s="295"/>
      <c r="E184" s="1"/>
      <c r="F184" s="1"/>
      <c r="G184" s="61"/>
      <c r="H184" s="61"/>
      <c r="I184" s="1"/>
      <c r="J184" s="1"/>
      <c r="K184" s="1"/>
      <c r="L184" s="1"/>
      <c r="M184" s="17"/>
      <c r="N184" s="17"/>
      <c r="O184" s="17"/>
      <c r="P184" s="17"/>
      <c r="Q184" s="22"/>
      <c r="R184" s="285"/>
      <c r="S184" s="285"/>
      <c r="T184" s="111"/>
      <c r="U184" s="111" t="str">
        <f t="shared" si="101"/>
        <v>Normal</v>
      </c>
      <c r="V184" s="111" t="str">
        <f t="shared" si="102"/>
        <v>Normal</v>
      </c>
      <c r="W184" s="18">
        <f t="shared" si="103"/>
        <v>0</v>
      </c>
      <c r="X184" s="18">
        <f t="shared" si="104"/>
        <v>0</v>
      </c>
    </row>
    <row r="185" spans="1:33">
      <c r="A185" s="29">
        <v>45566</v>
      </c>
      <c r="B185" s="409"/>
      <c r="C185" s="31"/>
      <c r="D185" s="295"/>
      <c r="E185" s="1"/>
      <c r="F185" s="1"/>
      <c r="G185" s="61"/>
      <c r="H185" s="61"/>
      <c r="I185" s="1"/>
      <c r="J185" s="1"/>
      <c r="K185" s="1"/>
      <c r="L185" s="1"/>
      <c r="M185" s="17"/>
      <c r="N185" s="17"/>
      <c r="O185" s="17"/>
      <c r="P185" s="17"/>
      <c r="Q185" s="22"/>
      <c r="R185" s="285"/>
      <c r="S185" s="285"/>
      <c r="T185" s="111"/>
      <c r="U185" s="111" t="str">
        <f t="shared" si="101"/>
        <v>Normal</v>
      </c>
      <c r="V185" s="111" t="str">
        <f t="shared" si="102"/>
        <v>Normal</v>
      </c>
      <c r="W185" s="18">
        <f t="shared" si="103"/>
        <v>0</v>
      </c>
      <c r="X185" s="18">
        <f t="shared" si="104"/>
        <v>0</v>
      </c>
    </row>
    <row r="186" spans="1:33">
      <c r="A186" s="29">
        <v>45567</v>
      </c>
      <c r="B186" s="409"/>
      <c r="C186" s="31"/>
      <c r="D186" s="295"/>
      <c r="E186" s="1"/>
      <c r="F186" s="1"/>
      <c r="G186" s="61"/>
      <c r="H186" s="61"/>
      <c r="I186" s="1"/>
      <c r="J186" s="1"/>
      <c r="K186" s="1"/>
      <c r="L186" s="1"/>
      <c r="M186" s="17"/>
      <c r="N186" s="17"/>
      <c r="O186" s="17"/>
      <c r="P186" s="17"/>
      <c r="Q186" s="22"/>
      <c r="R186" s="285"/>
      <c r="S186" s="285"/>
      <c r="T186" s="111"/>
      <c r="U186" s="111" t="str">
        <f t="shared" si="101"/>
        <v>Normal</v>
      </c>
      <c r="V186" s="111" t="str">
        <f t="shared" si="102"/>
        <v>Normal</v>
      </c>
      <c r="W186" s="18">
        <f t="shared" si="103"/>
        <v>0</v>
      </c>
      <c r="X186" s="18">
        <f t="shared" si="104"/>
        <v>0</v>
      </c>
    </row>
    <row r="187" spans="1:33">
      <c r="A187" s="29">
        <v>45568</v>
      </c>
      <c r="B187" s="409"/>
      <c r="C187" s="31"/>
      <c r="D187" s="295"/>
      <c r="E187" s="1"/>
      <c r="F187" s="1"/>
      <c r="G187" s="61"/>
      <c r="H187" s="61"/>
      <c r="I187" s="1"/>
      <c r="J187" s="1"/>
      <c r="K187" s="1"/>
      <c r="L187" s="1"/>
      <c r="M187" s="17"/>
      <c r="N187" s="17"/>
      <c r="O187" s="17"/>
      <c r="P187" s="17"/>
      <c r="Q187" s="22"/>
      <c r="R187" s="285"/>
      <c r="S187" s="285"/>
      <c r="T187" s="111"/>
      <c r="U187" s="111" t="str">
        <f t="shared" si="101"/>
        <v>Normal</v>
      </c>
      <c r="V187" s="111" t="str">
        <f t="shared" si="102"/>
        <v>Normal</v>
      </c>
      <c r="W187" s="18">
        <f t="shared" si="103"/>
        <v>0</v>
      </c>
      <c r="X187" s="18">
        <f t="shared" si="104"/>
        <v>0</v>
      </c>
    </row>
    <row r="188" spans="1:33">
      <c r="A188" s="29">
        <v>45569</v>
      </c>
      <c r="B188" s="409"/>
      <c r="C188" s="31"/>
      <c r="D188" s="295"/>
      <c r="E188" s="1"/>
      <c r="F188" s="1"/>
      <c r="G188" s="61"/>
      <c r="H188" s="61"/>
      <c r="I188" s="1"/>
      <c r="J188" s="1"/>
      <c r="K188" s="1"/>
      <c r="L188" s="1"/>
      <c r="M188" s="17"/>
      <c r="N188" s="17"/>
      <c r="O188" s="17"/>
      <c r="P188" s="17"/>
      <c r="Q188" s="22"/>
      <c r="R188" s="285"/>
      <c r="S188" s="285"/>
      <c r="T188" s="111"/>
      <c r="U188" s="111" t="str">
        <f t="shared" si="101"/>
        <v>Normal</v>
      </c>
      <c r="V188" s="111" t="str">
        <f t="shared" si="102"/>
        <v>Normal</v>
      </c>
      <c r="W188" s="18">
        <f t="shared" si="103"/>
        <v>0</v>
      </c>
      <c r="X188" s="18">
        <f t="shared" si="104"/>
        <v>0</v>
      </c>
    </row>
    <row r="189" spans="1:33">
      <c r="A189" s="29">
        <v>45570</v>
      </c>
      <c r="B189" s="409"/>
      <c r="C189" s="31"/>
      <c r="D189" s="295"/>
      <c r="E189" s="1"/>
      <c r="F189" s="1"/>
      <c r="G189" s="61"/>
      <c r="H189" s="61"/>
      <c r="I189" s="1"/>
      <c r="J189" s="1"/>
      <c r="K189" s="1"/>
      <c r="L189" s="1"/>
      <c r="M189" s="17"/>
      <c r="N189" s="17"/>
      <c r="O189" s="17"/>
      <c r="P189" s="17"/>
      <c r="Q189" s="22"/>
      <c r="R189" s="285"/>
      <c r="S189" s="285"/>
      <c r="T189" s="111"/>
      <c r="U189" s="111" t="str">
        <f t="shared" si="101"/>
        <v>Normal</v>
      </c>
      <c r="V189" s="111" t="str">
        <f t="shared" si="102"/>
        <v>Normal</v>
      </c>
      <c r="W189" s="18">
        <f t="shared" si="103"/>
        <v>0</v>
      </c>
      <c r="X189" s="18">
        <f t="shared" si="104"/>
        <v>0</v>
      </c>
      <c r="AF189" t="s">
        <v>56</v>
      </c>
      <c r="AG189">
        <f>SUM($E$93:$E$123)</f>
        <v>15668</v>
      </c>
    </row>
    <row r="190" spans="1:33">
      <c r="A190" s="29">
        <v>45571</v>
      </c>
      <c r="B190" s="409"/>
      <c r="C190" s="31"/>
      <c r="D190" s="295"/>
      <c r="E190" s="1"/>
      <c r="F190" s="1"/>
      <c r="G190" s="61"/>
      <c r="H190" s="61"/>
      <c r="I190" s="1"/>
      <c r="J190" s="1"/>
      <c r="K190" s="1"/>
      <c r="L190" s="1"/>
      <c r="M190" s="17"/>
      <c r="N190" s="17"/>
      <c r="O190" s="17"/>
      <c r="P190" s="17"/>
      <c r="Q190" s="22"/>
      <c r="R190" s="285"/>
      <c r="S190" s="285"/>
      <c r="T190" s="111"/>
      <c r="U190" s="111" t="str">
        <f t="shared" si="101"/>
        <v>Normal</v>
      </c>
      <c r="V190" s="111" t="str">
        <f t="shared" si="102"/>
        <v>Normal</v>
      </c>
      <c r="W190" s="18">
        <f t="shared" si="103"/>
        <v>0</v>
      </c>
      <c r="X190" s="18">
        <f t="shared" si="104"/>
        <v>0</v>
      </c>
      <c r="AF190" t="s">
        <v>57</v>
      </c>
      <c r="AG190">
        <f>SUM($F$93:$F$123)</f>
        <v>12789</v>
      </c>
    </row>
    <row r="191" spans="1:33">
      <c r="A191" s="29">
        <v>45572</v>
      </c>
      <c r="B191" s="409"/>
      <c r="C191" s="31"/>
      <c r="D191" s="295"/>
      <c r="E191" s="1"/>
      <c r="F191" s="1"/>
      <c r="G191" s="61"/>
      <c r="H191" s="61"/>
      <c r="I191" s="1"/>
      <c r="J191" s="1"/>
      <c r="K191" s="1"/>
      <c r="L191" s="1"/>
      <c r="M191" s="17"/>
      <c r="N191" s="17"/>
      <c r="O191" s="17"/>
      <c r="P191" s="17"/>
      <c r="Q191" s="22"/>
      <c r="R191" s="285"/>
      <c r="S191" s="285"/>
      <c r="T191" s="111"/>
      <c r="U191" s="111" t="str">
        <f t="shared" si="101"/>
        <v>Normal</v>
      </c>
      <c r="V191" s="111" t="str">
        <f t="shared" si="102"/>
        <v>Normal</v>
      </c>
      <c r="W191" s="18">
        <f t="shared" si="103"/>
        <v>0</v>
      </c>
      <c r="X191" s="18">
        <f t="shared" si="104"/>
        <v>0</v>
      </c>
      <c r="AF191" t="s">
        <v>39</v>
      </c>
      <c r="AG191" s="190">
        <f>AVERAGEIF($M$93:$M$123, "&lt;&gt;0")</f>
        <v>0.58461538461538454</v>
      </c>
    </row>
    <row r="192" spans="1:33">
      <c r="A192" s="29">
        <v>45573</v>
      </c>
      <c r="B192" s="409"/>
      <c r="C192" s="31"/>
      <c r="D192" s="295"/>
      <c r="E192" s="1"/>
      <c r="F192" s="1"/>
      <c r="G192" s="61"/>
      <c r="H192" s="61"/>
      <c r="I192" s="1"/>
      <c r="J192" s="1"/>
      <c r="K192" s="1"/>
      <c r="L192" s="1"/>
      <c r="M192" s="17"/>
      <c r="N192" s="17"/>
      <c r="O192" s="17"/>
      <c r="P192" s="17"/>
      <c r="Q192" s="22"/>
      <c r="R192" s="285"/>
      <c r="S192" s="285"/>
      <c r="T192" s="111"/>
      <c r="U192" s="111" t="str">
        <f t="shared" si="101"/>
        <v>Normal</v>
      </c>
      <c r="V192" s="111" t="str">
        <f t="shared" si="102"/>
        <v>Normal</v>
      </c>
      <c r="W192" s="18">
        <f t="shared" si="103"/>
        <v>0</v>
      </c>
      <c r="X192" s="18">
        <f t="shared" si="104"/>
        <v>0</v>
      </c>
      <c r="AF192" t="s">
        <v>70</v>
      </c>
      <c r="AG192" s="190">
        <f>AVERAGEIF($P$93:$P$123, "&lt;&gt;0")</f>
        <v>0.56500000000000006</v>
      </c>
    </row>
    <row r="193" spans="1:33">
      <c r="A193" s="29">
        <v>45574</v>
      </c>
      <c r="B193" s="409"/>
      <c r="C193" s="31"/>
      <c r="D193" s="295"/>
      <c r="E193" s="1"/>
      <c r="F193" s="1"/>
      <c r="G193" s="61"/>
      <c r="H193" s="61"/>
      <c r="I193" s="1"/>
      <c r="J193" s="1"/>
      <c r="K193" s="1"/>
      <c r="L193" s="1"/>
      <c r="M193" s="17"/>
      <c r="N193" s="17"/>
      <c r="O193" s="17"/>
      <c r="P193" s="17"/>
      <c r="Q193" s="22"/>
      <c r="R193" s="285"/>
      <c r="S193" s="285"/>
      <c r="T193" s="111"/>
      <c r="U193" s="111" t="str">
        <f t="shared" si="101"/>
        <v>Normal</v>
      </c>
      <c r="V193" s="111" t="str">
        <f t="shared" si="102"/>
        <v>Normal</v>
      </c>
      <c r="W193" s="18">
        <f t="shared" si="103"/>
        <v>0</v>
      </c>
      <c r="X193" s="18">
        <f t="shared" si="104"/>
        <v>0</v>
      </c>
      <c r="AF193" t="s">
        <v>43</v>
      </c>
      <c r="AG193" s="190">
        <f>AVERAGEIF($Q$23:$Q$93,"&lt;&gt;0")</f>
        <v>0.9923214285714288</v>
      </c>
    </row>
    <row r="194" spans="1:33">
      <c r="A194" s="29">
        <v>45575</v>
      </c>
      <c r="B194" s="409"/>
      <c r="C194" s="31"/>
      <c r="D194" s="295"/>
      <c r="E194" s="1"/>
      <c r="F194" s="1"/>
      <c r="G194" s="61"/>
      <c r="H194" s="61"/>
      <c r="I194" s="1"/>
      <c r="J194" s="1"/>
      <c r="K194" s="1"/>
      <c r="L194" s="1"/>
      <c r="M194" s="17"/>
      <c r="N194" s="17"/>
      <c r="O194" s="17"/>
      <c r="P194" s="17"/>
      <c r="Q194" s="22"/>
      <c r="R194" s="285"/>
      <c r="S194" s="285"/>
      <c r="T194" s="111"/>
      <c r="U194" s="111" t="str">
        <f t="shared" si="101"/>
        <v>Normal</v>
      </c>
      <c r="V194" s="111" t="str">
        <f t="shared" si="102"/>
        <v>Normal</v>
      </c>
      <c r="W194" s="18">
        <f t="shared" si="103"/>
        <v>0</v>
      </c>
      <c r="X194" s="18">
        <f t="shared" si="104"/>
        <v>0</v>
      </c>
    </row>
    <row r="195" spans="1:33">
      <c r="A195" s="29">
        <v>45576</v>
      </c>
      <c r="B195" s="409"/>
      <c r="C195" s="31"/>
      <c r="D195" s="295"/>
      <c r="E195" s="1"/>
      <c r="F195" s="1"/>
      <c r="G195" s="61"/>
      <c r="H195" s="61"/>
      <c r="I195" s="1"/>
      <c r="J195" s="1"/>
      <c r="K195" s="1"/>
      <c r="L195" s="1"/>
      <c r="M195" s="17"/>
      <c r="N195" s="17"/>
      <c r="O195" s="17"/>
      <c r="P195" s="17"/>
      <c r="Q195" s="22"/>
      <c r="R195" s="285"/>
      <c r="S195" s="285"/>
      <c r="T195" s="111"/>
      <c r="U195" s="111" t="str">
        <f t="shared" ref="U195:U258" si="105">IF(OR(G195&lt;$AC$5,G195&gt;$AD$5), "Outlier", "Normal")</f>
        <v>Normal</v>
      </c>
      <c r="V195" s="111" t="str">
        <f t="shared" ref="V195:V258" si="106">IF(OR(H195&lt;$AC$6,H195&gt;$AD$6), "Outlier", "Normal")</f>
        <v>Normal</v>
      </c>
      <c r="W195" s="18">
        <f t="shared" ref="W195:W258" si="107">IF(U195="Normal",$G195,IF($G195&lt;150%, $G195, $AC$9))</f>
        <v>0</v>
      </c>
      <c r="X195" s="18">
        <f t="shared" ref="X195:X258" si="108">IF(V195="Normal",$H195,IF($H195&lt;150%, $H195, $AG$9))</f>
        <v>0</v>
      </c>
    </row>
    <row r="196" spans="1:33">
      <c r="A196" s="29">
        <v>45577</v>
      </c>
      <c r="B196" s="409"/>
      <c r="C196" s="31"/>
      <c r="D196" s="295"/>
      <c r="E196" s="1"/>
      <c r="F196" s="1"/>
      <c r="G196" s="61"/>
      <c r="H196" s="61"/>
      <c r="I196" s="1"/>
      <c r="J196" s="1"/>
      <c r="K196" s="1"/>
      <c r="L196" s="1"/>
      <c r="M196" s="17"/>
      <c r="N196" s="17"/>
      <c r="O196" s="17"/>
      <c r="P196" s="17"/>
      <c r="Q196" s="22"/>
      <c r="R196" s="285"/>
      <c r="S196" s="285"/>
      <c r="T196" s="111"/>
      <c r="U196" s="111" t="str">
        <f t="shared" si="105"/>
        <v>Normal</v>
      </c>
      <c r="V196" s="111" t="str">
        <f t="shared" si="106"/>
        <v>Normal</v>
      </c>
      <c r="W196" s="18">
        <f t="shared" si="107"/>
        <v>0</v>
      </c>
      <c r="X196" s="18">
        <f t="shared" si="108"/>
        <v>0</v>
      </c>
    </row>
    <row r="197" spans="1:33">
      <c r="A197" s="29">
        <v>45578</v>
      </c>
      <c r="B197" s="409"/>
      <c r="C197" s="31"/>
      <c r="D197" s="295"/>
      <c r="E197" s="1"/>
      <c r="F197" s="1"/>
      <c r="G197" s="61"/>
      <c r="H197" s="61"/>
      <c r="I197" s="1"/>
      <c r="J197" s="1"/>
      <c r="K197" s="1"/>
      <c r="L197" s="1"/>
      <c r="M197" s="17"/>
      <c r="N197" s="17"/>
      <c r="O197" s="17"/>
      <c r="P197" s="17"/>
      <c r="Q197" s="22"/>
      <c r="R197" s="285"/>
      <c r="S197" s="285"/>
      <c r="T197" s="111"/>
      <c r="U197" s="111" t="str">
        <f t="shared" si="105"/>
        <v>Normal</v>
      </c>
      <c r="V197" s="111" t="str">
        <f t="shared" si="106"/>
        <v>Normal</v>
      </c>
      <c r="W197" s="18">
        <f t="shared" si="107"/>
        <v>0</v>
      </c>
      <c r="X197" s="18">
        <f t="shared" si="108"/>
        <v>0</v>
      </c>
    </row>
    <row r="198" spans="1:33">
      <c r="A198" s="29">
        <v>45579</v>
      </c>
      <c r="B198" s="409"/>
      <c r="C198" s="31"/>
      <c r="D198" s="295"/>
      <c r="E198" s="1"/>
      <c r="F198" s="1"/>
      <c r="G198" s="61"/>
      <c r="H198" s="61"/>
      <c r="I198" s="1"/>
      <c r="J198" s="1"/>
      <c r="K198" s="1"/>
      <c r="L198" s="1"/>
      <c r="M198" s="17"/>
      <c r="N198" s="17"/>
      <c r="O198" s="17"/>
      <c r="P198" s="17"/>
      <c r="Q198" s="22"/>
      <c r="R198" s="285"/>
      <c r="S198" s="285"/>
      <c r="T198" s="111"/>
      <c r="U198" s="111" t="str">
        <f t="shared" si="105"/>
        <v>Normal</v>
      </c>
      <c r="V198" s="111" t="str">
        <f t="shared" si="106"/>
        <v>Normal</v>
      </c>
      <c r="W198" s="18">
        <f t="shared" si="107"/>
        <v>0</v>
      </c>
      <c r="X198" s="18">
        <f t="shared" si="108"/>
        <v>0</v>
      </c>
    </row>
    <row r="199" spans="1:33">
      <c r="A199" s="29">
        <v>45580</v>
      </c>
      <c r="B199" s="409"/>
      <c r="C199" s="31"/>
      <c r="D199" s="295"/>
      <c r="E199" s="1"/>
      <c r="F199" s="1"/>
      <c r="G199" s="61"/>
      <c r="H199" s="61"/>
      <c r="I199" s="1"/>
      <c r="J199" s="1"/>
      <c r="K199" s="1"/>
      <c r="L199" s="1"/>
      <c r="M199" s="17"/>
      <c r="N199" s="17"/>
      <c r="O199" s="17"/>
      <c r="P199" s="17"/>
      <c r="Q199" s="22"/>
      <c r="R199" s="285"/>
      <c r="S199" s="285"/>
      <c r="T199" s="111"/>
      <c r="U199" s="111" t="str">
        <f t="shared" si="105"/>
        <v>Normal</v>
      </c>
      <c r="V199" s="111" t="str">
        <f t="shared" si="106"/>
        <v>Normal</v>
      </c>
      <c r="W199" s="18">
        <f t="shared" si="107"/>
        <v>0</v>
      </c>
      <c r="X199" s="18">
        <f t="shared" si="108"/>
        <v>0</v>
      </c>
    </row>
    <row r="200" spans="1:33">
      <c r="A200" s="29">
        <v>45581</v>
      </c>
      <c r="B200" s="409"/>
      <c r="C200" s="31"/>
      <c r="D200" s="295"/>
      <c r="E200" s="1"/>
      <c r="F200" s="1"/>
      <c r="G200" s="61"/>
      <c r="H200" s="61"/>
      <c r="I200" s="1"/>
      <c r="J200" s="1"/>
      <c r="K200" s="1"/>
      <c r="L200" s="1"/>
      <c r="M200" s="17"/>
      <c r="N200" s="17"/>
      <c r="O200" s="17"/>
      <c r="P200" s="17"/>
      <c r="Q200" s="22"/>
      <c r="R200" s="285"/>
      <c r="S200" s="285"/>
      <c r="T200" s="111"/>
      <c r="U200" s="111" t="str">
        <f t="shared" si="105"/>
        <v>Normal</v>
      </c>
      <c r="V200" s="111" t="str">
        <f t="shared" si="106"/>
        <v>Normal</v>
      </c>
      <c r="W200" s="18">
        <f t="shared" si="107"/>
        <v>0</v>
      </c>
      <c r="X200" s="18">
        <f t="shared" si="108"/>
        <v>0</v>
      </c>
    </row>
    <row r="201" spans="1:33">
      <c r="A201" s="29">
        <v>45582</v>
      </c>
      <c r="B201" s="409"/>
      <c r="C201" s="31"/>
      <c r="D201" s="295"/>
      <c r="E201" s="1"/>
      <c r="F201" s="1"/>
      <c r="G201" s="61"/>
      <c r="H201" s="61"/>
      <c r="I201" s="1"/>
      <c r="J201" s="1"/>
      <c r="K201" s="1"/>
      <c r="L201" s="1"/>
      <c r="M201" s="17"/>
      <c r="N201" s="17"/>
      <c r="O201" s="17"/>
      <c r="P201" s="17"/>
      <c r="Q201" s="22"/>
      <c r="R201" s="285"/>
      <c r="S201" s="285"/>
      <c r="T201" s="111"/>
      <c r="U201" s="111" t="str">
        <f t="shared" si="105"/>
        <v>Normal</v>
      </c>
      <c r="V201" s="111" t="str">
        <f t="shared" si="106"/>
        <v>Normal</v>
      </c>
      <c r="W201" s="18">
        <f t="shared" si="107"/>
        <v>0</v>
      </c>
      <c r="X201" s="18">
        <f t="shared" si="108"/>
        <v>0</v>
      </c>
    </row>
    <row r="202" spans="1:33">
      <c r="A202" s="29">
        <v>45583</v>
      </c>
      <c r="B202" s="409"/>
      <c r="C202" s="31"/>
      <c r="D202" s="295"/>
      <c r="E202" s="1"/>
      <c r="F202" s="1"/>
      <c r="G202" s="61"/>
      <c r="H202" s="61"/>
      <c r="I202" s="1"/>
      <c r="J202" s="1"/>
      <c r="K202" s="1"/>
      <c r="L202" s="1"/>
      <c r="M202" s="17"/>
      <c r="N202" s="17"/>
      <c r="O202" s="17"/>
      <c r="P202" s="17"/>
      <c r="Q202" s="22"/>
      <c r="R202" s="285"/>
      <c r="S202" s="285"/>
      <c r="T202" s="111"/>
      <c r="U202" s="111" t="str">
        <f t="shared" si="105"/>
        <v>Normal</v>
      </c>
      <c r="V202" s="111" t="str">
        <f t="shared" si="106"/>
        <v>Normal</v>
      </c>
      <c r="W202" s="18">
        <f t="shared" si="107"/>
        <v>0</v>
      </c>
      <c r="X202" s="18">
        <f t="shared" si="108"/>
        <v>0</v>
      </c>
    </row>
    <row r="203" spans="1:33">
      <c r="A203" s="29">
        <v>45584</v>
      </c>
      <c r="B203" s="409"/>
      <c r="C203" s="31"/>
      <c r="D203" s="295"/>
      <c r="E203" s="1"/>
      <c r="F203" s="1"/>
      <c r="G203" s="61"/>
      <c r="H203" s="61"/>
      <c r="I203" s="1"/>
      <c r="J203" s="1"/>
      <c r="K203" s="1"/>
      <c r="L203" s="1"/>
      <c r="M203" s="17"/>
      <c r="N203" s="17"/>
      <c r="O203" s="17"/>
      <c r="P203" s="17"/>
      <c r="Q203" s="22"/>
      <c r="R203" s="285"/>
      <c r="S203" s="285"/>
      <c r="T203" s="111"/>
      <c r="U203" s="111" t="str">
        <f t="shared" si="105"/>
        <v>Normal</v>
      </c>
      <c r="V203" s="111" t="str">
        <f t="shared" si="106"/>
        <v>Normal</v>
      </c>
      <c r="W203" s="18">
        <f t="shared" si="107"/>
        <v>0</v>
      </c>
      <c r="X203" s="18">
        <f t="shared" si="108"/>
        <v>0</v>
      </c>
    </row>
    <row r="204" spans="1:33">
      <c r="A204" s="29">
        <v>45585</v>
      </c>
      <c r="B204" s="409"/>
      <c r="C204" s="31"/>
      <c r="D204" s="295"/>
      <c r="E204" s="1"/>
      <c r="F204" s="1"/>
      <c r="G204" s="61"/>
      <c r="H204" s="61"/>
      <c r="I204" s="1"/>
      <c r="J204" s="1"/>
      <c r="K204" s="1"/>
      <c r="L204" s="1"/>
      <c r="M204" s="17"/>
      <c r="N204" s="17"/>
      <c r="O204" s="17"/>
      <c r="P204" s="17"/>
      <c r="Q204" s="22"/>
      <c r="R204" s="285"/>
      <c r="S204" s="285"/>
      <c r="T204" s="111"/>
      <c r="U204" s="111" t="str">
        <f t="shared" si="105"/>
        <v>Normal</v>
      </c>
      <c r="V204" s="111" t="str">
        <f t="shared" si="106"/>
        <v>Normal</v>
      </c>
      <c r="W204" s="18">
        <f t="shared" si="107"/>
        <v>0</v>
      </c>
      <c r="X204" s="18">
        <f t="shared" si="108"/>
        <v>0</v>
      </c>
    </row>
    <row r="205" spans="1:33">
      <c r="A205" s="29">
        <v>45586</v>
      </c>
      <c r="B205" s="409"/>
      <c r="C205" s="31"/>
      <c r="D205" s="295"/>
      <c r="E205" s="1"/>
      <c r="F205" s="1"/>
      <c r="G205" s="61"/>
      <c r="H205" s="61"/>
      <c r="I205" s="1"/>
      <c r="J205" s="1"/>
      <c r="K205" s="1"/>
      <c r="L205" s="1"/>
      <c r="M205" s="17"/>
      <c r="N205" s="17"/>
      <c r="O205" s="17"/>
      <c r="P205" s="17"/>
      <c r="Q205" s="22"/>
      <c r="R205" s="285"/>
      <c r="S205" s="285"/>
      <c r="T205" s="111"/>
      <c r="U205" s="111" t="str">
        <f t="shared" si="105"/>
        <v>Normal</v>
      </c>
      <c r="V205" s="111" t="str">
        <f t="shared" si="106"/>
        <v>Normal</v>
      </c>
      <c r="W205" s="18">
        <f t="shared" si="107"/>
        <v>0</v>
      </c>
      <c r="X205" s="18">
        <f t="shared" si="108"/>
        <v>0</v>
      </c>
    </row>
    <row r="206" spans="1:33">
      <c r="A206" s="29">
        <v>45587</v>
      </c>
      <c r="B206" s="409"/>
      <c r="C206" s="31"/>
      <c r="D206" s="295"/>
      <c r="E206" s="1"/>
      <c r="F206" s="1"/>
      <c r="G206" s="61"/>
      <c r="H206" s="61"/>
      <c r="I206" s="1"/>
      <c r="J206" s="1"/>
      <c r="K206" s="1"/>
      <c r="L206" s="1"/>
      <c r="M206" s="17"/>
      <c r="N206" s="17"/>
      <c r="O206" s="17"/>
      <c r="P206" s="17"/>
      <c r="Q206" s="22"/>
      <c r="R206" s="285"/>
      <c r="S206" s="285"/>
      <c r="T206" s="111"/>
      <c r="U206" s="111" t="str">
        <f t="shared" si="105"/>
        <v>Normal</v>
      </c>
      <c r="V206" s="111" t="str">
        <f t="shared" si="106"/>
        <v>Normal</v>
      </c>
      <c r="W206" s="18">
        <f t="shared" si="107"/>
        <v>0</v>
      </c>
      <c r="X206" s="18">
        <f t="shared" si="108"/>
        <v>0</v>
      </c>
    </row>
    <row r="207" spans="1:33">
      <c r="A207" s="29">
        <v>45588</v>
      </c>
      <c r="B207" s="409"/>
      <c r="C207" s="31"/>
      <c r="D207" s="295"/>
      <c r="E207" s="1"/>
      <c r="F207" s="1"/>
      <c r="G207" s="61"/>
      <c r="H207" s="61"/>
      <c r="I207" s="1"/>
      <c r="J207" s="1"/>
      <c r="K207" s="1"/>
      <c r="L207" s="1"/>
      <c r="M207" s="17"/>
      <c r="N207" s="17"/>
      <c r="O207" s="17"/>
      <c r="P207" s="17"/>
      <c r="Q207" s="22"/>
      <c r="R207" s="285"/>
      <c r="S207" s="285"/>
      <c r="T207" s="111"/>
      <c r="U207" s="111" t="str">
        <f t="shared" si="105"/>
        <v>Normal</v>
      </c>
      <c r="V207" s="111" t="str">
        <f t="shared" si="106"/>
        <v>Normal</v>
      </c>
      <c r="W207" s="18">
        <f t="shared" si="107"/>
        <v>0</v>
      </c>
      <c r="X207" s="18">
        <f t="shared" si="108"/>
        <v>0</v>
      </c>
    </row>
    <row r="208" spans="1:33">
      <c r="A208" s="29">
        <v>45589</v>
      </c>
      <c r="B208" s="409"/>
      <c r="C208" s="31"/>
      <c r="D208" s="295"/>
      <c r="E208" s="1"/>
      <c r="F208" s="1"/>
      <c r="G208" s="61"/>
      <c r="H208" s="61"/>
      <c r="I208" s="1"/>
      <c r="J208" s="1"/>
      <c r="K208" s="1"/>
      <c r="L208" s="1"/>
      <c r="M208" s="17"/>
      <c r="N208" s="17"/>
      <c r="O208" s="17"/>
      <c r="P208" s="17"/>
      <c r="Q208" s="22"/>
      <c r="R208" s="285"/>
      <c r="S208" s="285"/>
      <c r="T208" s="111"/>
      <c r="U208" s="111" t="str">
        <f t="shared" si="105"/>
        <v>Normal</v>
      </c>
      <c r="V208" s="111" t="str">
        <f t="shared" si="106"/>
        <v>Normal</v>
      </c>
      <c r="W208" s="18">
        <f t="shared" si="107"/>
        <v>0</v>
      </c>
      <c r="X208" s="18">
        <f t="shared" si="108"/>
        <v>0</v>
      </c>
    </row>
    <row r="209" spans="1:24">
      <c r="A209" s="29">
        <v>45590</v>
      </c>
      <c r="B209" s="409"/>
      <c r="C209" s="31"/>
      <c r="D209" s="295"/>
      <c r="E209" s="1"/>
      <c r="F209" s="1"/>
      <c r="G209" s="61"/>
      <c r="H209" s="61"/>
      <c r="I209" s="1"/>
      <c r="J209" s="1"/>
      <c r="K209" s="1"/>
      <c r="L209" s="1"/>
      <c r="M209" s="17"/>
      <c r="N209" s="17"/>
      <c r="O209" s="17"/>
      <c r="P209" s="17"/>
      <c r="Q209" s="22"/>
      <c r="R209" s="285"/>
      <c r="S209" s="285"/>
      <c r="T209" s="111"/>
      <c r="U209" s="111" t="str">
        <f t="shared" si="105"/>
        <v>Normal</v>
      </c>
      <c r="V209" s="111" t="str">
        <f t="shared" si="106"/>
        <v>Normal</v>
      </c>
      <c r="W209" s="18">
        <f t="shared" si="107"/>
        <v>0</v>
      </c>
      <c r="X209" s="18">
        <f t="shared" si="108"/>
        <v>0</v>
      </c>
    </row>
    <row r="210" spans="1:24">
      <c r="A210" s="29">
        <v>45591</v>
      </c>
      <c r="B210" s="409"/>
      <c r="C210" s="31"/>
      <c r="D210" s="295"/>
      <c r="E210" s="1"/>
      <c r="F210" s="1"/>
      <c r="G210" s="61"/>
      <c r="H210" s="61"/>
      <c r="I210" s="1"/>
      <c r="J210" s="1"/>
      <c r="K210" s="1"/>
      <c r="L210" s="1"/>
      <c r="M210" s="17"/>
      <c r="N210" s="17"/>
      <c r="O210" s="17"/>
      <c r="P210" s="17"/>
      <c r="Q210" s="22"/>
      <c r="R210" s="285"/>
      <c r="S210" s="285"/>
      <c r="T210" s="111"/>
      <c r="U210" s="111" t="str">
        <f t="shared" si="105"/>
        <v>Normal</v>
      </c>
      <c r="V210" s="111" t="str">
        <f t="shared" si="106"/>
        <v>Normal</v>
      </c>
      <c r="W210" s="18">
        <f t="shared" si="107"/>
        <v>0</v>
      </c>
      <c r="X210" s="18">
        <f t="shared" si="108"/>
        <v>0</v>
      </c>
    </row>
    <row r="211" spans="1:24">
      <c r="A211" s="29">
        <v>45592</v>
      </c>
      <c r="B211" s="409"/>
      <c r="C211" s="31"/>
      <c r="D211" s="295"/>
      <c r="E211" s="1"/>
      <c r="F211" s="1"/>
      <c r="G211" s="61"/>
      <c r="H211" s="61"/>
      <c r="I211" s="1"/>
      <c r="J211" s="1"/>
      <c r="K211" s="1"/>
      <c r="L211" s="1"/>
      <c r="M211" s="17"/>
      <c r="N211" s="17"/>
      <c r="O211" s="17"/>
      <c r="P211" s="17"/>
      <c r="Q211" s="22"/>
      <c r="R211" s="285"/>
      <c r="S211" s="285"/>
      <c r="T211" s="111"/>
      <c r="U211" s="111" t="str">
        <f t="shared" si="105"/>
        <v>Normal</v>
      </c>
      <c r="V211" s="111" t="str">
        <f t="shared" si="106"/>
        <v>Normal</v>
      </c>
      <c r="W211" s="18">
        <f t="shared" si="107"/>
        <v>0</v>
      </c>
      <c r="X211" s="18">
        <f t="shared" si="108"/>
        <v>0</v>
      </c>
    </row>
    <row r="212" spans="1:24">
      <c r="A212" s="29">
        <v>45593</v>
      </c>
      <c r="B212" s="409"/>
      <c r="C212" s="31"/>
      <c r="D212" s="295"/>
      <c r="E212" s="1"/>
      <c r="F212" s="1"/>
      <c r="G212" s="61"/>
      <c r="H212" s="61"/>
      <c r="I212" s="1"/>
      <c r="J212" s="1"/>
      <c r="K212" s="1"/>
      <c r="L212" s="1"/>
      <c r="M212" s="17"/>
      <c r="N212" s="17"/>
      <c r="O212" s="17"/>
      <c r="P212" s="17"/>
      <c r="Q212" s="22"/>
      <c r="R212" s="285"/>
      <c r="S212" s="285"/>
      <c r="T212" s="111"/>
      <c r="U212" s="111" t="str">
        <f t="shared" si="105"/>
        <v>Normal</v>
      </c>
      <c r="V212" s="111" t="str">
        <f t="shared" si="106"/>
        <v>Normal</v>
      </c>
      <c r="W212" s="18">
        <f t="shared" si="107"/>
        <v>0</v>
      </c>
      <c r="X212" s="18">
        <f t="shared" si="108"/>
        <v>0</v>
      </c>
    </row>
    <row r="213" spans="1:24">
      <c r="A213" s="29">
        <v>45594</v>
      </c>
      <c r="B213" s="409"/>
      <c r="C213" s="31"/>
      <c r="D213" s="295"/>
      <c r="E213" s="1"/>
      <c r="F213" s="1"/>
      <c r="G213" s="61"/>
      <c r="H213" s="61"/>
      <c r="I213" s="1"/>
      <c r="J213" s="1"/>
      <c r="K213" s="1"/>
      <c r="L213" s="1"/>
      <c r="M213" s="17"/>
      <c r="N213" s="17"/>
      <c r="O213" s="17"/>
      <c r="P213" s="17"/>
      <c r="Q213" s="22"/>
      <c r="R213" s="285"/>
      <c r="S213" s="285"/>
      <c r="T213" s="111"/>
      <c r="U213" s="111" t="str">
        <f t="shared" si="105"/>
        <v>Normal</v>
      </c>
      <c r="V213" s="111" t="str">
        <f t="shared" si="106"/>
        <v>Normal</v>
      </c>
      <c r="W213" s="18">
        <f t="shared" si="107"/>
        <v>0</v>
      </c>
      <c r="X213" s="18">
        <f t="shared" si="108"/>
        <v>0</v>
      </c>
    </row>
    <row r="214" spans="1:24">
      <c r="A214" s="29">
        <v>45595</v>
      </c>
      <c r="B214" s="409"/>
      <c r="C214" s="31"/>
      <c r="D214" s="295"/>
      <c r="E214" s="1"/>
      <c r="F214" s="1"/>
      <c r="G214" s="61"/>
      <c r="H214" s="61"/>
      <c r="I214" s="1"/>
      <c r="J214" s="1"/>
      <c r="K214" s="1"/>
      <c r="L214" s="1"/>
      <c r="M214" s="17"/>
      <c r="N214" s="17"/>
      <c r="O214" s="17"/>
      <c r="P214" s="17"/>
      <c r="Q214" s="22"/>
      <c r="R214" s="285"/>
      <c r="S214" s="285"/>
      <c r="T214" s="111"/>
      <c r="U214" s="111" t="str">
        <f t="shared" si="105"/>
        <v>Normal</v>
      </c>
      <c r="V214" s="111" t="str">
        <f t="shared" si="106"/>
        <v>Normal</v>
      </c>
      <c r="W214" s="18">
        <f t="shared" si="107"/>
        <v>0</v>
      </c>
      <c r="X214" s="18">
        <f t="shared" si="108"/>
        <v>0</v>
      </c>
    </row>
    <row r="215" spans="1:24" s="45" customFormat="1">
      <c r="A215" s="29">
        <v>45596</v>
      </c>
      <c r="B215" s="409"/>
      <c r="C215" s="46"/>
      <c r="D215" s="295"/>
      <c r="E215" s="1"/>
      <c r="F215" s="1"/>
      <c r="G215" s="61"/>
      <c r="H215" s="61"/>
      <c r="I215" s="1"/>
      <c r="J215" s="1"/>
      <c r="K215" s="1"/>
      <c r="L215" s="1"/>
      <c r="M215" s="17"/>
      <c r="N215" s="17"/>
      <c r="O215" s="17"/>
      <c r="P215" s="17"/>
      <c r="Q215" s="22"/>
      <c r="R215" s="285"/>
      <c r="S215" s="285"/>
      <c r="T215" s="111"/>
      <c r="U215" s="111" t="str">
        <f t="shared" si="105"/>
        <v>Normal</v>
      </c>
      <c r="V215" s="111" t="str">
        <f t="shared" si="106"/>
        <v>Normal</v>
      </c>
      <c r="W215" s="18">
        <f t="shared" si="107"/>
        <v>0</v>
      </c>
      <c r="X215" s="18">
        <f t="shared" si="108"/>
        <v>0</v>
      </c>
    </row>
    <row r="216" spans="1:24">
      <c r="A216" s="29">
        <v>45597</v>
      </c>
      <c r="B216" s="409"/>
      <c r="C216" s="31"/>
      <c r="D216" s="295"/>
      <c r="E216" s="1"/>
      <c r="F216" s="1"/>
      <c r="G216" s="61"/>
      <c r="H216" s="61"/>
      <c r="I216" s="1"/>
      <c r="J216" s="1"/>
      <c r="K216" s="1"/>
      <c r="L216" s="1"/>
      <c r="M216" s="17"/>
      <c r="N216" s="17"/>
      <c r="O216" s="17"/>
      <c r="P216" s="17"/>
      <c r="Q216" s="22"/>
      <c r="R216" s="285"/>
      <c r="S216" s="285"/>
      <c r="T216" s="111"/>
      <c r="U216" s="111" t="str">
        <f t="shared" si="105"/>
        <v>Normal</v>
      </c>
      <c r="V216" s="111" t="str">
        <f t="shared" si="106"/>
        <v>Normal</v>
      </c>
      <c r="W216" s="18">
        <f t="shared" si="107"/>
        <v>0</v>
      </c>
      <c r="X216" s="18">
        <f t="shared" si="108"/>
        <v>0</v>
      </c>
    </row>
    <row r="217" spans="1:24">
      <c r="A217" s="29">
        <v>45598</v>
      </c>
      <c r="B217" s="409"/>
      <c r="C217" s="31"/>
      <c r="D217" s="295"/>
      <c r="E217" s="1"/>
      <c r="F217" s="1"/>
      <c r="G217" s="61"/>
      <c r="H217" s="61"/>
      <c r="I217" s="1"/>
      <c r="J217" s="1"/>
      <c r="K217" s="1"/>
      <c r="L217" s="1"/>
      <c r="M217" s="17"/>
      <c r="N217" s="17"/>
      <c r="O217" s="17"/>
      <c r="P217" s="17"/>
      <c r="Q217" s="22"/>
      <c r="R217" s="285"/>
      <c r="S217" s="285"/>
      <c r="T217" s="111"/>
      <c r="U217" s="111" t="str">
        <f t="shared" si="105"/>
        <v>Normal</v>
      </c>
      <c r="V217" s="111" t="str">
        <f t="shared" si="106"/>
        <v>Normal</v>
      </c>
      <c r="W217" s="18">
        <f t="shared" si="107"/>
        <v>0</v>
      </c>
      <c r="X217" s="18">
        <f t="shared" si="108"/>
        <v>0</v>
      </c>
    </row>
    <row r="218" spans="1:24">
      <c r="A218" s="29">
        <v>45599</v>
      </c>
      <c r="B218" s="409"/>
      <c r="C218" s="31"/>
      <c r="D218" s="295"/>
      <c r="E218" s="1"/>
      <c r="F218" s="1"/>
      <c r="G218" s="61"/>
      <c r="H218" s="61"/>
      <c r="I218" s="1"/>
      <c r="J218" s="1"/>
      <c r="K218" s="1"/>
      <c r="L218" s="1"/>
      <c r="M218" s="17"/>
      <c r="N218" s="17"/>
      <c r="O218" s="17"/>
      <c r="P218" s="17"/>
      <c r="Q218" s="22"/>
      <c r="R218" s="285"/>
      <c r="S218" s="285"/>
      <c r="T218" s="111"/>
      <c r="U218" s="111" t="str">
        <f t="shared" si="105"/>
        <v>Normal</v>
      </c>
      <c r="V218" s="111" t="str">
        <f t="shared" si="106"/>
        <v>Normal</v>
      </c>
      <c r="W218" s="18">
        <f t="shared" si="107"/>
        <v>0</v>
      </c>
      <c r="X218" s="18">
        <f t="shared" si="108"/>
        <v>0</v>
      </c>
    </row>
    <row r="219" spans="1:24">
      <c r="A219" s="29">
        <v>45600</v>
      </c>
      <c r="B219" s="409"/>
      <c r="C219" s="31"/>
      <c r="D219" s="295"/>
      <c r="E219" s="1"/>
      <c r="F219" s="1"/>
      <c r="G219" s="61"/>
      <c r="H219" s="61"/>
      <c r="I219" s="1"/>
      <c r="J219" s="1"/>
      <c r="K219" s="1"/>
      <c r="L219" s="1"/>
      <c r="M219" s="17"/>
      <c r="N219" s="17"/>
      <c r="O219" s="17"/>
      <c r="P219" s="17"/>
      <c r="Q219" s="22"/>
      <c r="R219" s="285"/>
      <c r="S219" s="285"/>
      <c r="T219" s="111"/>
      <c r="U219" s="111" t="str">
        <f t="shared" si="105"/>
        <v>Normal</v>
      </c>
      <c r="V219" s="111" t="str">
        <f t="shared" si="106"/>
        <v>Normal</v>
      </c>
      <c r="W219" s="18">
        <f t="shared" si="107"/>
        <v>0</v>
      </c>
      <c r="X219" s="18">
        <f t="shared" si="108"/>
        <v>0</v>
      </c>
    </row>
    <row r="220" spans="1:24">
      <c r="A220" s="29">
        <v>45601</v>
      </c>
      <c r="B220" s="409"/>
      <c r="C220" s="31"/>
      <c r="D220" s="295"/>
      <c r="E220" s="1"/>
      <c r="F220" s="1"/>
      <c r="G220" s="61"/>
      <c r="H220" s="61"/>
      <c r="I220" s="1"/>
      <c r="J220" s="1"/>
      <c r="K220" s="1"/>
      <c r="L220" s="1"/>
      <c r="M220" s="17"/>
      <c r="N220" s="17"/>
      <c r="O220" s="17"/>
      <c r="P220" s="17"/>
      <c r="Q220" s="22"/>
      <c r="R220" s="285"/>
      <c r="S220" s="285"/>
      <c r="T220" s="111"/>
      <c r="U220" s="111" t="str">
        <f t="shared" si="105"/>
        <v>Normal</v>
      </c>
      <c r="V220" s="111" t="str">
        <f t="shared" si="106"/>
        <v>Normal</v>
      </c>
      <c r="W220" s="18">
        <f t="shared" si="107"/>
        <v>0</v>
      </c>
      <c r="X220" s="18">
        <f t="shared" si="108"/>
        <v>0</v>
      </c>
    </row>
    <row r="221" spans="1:24">
      <c r="A221" s="29">
        <v>45602</v>
      </c>
      <c r="B221" s="409"/>
      <c r="C221" s="31"/>
      <c r="D221" s="295"/>
      <c r="E221" s="1"/>
      <c r="F221" s="1"/>
      <c r="G221" s="61"/>
      <c r="H221" s="61"/>
      <c r="I221" s="1"/>
      <c r="J221" s="1"/>
      <c r="K221" s="1"/>
      <c r="L221" s="1"/>
      <c r="M221" s="17"/>
      <c r="N221" s="17"/>
      <c r="O221" s="17"/>
      <c r="P221" s="17"/>
      <c r="Q221" s="22"/>
      <c r="R221" s="285"/>
      <c r="S221" s="285"/>
      <c r="T221" s="111"/>
      <c r="U221" s="111" t="str">
        <f t="shared" si="105"/>
        <v>Normal</v>
      </c>
      <c r="V221" s="111" t="str">
        <f t="shared" si="106"/>
        <v>Normal</v>
      </c>
      <c r="W221" s="18">
        <f t="shared" si="107"/>
        <v>0</v>
      </c>
      <c r="X221" s="18">
        <f t="shared" si="108"/>
        <v>0</v>
      </c>
    </row>
    <row r="222" spans="1:24">
      <c r="A222" s="29">
        <v>45603</v>
      </c>
      <c r="B222" s="409"/>
      <c r="C222" s="31"/>
      <c r="D222" s="295"/>
      <c r="E222" s="1"/>
      <c r="F222" s="1"/>
      <c r="G222" s="61"/>
      <c r="H222" s="61"/>
      <c r="I222" s="1"/>
      <c r="J222" s="1"/>
      <c r="K222" s="1"/>
      <c r="L222" s="1"/>
      <c r="M222" s="17"/>
      <c r="N222" s="17"/>
      <c r="O222" s="17"/>
      <c r="P222" s="17"/>
      <c r="Q222" s="22"/>
      <c r="R222" s="285"/>
      <c r="S222" s="285"/>
      <c r="T222" s="111"/>
      <c r="U222" s="111" t="str">
        <f t="shared" si="105"/>
        <v>Normal</v>
      </c>
      <c r="V222" s="111" t="str">
        <f t="shared" si="106"/>
        <v>Normal</v>
      </c>
      <c r="W222" s="18">
        <f t="shared" si="107"/>
        <v>0</v>
      </c>
      <c r="X222" s="18">
        <f t="shared" si="108"/>
        <v>0</v>
      </c>
    </row>
    <row r="223" spans="1:24">
      <c r="A223" s="29">
        <v>45604</v>
      </c>
      <c r="B223" s="409"/>
      <c r="C223" s="31"/>
      <c r="D223" s="295"/>
      <c r="E223" s="1"/>
      <c r="F223" s="1"/>
      <c r="G223" s="61"/>
      <c r="H223" s="61"/>
      <c r="I223" s="1"/>
      <c r="J223" s="1"/>
      <c r="K223" s="1"/>
      <c r="L223" s="1"/>
      <c r="M223" s="17"/>
      <c r="N223" s="17"/>
      <c r="O223" s="17"/>
      <c r="P223" s="17"/>
      <c r="Q223" s="22"/>
      <c r="R223" s="285"/>
      <c r="S223" s="285"/>
      <c r="T223" s="111"/>
      <c r="U223" s="111" t="str">
        <f t="shared" si="105"/>
        <v>Normal</v>
      </c>
      <c r="V223" s="111" t="str">
        <f t="shared" si="106"/>
        <v>Normal</v>
      </c>
      <c r="W223" s="18">
        <f t="shared" si="107"/>
        <v>0</v>
      </c>
      <c r="X223" s="18">
        <f t="shared" si="108"/>
        <v>0</v>
      </c>
    </row>
    <row r="224" spans="1:24">
      <c r="A224" s="29">
        <v>45605</v>
      </c>
      <c r="B224" s="409"/>
      <c r="C224" s="31"/>
      <c r="D224" s="295"/>
      <c r="E224" s="1"/>
      <c r="F224" s="1"/>
      <c r="G224" s="61"/>
      <c r="H224" s="61"/>
      <c r="I224" s="1"/>
      <c r="J224" s="1"/>
      <c r="K224" s="1"/>
      <c r="L224" s="1"/>
      <c r="M224" s="17"/>
      <c r="N224" s="17"/>
      <c r="O224" s="17"/>
      <c r="P224" s="17"/>
      <c r="Q224" s="22"/>
      <c r="R224" s="285"/>
      <c r="S224" s="285"/>
      <c r="T224" s="111"/>
      <c r="U224" s="111" t="str">
        <f t="shared" si="105"/>
        <v>Normal</v>
      </c>
      <c r="V224" s="111" t="str">
        <f t="shared" si="106"/>
        <v>Normal</v>
      </c>
      <c r="W224" s="18">
        <f t="shared" si="107"/>
        <v>0</v>
      </c>
      <c r="X224" s="18">
        <f t="shared" si="108"/>
        <v>0</v>
      </c>
    </row>
    <row r="225" spans="1:24">
      <c r="A225" s="29">
        <v>45606</v>
      </c>
      <c r="B225" s="409"/>
      <c r="C225" s="31"/>
      <c r="D225" s="295"/>
      <c r="E225" s="1"/>
      <c r="F225" s="1"/>
      <c r="G225" s="61"/>
      <c r="H225" s="61"/>
      <c r="I225" s="1"/>
      <c r="J225" s="1"/>
      <c r="K225" s="1"/>
      <c r="L225" s="1"/>
      <c r="M225" s="17"/>
      <c r="N225" s="17"/>
      <c r="O225" s="17"/>
      <c r="P225" s="17"/>
      <c r="Q225" s="22"/>
      <c r="R225" s="285"/>
      <c r="S225" s="285"/>
      <c r="T225" s="111"/>
      <c r="U225" s="111" t="str">
        <f t="shared" si="105"/>
        <v>Normal</v>
      </c>
      <c r="V225" s="111" t="str">
        <f t="shared" si="106"/>
        <v>Normal</v>
      </c>
      <c r="W225" s="18">
        <f t="shared" si="107"/>
        <v>0</v>
      </c>
      <c r="X225" s="18">
        <f t="shared" si="108"/>
        <v>0</v>
      </c>
    </row>
    <row r="226" spans="1:24">
      <c r="A226" s="29">
        <v>45607</v>
      </c>
      <c r="B226" s="409"/>
      <c r="C226" s="31"/>
      <c r="D226" s="295"/>
      <c r="E226" s="1"/>
      <c r="F226" s="1"/>
      <c r="G226" s="61"/>
      <c r="H226" s="61"/>
      <c r="I226" s="1"/>
      <c r="J226" s="1"/>
      <c r="K226" s="1"/>
      <c r="L226" s="1"/>
      <c r="M226" s="17"/>
      <c r="N226" s="17"/>
      <c r="O226" s="17"/>
      <c r="P226" s="17"/>
      <c r="Q226" s="22"/>
      <c r="R226" s="285"/>
      <c r="S226" s="285"/>
      <c r="T226" s="111"/>
      <c r="U226" s="111" t="str">
        <f t="shared" si="105"/>
        <v>Normal</v>
      </c>
      <c r="V226" s="111" t="str">
        <f t="shared" si="106"/>
        <v>Normal</v>
      </c>
      <c r="W226" s="18">
        <f t="shared" si="107"/>
        <v>0</v>
      </c>
      <c r="X226" s="18">
        <f t="shared" si="108"/>
        <v>0</v>
      </c>
    </row>
    <row r="227" spans="1:24">
      <c r="A227" s="29">
        <v>45608</v>
      </c>
      <c r="B227" s="409"/>
      <c r="C227" s="31"/>
      <c r="D227" s="295"/>
      <c r="E227" s="1"/>
      <c r="F227" s="1"/>
      <c r="G227" s="61"/>
      <c r="H227" s="61"/>
      <c r="I227" s="1"/>
      <c r="J227" s="1"/>
      <c r="K227" s="1"/>
      <c r="L227" s="1"/>
      <c r="M227" s="17"/>
      <c r="N227" s="17"/>
      <c r="O227" s="17"/>
      <c r="P227" s="17"/>
      <c r="Q227" s="22"/>
      <c r="R227" s="285"/>
      <c r="S227" s="285"/>
      <c r="T227" s="111"/>
      <c r="U227" s="111" t="str">
        <f t="shared" si="105"/>
        <v>Normal</v>
      </c>
      <c r="V227" s="111" t="str">
        <f t="shared" si="106"/>
        <v>Normal</v>
      </c>
      <c r="W227" s="18">
        <f t="shared" si="107"/>
        <v>0</v>
      </c>
      <c r="X227" s="18">
        <f t="shared" si="108"/>
        <v>0</v>
      </c>
    </row>
    <row r="228" spans="1:24">
      <c r="A228" s="29">
        <v>45609</v>
      </c>
      <c r="B228" s="409"/>
      <c r="C228" s="31"/>
      <c r="D228" s="295"/>
      <c r="E228" s="1"/>
      <c r="F228" s="1"/>
      <c r="G228" s="61"/>
      <c r="H228" s="61"/>
      <c r="I228" s="1"/>
      <c r="J228" s="1"/>
      <c r="K228" s="1"/>
      <c r="L228" s="1"/>
      <c r="M228" s="17"/>
      <c r="N228" s="17"/>
      <c r="O228" s="17"/>
      <c r="P228" s="17"/>
      <c r="Q228" s="22"/>
      <c r="R228" s="285"/>
      <c r="S228" s="285"/>
      <c r="T228" s="111"/>
      <c r="U228" s="111" t="str">
        <f t="shared" si="105"/>
        <v>Normal</v>
      </c>
      <c r="V228" s="111" t="str">
        <f t="shared" si="106"/>
        <v>Normal</v>
      </c>
      <c r="W228" s="18">
        <f t="shared" si="107"/>
        <v>0</v>
      </c>
      <c r="X228" s="18">
        <f t="shared" si="108"/>
        <v>0</v>
      </c>
    </row>
    <row r="229" spans="1:24">
      <c r="A229" s="29">
        <v>45610</v>
      </c>
      <c r="B229" s="409"/>
      <c r="C229" s="31"/>
      <c r="D229" s="295"/>
      <c r="E229" s="1"/>
      <c r="F229" s="1"/>
      <c r="G229" s="61"/>
      <c r="H229" s="61"/>
      <c r="I229" s="1"/>
      <c r="J229" s="1"/>
      <c r="K229" s="1"/>
      <c r="L229" s="1"/>
      <c r="M229" s="17"/>
      <c r="N229" s="17"/>
      <c r="O229" s="17"/>
      <c r="P229" s="17"/>
      <c r="Q229" s="22"/>
      <c r="R229" s="285"/>
      <c r="S229" s="285"/>
      <c r="T229" s="111"/>
      <c r="U229" s="111" t="str">
        <f t="shared" si="105"/>
        <v>Normal</v>
      </c>
      <c r="V229" s="111" t="str">
        <f t="shared" si="106"/>
        <v>Normal</v>
      </c>
      <c r="W229" s="18">
        <f t="shared" si="107"/>
        <v>0</v>
      </c>
      <c r="X229" s="18">
        <f t="shared" si="108"/>
        <v>0</v>
      </c>
    </row>
    <row r="230" spans="1:24">
      <c r="A230" s="29">
        <v>45611</v>
      </c>
      <c r="B230" s="409"/>
      <c r="C230" s="31"/>
      <c r="D230" s="295"/>
      <c r="E230" s="1"/>
      <c r="F230" s="1"/>
      <c r="G230" s="61"/>
      <c r="H230" s="61"/>
      <c r="I230" s="1"/>
      <c r="J230" s="1"/>
      <c r="K230" s="1"/>
      <c r="L230" s="1"/>
      <c r="M230" s="17"/>
      <c r="N230" s="17"/>
      <c r="O230" s="17"/>
      <c r="P230" s="17"/>
      <c r="Q230" s="22"/>
      <c r="R230" s="285"/>
      <c r="S230" s="285"/>
      <c r="T230" s="111"/>
      <c r="U230" s="111" t="str">
        <f t="shared" si="105"/>
        <v>Normal</v>
      </c>
      <c r="V230" s="111" t="str">
        <f t="shared" si="106"/>
        <v>Normal</v>
      </c>
      <c r="W230" s="18">
        <f t="shared" si="107"/>
        <v>0</v>
      </c>
      <c r="X230" s="18">
        <f t="shared" si="108"/>
        <v>0</v>
      </c>
    </row>
    <row r="231" spans="1:24">
      <c r="A231" s="29">
        <v>45612</v>
      </c>
      <c r="B231" s="409"/>
      <c r="C231" s="31"/>
      <c r="D231" s="295"/>
      <c r="E231" s="1"/>
      <c r="F231" s="1"/>
      <c r="G231" s="61"/>
      <c r="H231" s="61"/>
      <c r="I231" s="1"/>
      <c r="J231" s="1"/>
      <c r="K231" s="1"/>
      <c r="L231" s="1"/>
      <c r="M231" s="17"/>
      <c r="N231" s="17"/>
      <c r="O231" s="17"/>
      <c r="P231" s="17"/>
      <c r="Q231" s="22"/>
      <c r="R231" s="285"/>
      <c r="S231" s="285"/>
      <c r="T231" s="111"/>
      <c r="U231" s="111" t="str">
        <f t="shared" si="105"/>
        <v>Normal</v>
      </c>
      <c r="V231" s="111" t="str">
        <f t="shared" si="106"/>
        <v>Normal</v>
      </c>
      <c r="W231" s="18">
        <f t="shared" si="107"/>
        <v>0</v>
      </c>
      <c r="X231" s="18">
        <f t="shared" si="108"/>
        <v>0</v>
      </c>
    </row>
    <row r="232" spans="1:24">
      <c r="A232" s="29">
        <v>45613</v>
      </c>
      <c r="B232" s="409"/>
      <c r="C232" s="31"/>
      <c r="D232" s="295"/>
      <c r="E232" s="1"/>
      <c r="F232" s="1"/>
      <c r="G232" s="61"/>
      <c r="H232" s="61"/>
      <c r="I232" s="1"/>
      <c r="J232" s="1"/>
      <c r="K232" s="1"/>
      <c r="L232" s="1"/>
      <c r="M232" s="17"/>
      <c r="N232" s="17"/>
      <c r="O232" s="17"/>
      <c r="P232" s="17"/>
      <c r="Q232" s="22"/>
      <c r="R232" s="285"/>
      <c r="S232" s="285"/>
      <c r="T232" s="111"/>
      <c r="U232" s="111" t="str">
        <f t="shared" si="105"/>
        <v>Normal</v>
      </c>
      <c r="V232" s="111" t="str">
        <f t="shared" si="106"/>
        <v>Normal</v>
      </c>
      <c r="W232" s="18">
        <f t="shared" si="107"/>
        <v>0</v>
      </c>
      <c r="X232" s="18">
        <f t="shared" si="108"/>
        <v>0</v>
      </c>
    </row>
    <row r="233" spans="1:24">
      <c r="A233" s="29">
        <v>45614</v>
      </c>
      <c r="B233" s="409"/>
      <c r="C233" s="31"/>
      <c r="D233" s="295"/>
      <c r="E233" s="1"/>
      <c r="F233" s="1"/>
      <c r="G233" s="61"/>
      <c r="H233" s="61"/>
      <c r="I233" s="1"/>
      <c r="J233" s="1"/>
      <c r="K233" s="1"/>
      <c r="L233" s="1"/>
      <c r="M233" s="17"/>
      <c r="N233" s="17"/>
      <c r="O233" s="17"/>
      <c r="P233" s="17"/>
      <c r="Q233" s="22"/>
      <c r="R233" s="285"/>
      <c r="S233" s="285"/>
      <c r="T233" s="111"/>
      <c r="U233" s="111" t="str">
        <f t="shared" si="105"/>
        <v>Normal</v>
      </c>
      <c r="V233" s="111" t="str">
        <f t="shared" si="106"/>
        <v>Normal</v>
      </c>
      <c r="W233" s="18">
        <f t="shared" si="107"/>
        <v>0</v>
      </c>
      <c r="X233" s="18">
        <f t="shared" si="108"/>
        <v>0</v>
      </c>
    </row>
    <row r="234" spans="1:24">
      <c r="A234" s="29">
        <v>45615</v>
      </c>
      <c r="B234" s="409"/>
      <c r="C234" s="31"/>
      <c r="D234" s="295"/>
      <c r="E234" s="1"/>
      <c r="F234" s="1"/>
      <c r="G234" s="61"/>
      <c r="H234" s="61"/>
      <c r="I234" s="1"/>
      <c r="J234" s="1"/>
      <c r="K234" s="1"/>
      <c r="L234" s="1"/>
      <c r="M234" s="17"/>
      <c r="N234" s="17"/>
      <c r="O234" s="17"/>
      <c r="P234" s="17"/>
      <c r="Q234" s="22"/>
      <c r="R234" s="285"/>
      <c r="S234" s="285"/>
      <c r="T234" s="111"/>
      <c r="U234" s="111" t="str">
        <f t="shared" si="105"/>
        <v>Normal</v>
      </c>
      <c r="V234" s="111" t="str">
        <f t="shared" si="106"/>
        <v>Normal</v>
      </c>
      <c r="W234" s="18">
        <f t="shared" si="107"/>
        <v>0</v>
      </c>
      <c r="X234" s="18">
        <f t="shared" si="108"/>
        <v>0</v>
      </c>
    </row>
    <row r="235" spans="1:24">
      <c r="A235" s="29">
        <v>45616</v>
      </c>
      <c r="B235" s="409"/>
      <c r="C235" s="31"/>
      <c r="D235" s="295"/>
      <c r="E235" s="1"/>
      <c r="F235" s="1"/>
      <c r="G235" s="61"/>
      <c r="H235" s="61"/>
      <c r="I235" s="1"/>
      <c r="J235" s="1"/>
      <c r="K235" s="1"/>
      <c r="L235" s="1"/>
      <c r="M235" s="17"/>
      <c r="N235" s="17"/>
      <c r="O235" s="17"/>
      <c r="P235" s="17"/>
      <c r="Q235" s="22"/>
      <c r="R235" s="285"/>
      <c r="S235" s="285"/>
      <c r="T235" s="111"/>
      <c r="U235" s="111" t="str">
        <f t="shared" si="105"/>
        <v>Normal</v>
      </c>
      <c r="V235" s="111" t="str">
        <f t="shared" si="106"/>
        <v>Normal</v>
      </c>
      <c r="W235" s="18">
        <f t="shared" si="107"/>
        <v>0</v>
      </c>
      <c r="X235" s="18">
        <f t="shared" si="108"/>
        <v>0</v>
      </c>
    </row>
    <row r="236" spans="1:24">
      <c r="A236" s="29">
        <v>45617</v>
      </c>
      <c r="B236" s="409"/>
      <c r="C236" s="31"/>
      <c r="D236" s="295"/>
      <c r="E236" s="1"/>
      <c r="F236" s="1"/>
      <c r="G236" s="61"/>
      <c r="H236" s="61"/>
      <c r="I236" s="1"/>
      <c r="J236" s="1"/>
      <c r="K236" s="1"/>
      <c r="L236" s="1"/>
      <c r="M236" s="17"/>
      <c r="N236" s="17"/>
      <c r="O236" s="17"/>
      <c r="P236" s="17"/>
      <c r="Q236" s="22"/>
      <c r="R236" s="285"/>
      <c r="S236" s="285"/>
      <c r="T236" s="111"/>
      <c r="U236" s="111" t="str">
        <f t="shared" si="105"/>
        <v>Normal</v>
      </c>
      <c r="V236" s="111" t="str">
        <f t="shared" si="106"/>
        <v>Normal</v>
      </c>
      <c r="W236" s="18">
        <f t="shared" si="107"/>
        <v>0</v>
      </c>
      <c r="X236" s="18">
        <f t="shared" si="108"/>
        <v>0</v>
      </c>
    </row>
    <row r="237" spans="1:24">
      <c r="A237" s="29">
        <v>45618</v>
      </c>
      <c r="B237" s="409"/>
      <c r="C237" s="31"/>
      <c r="D237" s="295"/>
      <c r="E237" s="1"/>
      <c r="F237" s="1"/>
      <c r="G237" s="61"/>
      <c r="H237" s="61"/>
      <c r="I237" s="1"/>
      <c r="J237" s="1"/>
      <c r="K237" s="1"/>
      <c r="L237" s="1"/>
      <c r="M237" s="17"/>
      <c r="N237" s="17"/>
      <c r="O237" s="17"/>
      <c r="P237" s="17"/>
      <c r="Q237" s="22"/>
      <c r="R237" s="285"/>
      <c r="S237" s="285"/>
      <c r="T237" s="111"/>
      <c r="U237" s="111" t="str">
        <f t="shared" si="105"/>
        <v>Normal</v>
      </c>
      <c r="V237" s="111" t="str">
        <f t="shared" si="106"/>
        <v>Normal</v>
      </c>
      <c r="W237" s="18">
        <f t="shared" si="107"/>
        <v>0</v>
      </c>
      <c r="X237" s="18">
        <f t="shared" si="108"/>
        <v>0</v>
      </c>
    </row>
    <row r="238" spans="1:24">
      <c r="A238" s="29">
        <v>45619</v>
      </c>
      <c r="B238" s="409"/>
      <c r="C238" s="31"/>
      <c r="D238" s="295"/>
      <c r="E238" s="1"/>
      <c r="F238" s="1"/>
      <c r="G238" s="61"/>
      <c r="H238" s="61"/>
      <c r="I238" s="1"/>
      <c r="J238" s="1"/>
      <c r="K238" s="1"/>
      <c r="L238" s="1"/>
      <c r="M238" s="17"/>
      <c r="N238" s="17"/>
      <c r="O238" s="17"/>
      <c r="P238" s="17"/>
      <c r="Q238" s="22"/>
      <c r="R238" s="285"/>
      <c r="S238" s="285"/>
      <c r="T238" s="111"/>
      <c r="U238" s="111" t="str">
        <f t="shared" si="105"/>
        <v>Normal</v>
      </c>
      <c r="V238" s="111" t="str">
        <f t="shared" si="106"/>
        <v>Normal</v>
      </c>
      <c r="W238" s="18">
        <f t="shared" si="107"/>
        <v>0</v>
      </c>
      <c r="X238" s="18">
        <f t="shared" si="108"/>
        <v>0</v>
      </c>
    </row>
    <row r="239" spans="1:24">
      <c r="A239" s="29">
        <v>45620</v>
      </c>
      <c r="B239" s="409"/>
      <c r="C239" s="31"/>
      <c r="D239" s="295"/>
      <c r="E239" s="1"/>
      <c r="F239" s="1"/>
      <c r="G239" s="61"/>
      <c r="H239" s="61"/>
      <c r="I239" s="1"/>
      <c r="J239" s="1"/>
      <c r="K239" s="1"/>
      <c r="L239" s="1"/>
      <c r="M239" s="17"/>
      <c r="N239" s="17"/>
      <c r="O239" s="17"/>
      <c r="P239" s="17"/>
      <c r="Q239" s="22"/>
      <c r="R239" s="285"/>
      <c r="S239" s="285"/>
      <c r="T239" s="111"/>
      <c r="U239" s="111" t="str">
        <f t="shared" si="105"/>
        <v>Normal</v>
      </c>
      <c r="V239" s="111" t="str">
        <f t="shared" si="106"/>
        <v>Normal</v>
      </c>
      <c r="W239" s="18">
        <f t="shared" si="107"/>
        <v>0</v>
      </c>
      <c r="X239" s="18">
        <f t="shared" si="108"/>
        <v>0</v>
      </c>
    </row>
    <row r="240" spans="1:24">
      <c r="A240" s="29">
        <v>45621</v>
      </c>
      <c r="B240" s="409"/>
      <c r="C240" s="31"/>
      <c r="D240" s="295"/>
      <c r="E240" s="1"/>
      <c r="F240" s="1"/>
      <c r="G240" s="61"/>
      <c r="H240" s="61"/>
      <c r="I240" s="1"/>
      <c r="J240" s="1"/>
      <c r="K240" s="1"/>
      <c r="L240" s="1"/>
      <c r="M240" s="17"/>
      <c r="N240" s="17"/>
      <c r="O240" s="17"/>
      <c r="P240" s="17"/>
      <c r="Q240" s="22"/>
      <c r="R240" s="285"/>
      <c r="S240" s="285"/>
      <c r="T240" s="111"/>
      <c r="U240" s="111" t="str">
        <f t="shared" si="105"/>
        <v>Normal</v>
      </c>
      <c r="V240" s="111" t="str">
        <f t="shared" si="106"/>
        <v>Normal</v>
      </c>
      <c r="W240" s="18">
        <f t="shared" si="107"/>
        <v>0</v>
      </c>
      <c r="X240" s="18">
        <f t="shared" si="108"/>
        <v>0</v>
      </c>
    </row>
    <row r="241" spans="1:24">
      <c r="A241" s="29">
        <v>45622</v>
      </c>
      <c r="B241" s="409"/>
      <c r="C241" s="31"/>
      <c r="D241" s="295"/>
      <c r="E241" s="1"/>
      <c r="F241" s="1"/>
      <c r="G241" s="61"/>
      <c r="H241" s="61"/>
      <c r="I241" s="1"/>
      <c r="J241" s="1"/>
      <c r="K241" s="1"/>
      <c r="L241" s="1"/>
      <c r="M241" s="17"/>
      <c r="N241" s="17"/>
      <c r="O241" s="17"/>
      <c r="P241" s="17"/>
      <c r="Q241" s="22"/>
      <c r="R241" s="285"/>
      <c r="S241" s="285"/>
      <c r="T241" s="111"/>
      <c r="U241" s="111" t="str">
        <f t="shared" si="105"/>
        <v>Normal</v>
      </c>
      <c r="V241" s="111" t="str">
        <f t="shared" si="106"/>
        <v>Normal</v>
      </c>
      <c r="W241" s="18">
        <f t="shared" si="107"/>
        <v>0</v>
      </c>
      <c r="X241" s="18">
        <f t="shared" si="108"/>
        <v>0</v>
      </c>
    </row>
    <row r="242" spans="1:24">
      <c r="A242" s="29">
        <v>45623</v>
      </c>
      <c r="B242" s="409"/>
      <c r="C242" s="31"/>
      <c r="D242" s="295"/>
      <c r="E242" s="1"/>
      <c r="F242" s="1"/>
      <c r="G242" s="61"/>
      <c r="H242" s="61"/>
      <c r="I242" s="1"/>
      <c r="J242" s="1"/>
      <c r="K242" s="1"/>
      <c r="L242" s="1"/>
      <c r="M242" s="17"/>
      <c r="N242" s="17"/>
      <c r="O242" s="17"/>
      <c r="P242" s="17"/>
      <c r="Q242" s="22"/>
      <c r="R242" s="285"/>
      <c r="S242" s="285"/>
      <c r="T242" s="111"/>
      <c r="U242" s="111" t="str">
        <f t="shared" si="105"/>
        <v>Normal</v>
      </c>
      <c r="V242" s="111" t="str">
        <f t="shared" si="106"/>
        <v>Normal</v>
      </c>
      <c r="W242" s="18">
        <f t="shared" si="107"/>
        <v>0</v>
      </c>
      <c r="X242" s="18">
        <f t="shared" si="108"/>
        <v>0</v>
      </c>
    </row>
    <row r="243" spans="1:24">
      <c r="A243" s="29">
        <v>45624</v>
      </c>
      <c r="B243" s="409"/>
      <c r="C243" s="31"/>
      <c r="D243" s="295"/>
      <c r="E243" s="1"/>
      <c r="F243" s="1"/>
      <c r="G243" s="61"/>
      <c r="H243" s="61"/>
      <c r="I243" s="1"/>
      <c r="J243" s="1"/>
      <c r="K243" s="1"/>
      <c r="L243" s="1"/>
      <c r="M243" s="17"/>
      <c r="N243" s="17"/>
      <c r="O243" s="17"/>
      <c r="P243" s="17"/>
      <c r="Q243" s="22"/>
      <c r="R243" s="285"/>
      <c r="S243" s="285"/>
      <c r="T243" s="111"/>
      <c r="U243" s="111" t="str">
        <f t="shared" si="105"/>
        <v>Normal</v>
      </c>
      <c r="V243" s="111" t="str">
        <f t="shared" si="106"/>
        <v>Normal</v>
      </c>
      <c r="W243" s="18">
        <f t="shared" si="107"/>
        <v>0</v>
      </c>
      <c r="X243" s="18">
        <f t="shared" si="108"/>
        <v>0</v>
      </c>
    </row>
    <row r="244" spans="1:24">
      <c r="A244" s="29">
        <v>45625</v>
      </c>
      <c r="B244" s="409"/>
      <c r="C244" s="31"/>
      <c r="D244" s="295"/>
      <c r="E244" s="1"/>
      <c r="F244" s="1"/>
      <c r="G244" s="61"/>
      <c r="H244" s="61"/>
      <c r="I244" s="1"/>
      <c r="J244" s="1"/>
      <c r="K244" s="1"/>
      <c r="L244" s="1"/>
      <c r="M244" s="17"/>
      <c r="N244" s="17"/>
      <c r="O244" s="17"/>
      <c r="P244" s="17"/>
      <c r="Q244" s="22"/>
      <c r="R244" s="285"/>
      <c r="S244" s="285"/>
      <c r="T244" s="111"/>
      <c r="U244" s="111" t="str">
        <f t="shared" si="105"/>
        <v>Normal</v>
      </c>
      <c r="V244" s="111" t="str">
        <f t="shared" si="106"/>
        <v>Normal</v>
      </c>
      <c r="W244" s="18">
        <f t="shared" si="107"/>
        <v>0</v>
      </c>
      <c r="X244" s="18">
        <f t="shared" si="108"/>
        <v>0</v>
      </c>
    </row>
    <row r="245" spans="1:24">
      <c r="A245" s="29">
        <v>45626</v>
      </c>
      <c r="B245" s="409"/>
      <c r="C245" s="31"/>
      <c r="D245" s="295"/>
      <c r="E245" s="1"/>
      <c r="F245" s="1"/>
      <c r="G245" s="61"/>
      <c r="H245" s="61"/>
      <c r="I245" s="1"/>
      <c r="J245" s="1"/>
      <c r="K245" s="1"/>
      <c r="L245" s="1"/>
      <c r="M245" s="17"/>
      <c r="N245" s="17"/>
      <c r="O245" s="17"/>
      <c r="P245" s="17"/>
      <c r="Q245" s="22"/>
      <c r="R245" s="285"/>
      <c r="S245" s="285"/>
      <c r="T245" s="111"/>
      <c r="U245" s="111" t="str">
        <f t="shared" si="105"/>
        <v>Normal</v>
      </c>
      <c r="V245" s="111" t="str">
        <f t="shared" si="106"/>
        <v>Normal</v>
      </c>
      <c r="W245" s="18">
        <f t="shared" si="107"/>
        <v>0</v>
      </c>
      <c r="X245" s="18">
        <f t="shared" si="108"/>
        <v>0</v>
      </c>
    </row>
    <row r="246" spans="1:24" s="44" customFormat="1">
      <c r="A246" s="29">
        <v>45627</v>
      </c>
      <c r="B246" s="409"/>
      <c r="C246" s="72"/>
      <c r="D246" s="295"/>
      <c r="E246" s="1"/>
      <c r="F246" s="1"/>
      <c r="G246" s="61"/>
      <c r="H246" s="61"/>
      <c r="I246" s="1"/>
      <c r="J246" s="1"/>
      <c r="K246" s="1"/>
      <c r="L246" s="1"/>
      <c r="M246" s="17"/>
      <c r="N246" s="17"/>
      <c r="O246" s="17"/>
      <c r="P246" s="17"/>
      <c r="Q246" s="22"/>
      <c r="R246" s="285"/>
      <c r="S246" s="285"/>
      <c r="T246" s="111"/>
      <c r="U246" s="111" t="str">
        <f t="shared" si="105"/>
        <v>Normal</v>
      </c>
      <c r="V246" s="111" t="str">
        <f t="shared" si="106"/>
        <v>Normal</v>
      </c>
      <c r="W246" s="18">
        <f t="shared" si="107"/>
        <v>0</v>
      </c>
      <c r="X246" s="18">
        <f t="shared" si="108"/>
        <v>0</v>
      </c>
    </row>
    <row r="247" spans="1:24">
      <c r="A247" s="29">
        <v>45628</v>
      </c>
      <c r="B247" s="409"/>
      <c r="C247" s="31"/>
      <c r="D247" s="295"/>
      <c r="E247" s="1"/>
      <c r="F247" s="1"/>
      <c r="G247" s="61"/>
      <c r="H247" s="61"/>
      <c r="I247" s="1"/>
      <c r="J247" s="1"/>
      <c r="K247" s="1"/>
      <c r="L247" s="1"/>
      <c r="M247" s="17"/>
      <c r="N247" s="17"/>
      <c r="O247" s="17"/>
      <c r="P247" s="17"/>
      <c r="Q247" s="22"/>
      <c r="R247" s="285"/>
      <c r="S247" s="285"/>
      <c r="T247" s="111"/>
      <c r="U247" s="111" t="str">
        <f t="shared" si="105"/>
        <v>Normal</v>
      </c>
      <c r="V247" s="111" t="str">
        <f t="shared" si="106"/>
        <v>Normal</v>
      </c>
      <c r="W247" s="18">
        <f t="shared" si="107"/>
        <v>0</v>
      </c>
      <c r="X247" s="18">
        <f t="shared" si="108"/>
        <v>0</v>
      </c>
    </row>
    <row r="248" spans="1:24">
      <c r="A248" s="29">
        <v>45629</v>
      </c>
      <c r="B248" s="409"/>
      <c r="C248" s="31"/>
      <c r="D248" s="295"/>
      <c r="E248" s="1"/>
      <c r="F248" s="1"/>
      <c r="G248" s="61"/>
      <c r="H248" s="61"/>
      <c r="I248" s="1"/>
      <c r="J248" s="1"/>
      <c r="K248" s="1"/>
      <c r="L248" s="1"/>
      <c r="M248" s="17"/>
      <c r="N248" s="17"/>
      <c r="O248" s="17"/>
      <c r="P248" s="17"/>
      <c r="Q248" s="22"/>
      <c r="R248" s="285"/>
      <c r="S248" s="285"/>
      <c r="T248" s="111"/>
      <c r="U248" s="111" t="str">
        <f t="shared" si="105"/>
        <v>Normal</v>
      </c>
      <c r="V248" s="111" t="str">
        <f t="shared" si="106"/>
        <v>Normal</v>
      </c>
      <c r="W248" s="18">
        <f t="shared" si="107"/>
        <v>0</v>
      </c>
      <c r="X248" s="18">
        <f t="shared" si="108"/>
        <v>0</v>
      </c>
    </row>
    <row r="249" spans="1:24">
      <c r="A249" s="29">
        <v>45630</v>
      </c>
      <c r="B249" s="409"/>
      <c r="C249" s="31"/>
      <c r="D249" s="295"/>
      <c r="E249" s="1"/>
      <c r="F249" s="1"/>
      <c r="G249" s="61"/>
      <c r="H249" s="61"/>
      <c r="I249" s="1"/>
      <c r="J249" s="1"/>
      <c r="K249" s="1"/>
      <c r="L249" s="1"/>
      <c r="M249" s="17"/>
      <c r="N249" s="17"/>
      <c r="O249" s="17"/>
      <c r="P249" s="17"/>
      <c r="Q249" s="22"/>
      <c r="R249" s="285"/>
      <c r="S249" s="285"/>
      <c r="T249" s="111"/>
      <c r="U249" s="111" t="str">
        <f t="shared" si="105"/>
        <v>Normal</v>
      </c>
      <c r="V249" s="111" t="str">
        <f t="shared" si="106"/>
        <v>Normal</v>
      </c>
      <c r="W249" s="18">
        <f t="shared" si="107"/>
        <v>0</v>
      </c>
      <c r="X249" s="18">
        <f t="shared" si="108"/>
        <v>0</v>
      </c>
    </row>
    <row r="250" spans="1:24">
      <c r="A250" s="29">
        <v>45631</v>
      </c>
      <c r="B250" s="409"/>
      <c r="C250" s="31"/>
      <c r="D250" s="295"/>
      <c r="E250" s="1"/>
      <c r="F250" s="1"/>
      <c r="G250" s="61"/>
      <c r="H250" s="61"/>
      <c r="I250" s="1"/>
      <c r="J250" s="1"/>
      <c r="K250" s="1"/>
      <c r="L250" s="1"/>
      <c r="M250" s="17"/>
      <c r="N250" s="17"/>
      <c r="O250" s="17"/>
      <c r="P250" s="17"/>
      <c r="Q250" s="22"/>
      <c r="R250" s="285"/>
      <c r="S250" s="285"/>
      <c r="T250" s="111"/>
      <c r="U250" s="111" t="str">
        <f t="shared" si="105"/>
        <v>Normal</v>
      </c>
      <c r="V250" s="111" t="str">
        <f t="shared" si="106"/>
        <v>Normal</v>
      </c>
      <c r="W250" s="18">
        <f t="shared" si="107"/>
        <v>0</v>
      </c>
      <c r="X250" s="18">
        <f t="shared" si="108"/>
        <v>0</v>
      </c>
    </row>
    <row r="251" spans="1:24">
      <c r="A251" s="29">
        <v>45632</v>
      </c>
      <c r="B251" s="409"/>
      <c r="C251" s="31"/>
      <c r="D251" s="295"/>
      <c r="E251" s="1"/>
      <c r="F251" s="1"/>
      <c r="G251" s="61"/>
      <c r="H251" s="61"/>
      <c r="I251" s="1"/>
      <c r="J251" s="1"/>
      <c r="K251" s="1"/>
      <c r="L251" s="1"/>
      <c r="M251" s="17"/>
      <c r="N251" s="17"/>
      <c r="O251" s="17"/>
      <c r="P251" s="17"/>
      <c r="Q251" s="22"/>
      <c r="R251" s="285"/>
      <c r="S251" s="285"/>
      <c r="T251" s="111"/>
      <c r="U251" s="111" t="str">
        <f t="shared" si="105"/>
        <v>Normal</v>
      </c>
      <c r="V251" s="111" t="str">
        <f t="shared" si="106"/>
        <v>Normal</v>
      </c>
      <c r="W251" s="18">
        <f t="shared" si="107"/>
        <v>0</v>
      </c>
      <c r="X251" s="18">
        <f t="shared" si="108"/>
        <v>0</v>
      </c>
    </row>
    <row r="252" spans="1:24">
      <c r="A252" s="29">
        <v>45633</v>
      </c>
      <c r="B252" s="409"/>
      <c r="C252" s="31"/>
      <c r="D252" s="295"/>
      <c r="E252" s="1"/>
      <c r="F252" s="1"/>
      <c r="G252" s="61"/>
      <c r="H252" s="61"/>
      <c r="I252" s="1"/>
      <c r="J252" s="1"/>
      <c r="K252" s="1"/>
      <c r="L252" s="1"/>
      <c r="M252" s="17"/>
      <c r="N252" s="17"/>
      <c r="O252" s="17"/>
      <c r="P252" s="17"/>
      <c r="Q252" s="22"/>
      <c r="R252" s="285"/>
      <c r="S252" s="285"/>
      <c r="T252" s="111"/>
      <c r="U252" s="111" t="str">
        <f t="shared" si="105"/>
        <v>Normal</v>
      </c>
      <c r="V252" s="111" t="str">
        <f t="shared" si="106"/>
        <v>Normal</v>
      </c>
      <c r="W252" s="18">
        <f t="shared" si="107"/>
        <v>0</v>
      </c>
      <c r="X252" s="18">
        <f t="shared" si="108"/>
        <v>0</v>
      </c>
    </row>
    <row r="253" spans="1:24">
      <c r="A253" s="29">
        <v>45634</v>
      </c>
      <c r="B253" s="409"/>
      <c r="C253" s="31"/>
      <c r="D253" s="295"/>
      <c r="E253" s="1"/>
      <c r="F253" s="1"/>
      <c r="G253" s="61"/>
      <c r="H253" s="61"/>
      <c r="I253" s="1"/>
      <c r="J253" s="1"/>
      <c r="K253" s="1"/>
      <c r="L253" s="1"/>
      <c r="M253" s="17"/>
      <c r="N253" s="17"/>
      <c r="O253" s="17"/>
      <c r="P253" s="17"/>
      <c r="Q253" s="22"/>
      <c r="R253" s="285"/>
      <c r="S253" s="285"/>
      <c r="T253" s="111"/>
      <c r="U253" s="111" t="str">
        <f t="shared" si="105"/>
        <v>Normal</v>
      </c>
      <c r="V253" s="111" t="str">
        <f t="shared" si="106"/>
        <v>Normal</v>
      </c>
      <c r="W253" s="18">
        <f t="shared" si="107"/>
        <v>0</v>
      </c>
      <c r="X253" s="18">
        <f t="shared" si="108"/>
        <v>0</v>
      </c>
    </row>
    <row r="254" spans="1:24">
      <c r="A254" s="29">
        <v>45635</v>
      </c>
      <c r="B254" s="409"/>
      <c r="C254" s="31"/>
      <c r="D254" s="295"/>
      <c r="E254" s="1"/>
      <c r="F254" s="1"/>
      <c r="G254" s="61"/>
      <c r="H254" s="61"/>
      <c r="I254" s="1"/>
      <c r="J254" s="1"/>
      <c r="K254" s="1"/>
      <c r="L254" s="1"/>
      <c r="M254" s="17"/>
      <c r="N254" s="17"/>
      <c r="O254" s="17"/>
      <c r="P254" s="17"/>
      <c r="Q254" s="22"/>
      <c r="R254" s="285"/>
      <c r="S254" s="285"/>
      <c r="T254" s="111"/>
      <c r="U254" s="111" t="str">
        <f t="shared" si="105"/>
        <v>Normal</v>
      </c>
      <c r="V254" s="111" t="str">
        <f t="shared" si="106"/>
        <v>Normal</v>
      </c>
      <c r="W254" s="18">
        <f t="shared" si="107"/>
        <v>0</v>
      </c>
      <c r="X254" s="18">
        <f t="shared" si="108"/>
        <v>0</v>
      </c>
    </row>
    <row r="255" spans="1:24">
      <c r="A255" s="29">
        <v>45636</v>
      </c>
      <c r="B255" s="409"/>
      <c r="C255" s="31"/>
      <c r="D255" s="295"/>
      <c r="E255" s="1"/>
      <c r="F255" s="1"/>
      <c r="G255" s="61"/>
      <c r="H255" s="61"/>
      <c r="I255" s="1"/>
      <c r="J255" s="1"/>
      <c r="K255" s="1"/>
      <c r="L255" s="1"/>
      <c r="M255" s="17"/>
      <c r="N255" s="17"/>
      <c r="O255" s="17"/>
      <c r="P255" s="17"/>
      <c r="Q255" s="22"/>
      <c r="R255" s="285"/>
      <c r="S255" s="285"/>
      <c r="T255" s="111"/>
      <c r="U255" s="111" t="str">
        <f t="shared" si="105"/>
        <v>Normal</v>
      </c>
      <c r="V255" s="111" t="str">
        <f t="shared" si="106"/>
        <v>Normal</v>
      </c>
      <c r="W255" s="18">
        <f t="shared" si="107"/>
        <v>0</v>
      </c>
      <c r="X255" s="18">
        <f t="shared" si="108"/>
        <v>0</v>
      </c>
    </row>
    <row r="256" spans="1:24">
      <c r="A256" s="29">
        <v>45637</v>
      </c>
      <c r="B256" s="409"/>
      <c r="C256" s="31"/>
      <c r="D256" s="295"/>
      <c r="E256" s="1"/>
      <c r="F256" s="1"/>
      <c r="G256" s="61"/>
      <c r="H256" s="61"/>
      <c r="I256" s="1"/>
      <c r="J256" s="1"/>
      <c r="K256" s="1"/>
      <c r="L256" s="1"/>
      <c r="M256" s="17"/>
      <c r="N256" s="17"/>
      <c r="O256" s="17"/>
      <c r="P256" s="17"/>
      <c r="Q256" s="22"/>
      <c r="R256" s="285"/>
      <c r="S256" s="285"/>
      <c r="T256" s="111"/>
      <c r="U256" s="111" t="str">
        <f t="shared" si="105"/>
        <v>Normal</v>
      </c>
      <c r="V256" s="111" t="str">
        <f t="shared" si="106"/>
        <v>Normal</v>
      </c>
      <c r="W256" s="18">
        <f t="shared" si="107"/>
        <v>0</v>
      </c>
      <c r="X256" s="18">
        <f t="shared" si="108"/>
        <v>0</v>
      </c>
    </row>
    <row r="257" spans="1:24">
      <c r="A257" s="29">
        <v>45638</v>
      </c>
      <c r="B257" s="409"/>
      <c r="C257" s="31"/>
      <c r="D257" s="295"/>
      <c r="E257" s="1"/>
      <c r="F257" s="1"/>
      <c r="G257" s="61"/>
      <c r="H257" s="61"/>
      <c r="I257" s="1"/>
      <c r="J257" s="1"/>
      <c r="K257" s="1"/>
      <c r="L257" s="1"/>
      <c r="M257" s="17"/>
      <c r="N257" s="17"/>
      <c r="O257" s="17"/>
      <c r="P257" s="17"/>
      <c r="Q257" s="22"/>
      <c r="R257" s="285"/>
      <c r="S257" s="285"/>
      <c r="T257" s="111"/>
      <c r="U257" s="111" t="str">
        <f t="shared" si="105"/>
        <v>Normal</v>
      </c>
      <c r="V257" s="111" t="str">
        <f t="shared" si="106"/>
        <v>Normal</v>
      </c>
      <c r="W257" s="18">
        <f t="shared" si="107"/>
        <v>0</v>
      </c>
      <c r="X257" s="18">
        <f t="shared" si="108"/>
        <v>0</v>
      </c>
    </row>
    <row r="258" spans="1:24">
      <c r="A258" s="29">
        <v>45639</v>
      </c>
      <c r="B258" s="409"/>
      <c r="C258" s="31"/>
      <c r="D258" s="295"/>
      <c r="E258" s="1"/>
      <c r="F258" s="1"/>
      <c r="G258" s="61"/>
      <c r="H258" s="61"/>
      <c r="I258" s="1"/>
      <c r="J258" s="1"/>
      <c r="K258" s="1"/>
      <c r="L258" s="1"/>
      <c r="M258" s="17"/>
      <c r="N258" s="17"/>
      <c r="O258" s="17"/>
      <c r="P258" s="17"/>
      <c r="Q258" s="22"/>
      <c r="R258" s="285"/>
      <c r="S258" s="285"/>
      <c r="T258" s="111"/>
      <c r="U258" s="111" t="str">
        <f t="shared" si="105"/>
        <v>Normal</v>
      </c>
      <c r="V258" s="111" t="str">
        <f t="shared" si="106"/>
        <v>Normal</v>
      </c>
      <c r="W258" s="18">
        <f t="shared" si="107"/>
        <v>0</v>
      </c>
      <c r="X258" s="18">
        <f t="shared" si="108"/>
        <v>0</v>
      </c>
    </row>
    <row r="259" spans="1:24">
      <c r="A259" s="29">
        <v>45640</v>
      </c>
      <c r="B259" s="409"/>
      <c r="C259" s="31"/>
      <c r="D259" s="295"/>
      <c r="E259" s="1"/>
      <c r="F259" s="1"/>
      <c r="G259" s="61"/>
      <c r="H259" s="61"/>
      <c r="I259" s="1"/>
      <c r="J259" s="1"/>
      <c r="K259" s="1"/>
      <c r="L259" s="1"/>
      <c r="M259" s="17"/>
      <c r="N259" s="17"/>
      <c r="O259" s="17"/>
      <c r="P259" s="17"/>
      <c r="Q259" s="22"/>
      <c r="R259" s="285"/>
      <c r="S259" s="285"/>
      <c r="T259" s="111"/>
      <c r="U259" s="111" t="str">
        <f t="shared" ref="U259:U322" si="109">IF(OR(G259&lt;$AC$5,G259&gt;$AD$5), "Outlier", "Normal")</f>
        <v>Normal</v>
      </c>
      <c r="V259" s="111" t="str">
        <f t="shared" ref="V259:V322" si="110">IF(OR(H259&lt;$AC$6,H259&gt;$AD$6), "Outlier", "Normal")</f>
        <v>Normal</v>
      </c>
      <c r="W259" s="18">
        <f t="shared" ref="W259:W322" si="111">IF(U259="Normal",$G259,IF($G259&lt;150%, $G259, $AC$9))</f>
        <v>0</v>
      </c>
      <c r="X259" s="18">
        <f t="shared" ref="X259:X322" si="112">IF(V259="Normal",$H259,IF($H259&lt;150%, $H259, $AG$9))</f>
        <v>0</v>
      </c>
    </row>
    <row r="260" spans="1:24">
      <c r="A260" s="29">
        <v>45641</v>
      </c>
      <c r="B260" s="409"/>
      <c r="C260" s="31"/>
      <c r="D260" s="295"/>
      <c r="E260" s="1"/>
      <c r="F260" s="1"/>
      <c r="G260" s="61"/>
      <c r="H260" s="61"/>
      <c r="I260" s="1"/>
      <c r="J260" s="1"/>
      <c r="K260" s="1"/>
      <c r="L260" s="1"/>
      <c r="M260" s="17"/>
      <c r="N260" s="17"/>
      <c r="O260" s="17"/>
      <c r="P260" s="17"/>
      <c r="Q260" s="22"/>
      <c r="R260" s="285"/>
      <c r="S260" s="285"/>
      <c r="T260" s="111"/>
      <c r="U260" s="111" t="str">
        <f t="shared" si="109"/>
        <v>Normal</v>
      </c>
      <c r="V260" s="111" t="str">
        <f t="shared" si="110"/>
        <v>Normal</v>
      </c>
      <c r="W260" s="18">
        <f t="shared" si="111"/>
        <v>0</v>
      </c>
      <c r="X260" s="18">
        <f t="shared" si="112"/>
        <v>0</v>
      </c>
    </row>
    <row r="261" spans="1:24">
      <c r="A261" s="29">
        <v>45642</v>
      </c>
      <c r="B261" s="409"/>
      <c r="C261" s="31"/>
      <c r="D261" s="295"/>
      <c r="E261" s="1"/>
      <c r="F261" s="1"/>
      <c r="G261" s="61"/>
      <c r="H261" s="61"/>
      <c r="I261" s="1"/>
      <c r="J261" s="1"/>
      <c r="K261" s="1"/>
      <c r="L261" s="1"/>
      <c r="M261" s="17"/>
      <c r="N261" s="17"/>
      <c r="O261" s="17"/>
      <c r="P261" s="17"/>
      <c r="Q261" s="22"/>
      <c r="R261" s="285"/>
      <c r="S261" s="285"/>
      <c r="T261" s="111"/>
      <c r="U261" s="111" t="str">
        <f t="shared" si="109"/>
        <v>Normal</v>
      </c>
      <c r="V261" s="111" t="str">
        <f t="shared" si="110"/>
        <v>Normal</v>
      </c>
      <c r="W261" s="18">
        <f t="shared" si="111"/>
        <v>0</v>
      </c>
      <c r="X261" s="18">
        <f t="shared" si="112"/>
        <v>0</v>
      </c>
    </row>
    <row r="262" spans="1:24">
      <c r="A262" s="29">
        <v>45643</v>
      </c>
      <c r="B262" s="409"/>
      <c r="C262" s="31"/>
      <c r="D262" s="295"/>
      <c r="E262" s="1"/>
      <c r="F262" s="1"/>
      <c r="G262" s="61"/>
      <c r="H262" s="61"/>
      <c r="I262" s="1"/>
      <c r="J262" s="1"/>
      <c r="K262" s="1"/>
      <c r="L262" s="1"/>
      <c r="M262" s="17"/>
      <c r="N262" s="17"/>
      <c r="O262" s="17"/>
      <c r="P262" s="17"/>
      <c r="Q262" s="22"/>
      <c r="R262" s="285"/>
      <c r="S262" s="285"/>
      <c r="T262" s="111"/>
      <c r="U262" s="111" t="str">
        <f t="shared" si="109"/>
        <v>Normal</v>
      </c>
      <c r="V262" s="111" t="str">
        <f t="shared" si="110"/>
        <v>Normal</v>
      </c>
      <c r="W262" s="18">
        <f t="shared" si="111"/>
        <v>0</v>
      </c>
      <c r="X262" s="18">
        <f t="shared" si="112"/>
        <v>0</v>
      </c>
    </row>
    <row r="263" spans="1:24">
      <c r="A263" s="29">
        <v>45644</v>
      </c>
      <c r="B263" s="409"/>
      <c r="C263" s="31"/>
      <c r="D263" s="295"/>
      <c r="E263" s="1"/>
      <c r="F263" s="1"/>
      <c r="G263" s="61"/>
      <c r="H263" s="61"/>
      <c r="I263" s="1"/>
      <c r="J263" s="1"/>
      <c r="K263" s="1"/>
      <c r="L263" s="1"/>
      <c r="M263" s="17"/>
      <c r="N263" s="17"/>
      <c r="O263" s="17"/>
      <c r="P263" s="17"/>
      <c r="Q263" s="22"/>
      <c r="R263" s="285"/>
      <c r="S263" s="285"/>
      <c r="T263" s="111"/>
      <c r="U263" s="111" t="str">
        <f t="shared" si="109"/>
        <v>Normal</v>
      </c>
      <c r="V263" s="111" t="str">
        <f t="shared" si="110"/>
        <v>Normal</v>
      </c>
      <c r="W263" s="18">
        <f t="shared" si="111"/>
        <v>0</v>
      </c>
      <c r="X263" s="18">
        <f t="shared" si="112"/>
        <v>0</v>
      </c>
    </row>
    <row r="264" spans="1:24">
      <c r="A264" s="29">
        <v>45645</v>
      </c>
      <c r="B264" s="409"/>
      <c r="C264" s="85"/>
      <c r="D264" s="295"/>
      <c r="E264" s="1"/>
      <c r="F264" s="1"/>
      <c r="G264" s="61"/>
      <c r="H264" s="61"/>
      <c r="I264" s="1"/>
      <c r="J264" s="1"/>
      <c r="K264" s="1"/>
      <c r="L264" s="1"/>
      <c r="M264" s="17"/>
      <c r="N264" s="17"/>
      <c r="O264" s="17"/>
      <c r="P264" s="17"/>
      <c r="Q264" s="22"/>
      <c r="R264" s="285"/>
      <c r="S264" s="285"/>
      <c r="T264" s="111"/>
      <c r="U264" s="111" t="str">
        <f t="shared" si="109"/>
        <v>Normal</v>
      </c>
      <c r="V264" s="111" t="str">
        <f t="shared" si="110"/>
        <v>Normal</v>
      </c>
      <c r="W264" s="18">
        <f t="shared" si="111"/>
        <v>0</v>
      </c>
      <c r="X264" s="18">
        <f t="shared" si="112"/>
        <v>0</v>
      </c>
    </row>
    <row r="265" spans="1:24">
      <c r="A265" s="29">
        <v>45646</v>
      </c>
      <c r="B265" s="409"/>
      <c r="C265" s="85"/>
      <c r="D265" s="295"/>
      <c r="E265" s="1"/>
      <c r="F265" s="1"/>
      <c r="G265" s="61"/>
      <c r="H265" s="61"/>
      <c r="I265" s="1"/>
      <c r="J265" s="1"/>
      <c r="K265" s="1"/>
      <c r="L265" s="1"/>
      <c r="M265" s="17"/>
      <c r="N265" s="17"/>
      <c r="O265" s="17"/>
      <c r="P265" s="17"/>
      <c r="Q265" s="22"/>
      <c r="R265" s="285"/>
      <c r="S265" s="285"/>
      <c r="T265" s="111"/>
      <c r="U265" s="111" t="str">
        <f t="shared" si="109"/>
        <v>Normal</v>
      </c>
      <c r="V265" s="111" t="str">
        <f t="shared" si="110"/>
        <v>Normal</v>
      </c>
      <c r="W265" s="18">
        <f t="shared" si="111"/>
        <v>0</v>
      </c>
      <c r="X265" s="18">
        <f t="shared" si="112"/>
        <v>0</v>
      </c>
    </row>
    <row r="266" spans="1:24">
      <c r="A266" s="29">
        <v>45647</v>
      </c>
      <c r="B266" s="409"/>
      <c r="C266" s="31"/>
      <c r="D266" s="295"/>
      <c r="E266" s="1"/>
      <c r="F266" s="1"/>
      <c r="G266" s="61"/>
      <c r="H266" s="61"/>
      <c r="I266" s="1"/>
      <c r="J266" s="1"/>
      <c r="K266" s="1"/>
      <c r="L266" s="1"/>
      <c r="M266" s="17"/>
      <c r="N266" s="17"/>
      <c r="O266" s="17"/>
      <c r="P266" s="17"/>
      <c r="Q266" s="22"/>
      <c r="R266" s="285"/>
      <c r="S266" s="285"/>
      <c r="T266" s="111"/>
      <c r="U266" s="111" t="str">
        <f t="shared" si="109"/>
        <v>Normal</v>
      </c>
      <c r="V266" s="111" t="str">
        <f t="shared" si="110"/>
        <v>Normal</v>
      </c>
      <c r="W266" s="18">
        <f t="shared" si="111"/>
        <v>0</v>
      </c>
      <c r="X266" s="18">
        <f t="shared" si="112"/>
        <v>0</v>
      </c>
    </row>
    <row r="267" spans="1:24">
      <c r="A267" s="29">
        <v>45648</v>
      </c>
      <c r="B267" s="409"/>
      <c r="C267" s="31"/>
      <c r="D267" s="295"/>
      <c r="E267" s="1"/>
      <c r="F267" s="1"/>
      <c r="G267" s="61"/>
      <c r="H267" s="61"/>
      <c r="I267" s="1"/>
      <c r="J267" s="1"/>
      <c r="K267" s="1"/>
      <c r="L267" s="1"/>
      <c r="M267" s="17"/>
      <c r="N267" s="17"/>
      <c r="O267" s="17"/>
      <c r="P267" s="17"/>
      <c r="Q267" s="22"/>
      <c r="R267" s="285"/>
      <c r="S267" s="285"/>
      <c r="T267" s="111"/>
      <c r="U267" s="111" t="str">
        <f t="shared" si="109"/>
        <v>Normal</v>
      </c>
      <c r="V267" s="111" t="str">
        <f t="shared" si="110"/>
        <v>Normal</v>
      </c>
      <c r="W267" s="18">
        <f t="shared" si="111"/>
        <v>0</v>
      </c>
      <c r="X267" s="18">
        <f t="shared" si="112"/>
        <v>0</v>
      </c>
    </row>
    <row r="268" spans="1:24">
      <c r="A268" s="29">
        <v>45649</v>
      </c>
      <c r="B268" s="409"/>
      <c r="C268" s="31"/>
      <c r="D268" s="295"/>
      <c r="E268" s="1"/>
      <c r="F268" s="1"/>
      <c r="G268" s="61"/>
      <c r="H268" s="61"/>
      <c r="I268" s="1"/>
      <c r="J268" s="1"/>
      <c r="K268" s="1"/>
      <c r="L268" s="1"/>
      <c r="M268" s="17"/>
      <c r="N268" s="17"/>
      <c r="O268" s="17"/>
      <c r="P268" s="17"/>
      <c r="Q268" s="22"/>
      <c r="R268" s="285"/>
      <c r="S268" s="285"/>
      <c r="T268" s="111"/>
      <c r="U268" s="111" t="str">
        <f t="shared" si="109"/>
        <v>Normal</v>
      </c>
      <c r="V268" s="111" t="str">
        <f t="shared" si="110"/>
        <v>Normal</v>
      </c>
      <c r="W268" s="18">
        <f t="shared" si="111"/>
        <v>0</v>
      </c>
      <c r="X268" s="18">
        <f t="shared" si="112"/>
        <v>0</v>
      </c>
    </row>
    <row r="269" spans="1:24">
      <c r="A269" s="29">
        <v>45650</v>
      </c>
      <c r="B269" s="409"/>
      <c r="C269" s="31"/>
      <c r="D269" s="295"/>
      <c r="E269" s="1"/>
      <c r="F269" s="1"/>
      <c r="G269" s="61"/>
      <c r="H269" s="61"/>
      <c r="I269" s="1"/>
      <c r="J269" s="1"/>
      <c r="K269" s="1"/>
      <c r="L269" s="1"/>
      <c r="M269" s="17"/>
      <c r="N269" s="17"/>
      <c r="O269" s="17"/>
      <c r="P269" s="17"/>
      <c r="Q269" s="22"/>
      <c r="R269" s="285"/>
      <c r="S269" s="285"/>
      <c r="T269" s="111"/>
      <c r="U269" s="111" t="str">
        <f t="shared" si="109"/>
        <v>Normal</v>
      </c>
      <c r="V269" s="111" t="str">
        <f t="shared" si="110"/>
        <v>Normal</v>
      </c>
      <c r="W269" s="18">
        <f t="shared" si="111"/>
        <v>0</v>
      </c>
      <c r="X269" s="18">
        <f t="shared" si="112"/>
        <v>0</v>
      </c>
    </row>
    <row r="270" spans="1:24">
      <c r="A270" s="29">
        <v>45651</v>
      </c>
      <c r="B270" s="409"/>
      <c r="C270" s="31"/>
      <c r="D270" s="295"/>
      <c r="E270" s="1"/>
      <c r="F270" s="1"/>
      <c r="G270" s="61"/>
      <c r="H270" s="61"/>
      <c r="I270" s="1"/>
      <c r="J270" s="1"/>
      <c r="K270" s="1"/>
      <c r="L270" s="1"/>
      <c r="M270" s="17"/>
      <c r="N270" s="17"/>
      <c r="O270" s="17"/>
      <c r="P270" s="17"/>
      <c r="Q270" s="22"/>
      <c r="R270" s="285"/>
      <c r="S270" s="285"/>
      <c r="T270" s="111"/>
      <c r="U270" s="111" t="str">
        <f t="shared" si="109"/>
        <v>Normal</v>
      </c>
      <c r="V270" s="111" t="str">
        <f t="shared" si="110"/>
        <v>Normal</v>
      </c>
      <c r="W270" s="18">
        <f t="shared" si="111"/>
        <v>0</v>
      </c>
      <c r="X270" s="18">
        <f t="shared" si="112"/>
        <v>0</v>
      </c>
    </row>
    <row r="271" spans="1:24">
      <c r="A271" s="29">
        <v>45652</v>
      </c>
      <c r="B271" s="409"/>
      <c r="C271" s="31"/>
      <c r="D271" s="295"/>
      <c r="E271" s="1"/>
      <c r="F271" s="1"/>
      <c r="G271" s="61"/>
      <c r="H271" s="61"/>
      <c r="I271" s="1"/>
      <c r="J271" s="1"/>
      <c r="K271" s="1"/>
      <c r="L271" s="1"/>
      <c r="M271" s="17"/>
      <c r="N271" s="17"/>
      <c r="O271" s="17"/>
      <c r="P271" s="17"/>
      <c r="Q271" s="22"/>
      <c r="R271" s="285"/>
      <c r="S271" s="285"/>
      <c r="T271" s="111"/>
      <c r="U271" s="111" t="str">
        <f t="shared" si="109"/>
        <v>Normal</v>
      </c>
      <c r="V271" s="111" t="str">
        <f t="shared" si="110"/>
        <v>Normal</v>
      </c>
      <c r="W271" s="18">
        <f t="shared" si="111"/>
        <v>0</v>
      </c>
      <c r="X271" s="18">
        <f t="shared" si="112"/>
        <v>0</v>
      </c>
    </row>
    <row r="272" spans="1:24">
      <c r="A272" s="29">
        <v>45653</v>
      </c>
      <c r="B272" s="409"/>
      <c r="C272" s="31"/>
      <c r="D272" s="295"/>
      <c r="E272" s="1"/>
      <c r="F272" s="1"/>
      <c r="G272" s="61"/>
      <c r="H272" s="61"/>
      <c r="I272" s="1"/>
      <c r="J272" s="1"/>
      <c r="K272" s="1"/>
      <c r="L272" s="1"/>
      <c r="M272" s="17"/>
      <c r="N272" s="17"/>
      <c r="O272" s="17"/>
      <c r="P272" s="17"/>
      <c r="Q272" s="22"/>
      <c r="R272" s="285"/>
      <c r="S272" s="285"/>
      <c r="T272" s="111"/>
      <c r="U272" s="111" t="str">
        <f t="shared" si="109"/>
        <v>Normal</v>
      </c>
      <c r="V272" s="111" t="str">
        <f t="shared" si="110"/>
        <v>Normal</v>
      </c>
      <c r="W272" s="18">
        <f t="shared" si="111"/>
        <v>0</v>
      </c>
      <c r="X272" s="18">
        <f t="shared" si="112"/>
        <v>0</v>
      </c>
    </row>
    <row r="273" spans="1:24">
      <c r="A273" s="29">
        <v>45654</v>
      </c>
      <c r="B273" s="409"/>
      <c r="C273" s="31"/>
      <c r="D273" s="295"/>
      <c r="E273" s="1"/>
      <c r="F273" s="1"/>
      <c r="G273" s="61"/>
      <c r="H273" s="61"/>
      <c r="I273" s="1"/>
      <c r="J273" s="1"/>
      <c r="K273" s="1"/>
      <c r="L273" s="1"/>
      <c r="M273" s="17"/>
      <c r="N273" s="17"/>
      <c r="O273" s="17"/>
      <c r="P273" s="17"/>
      <c r="Q273" s="22"/>
      <c r="R273" s="285"/>
      <c r="S273" s="285"/>
      <c r="T273" s="111"/>
      <c r="U273" s="111" t="str">
        <f t="shared" si="109"/>
        <v>Normal</v>
      </c>
      <c r="V273" s="111" t="str">
        <f t="shared" si="110"/>
        <v>Normal</v>
      </c>
      <c r="W273" s="18">
        <f t="shared" si="111"/>
        <v>0</v>
      </c>
      <c r="X273" s="18">
        <f t="shared" si="112"/>
        <v>0</v>
      </c>
    </row>
    <row r="274" spans="1:24">
      <c r="A274" s="29">
        <v>45655</v>
      </c>
      <c r="B274" s="409"/>
      <c r="C274" s="31"/>
      <c r="D274" s="295"/>
      <c r="E274" s="1"/>
      <c r="F274" s="1"/>
      <c r="G274" s="61"/>
      <c r="H274" s="61"/>
      <c r="I274" s="1"/>
      <c r="J274" s="1"/>
      <c r="K274" s="1"/>
      <c r="L274" s="1"/>
      <c r="M274" s="17"/>
      <c r="N274" s="17"/>
      <c r="O274" s="17"/>
      <c r="P274" s="17"/>
      <c r="Q274" s="22"/>
      <c r="R274" s="285"/>
      <c r="S274" s="285"/>
      <c r="T274" s="111"/>
      <c r="U274" s="111" t="str">
        <f t="shared" si="109"/>
        <v>Normal</v>
      </c>
      <c r="V274" s="111" t="str">
        <f t="shared" si="110"/>
        <v>Normal</v>
      </c>
      <c r="W274" s="18">
        <f t="shared" si="111"/>
        <v>0</v>
      </c>
      <c r="X274" s="18">
        <f t="shared" si="112"/>
        <v>0</v>
      </c>
    </row>
    <row r="275" spans="1:24">
      <c r="A275" s="29">
        <v>45656</v>
      </c>
      <c r="B275" s="409"/>
      <c r="C275" s="31"/>
      <c r="D275" s="295"/>
      <c r="E275" s="1"/>
      <c r="F275" s="1"/>
      <c r="G275" s="61"/>
      <c r="H275" s="61"/>
      <c r="I275" s="1"/>
      <c r="J275" s="1"/>
      <c r="K275" s="1"/>
      <c r="L275" s="1"/>
      <c r="M275" s="17"/>
      <c r="N275" s="17"/>
      <c r="O275" s="17"/>
      <c r="P275" s="17"/>
      <c r="Q275" s="22"/>
      <c r="R275" s="285"/>
      <c r="S275" s="285"/>
      <c r="T275" s="111"/>
      <c r="U275" s="111" t="str">
        <f t="shared" si="109"/>
        <v>Normal</v>
      </c>
      <c r="V275" s="111" t="str">
        <f t="shared" si="110"/>
        <v>Normal</v>
      </c>
      <c r="W275" s="18">
        <f t="shared" si="111"/>
        <v>0</v>
      </c>
      <c r="X275" s="18">
        <f t="shared" si="112"/>
        <v>0</v>
      </c>
    </row>
    <row r="276" spans="1:24">
      <c r="A276" s="29">
        <v>45657</v>
      </c>
      <c r="B276" s="409"/>
      <c r="C276" s="31"/>
      <c r="D276" s="295"/>
      <c r="E276" s="1"/>
      <c r="F276" s="1"/>
      <c r="G276" s="61"/>
      <c r="H276" s="61"/>
      <c r="I276" s="1"/>
      <c r="J276" s="1"/>
      <c r="K276" s="1"/>
      <c r="L276" s="1"/>
      <c r="M276" s="17"/>
      <c r="N276" s="17"/>
      <c r="O276" s="17"/>
      <c r="P276" s="17"/>
      <c r="Q276" s="22"/>
      <c r="R276" s="285"/>
      <c r="S276" s="285"/>
      <c r="T276" s="111"/>
      <c r="U276" s="111" t="str">
        <f t="shared" si="109"/>
        <v>Normal</v>
      </c>
      <c r="V276" s="111" t="str">
        <f t="shared" si="110"/>
        <v>Normal</v>
      </c>
      <c r="W276" s="18">
        <f t="shared" si="111"/>
        <v>0</v>
      </c>
      <c r="X276" s="18">
        <f t="shared" si="112"/>
        <v>0</v>
      </c>
    </row>
    <row r="277" spans="1:24">
      <c r="A277" s="29">
        <v>45658</v>
      </c>
      <c r="B277" s="409"/>
      <c r="C277" s="72"/>
      <c r="D277" s="295"/>
      <c r="E277" s="62"/>
      <c r="F277" s="62"/>
      <c r="G277" s="61"/>
      <c r="H277" s="61"/>
      <c r="I277" s="62"/>
      <c r="J277" s="62"/>
      <c r="K277" s="62"/>
      <c r="L277" s="62"/>
      <c r="M277" s="2"/>
      <c r="N277" s="2"/>
      <c r="O277" s="2"/>
      <c r="P277" s="2"/>
      <c r="Q277" s="12"/>
      <c r="R277" s="286"/>
      <c r="S277" s="286"/>
      <c r="T277" s="112"/>
      <c r="U277" s="112" t="str">
        <f t="shared" si="109"/>
        <v>Normal</v>
      </c>
      <c r="V277" s="112" t="str">
        <f t="shared" si="110"/>
        <v>Normal</v>
      </c>
      <c r="W277" s="335">
        <f t="shared" si="111"/>
        <v>0</v>
      </c>
      <c r="X277" s="335">
        <f t="shared" si="112"/>
        <v>0</v>
      </c>
    </row>
    <row r="278" spans="1:24">
      <c r="A278" s="29">
        <v>45659</v>
      </c>
      <c r="B278" s="409"/>
      <c r="C278" s="31"/>
      <c r="D278" s="295"/>
      <c r="E278" s="1"/>
      <c r="F278" s="1"/>
      <c r="G278" s="61"/>
      <c r="H278" s="61"/>
      <c r="I278" s="1"/>
      <c r="J278" s="1"/>
      <c r="K278" s="1"/>
      <c r="L278" s="1"/>
      <c r="M278" s="17"/>
      <c r="N278" s="17"/>
      <c r="O278" s="17"/>
      <c r="P278" s="17"/>
      <c r="Q278" s="22"/>
      <c r="R278" s="285"/>
      <c r="S278" s="285"/>
      <c r="T278" s="111"/>
      <c r="U278" s="111" t="str">
        <f t="shared" si="109"/>
        <v>Normal</v>
      </c>
      <c r="V278" s="111" t="str">
        <f t="shared" si="110"/>
        <v>Normal</v>
      </c>
      <c r="W278" s="18">
        <f t="shared" si="111"/>
        <v>0</v>
      </c>
      <c r="X278" s="18">
        <f t="shared" si="112"/>
        <v>0</v>
      </c>
    </row>
    <row r="279" spans="1:24">
      <c r="A279" s="29">
        <v>45660</v>
      </c>
      <c r="B279" s="409"/>
      <c r="C279" s="31"/>
      <c r="D279" s="295"/>
      <c r="E279" s="1"/>
      <c r="F279" s="1"/>
      <c r="G279" s="61"/>
      <c r="H279" s="61"/>
      <c r="I279" s="1"/>
      <c r="J279" s="1"/>
      <c r="K279" s="1"/>
      <c r="L279" s="1"/>
      <c r="M279" s="17"/>
      <c r="N279" s="17"/>
      <c r="O279" s="17"/>
      <c r="P279" s="17"/>
      <c r="Q279" s="22"/>
      <c r="R279" s="285"/>
      <c r="S279" s="285"/>
      <c r="T279" s="111"/>
      <c r="U279" s="111" t="str">
        <f t="shared" si="109"/>
        <v>Normal</v>
      </c>
      <c r="V279" s="111" t="str">
        <f t="shared" si="110"/>
        <v>Normal</v>
      </c>
      <c r="W279" s="18">
        <f t="shared" si="111"/>
        <v>0</v>
      </c>
      <c r="X279" s="18">
        <f t="shared" si="112"/>
        <v>0</v>
      </c>
    </row>
    <row r="280" spans="1:24">
      <c r="A280" s="29">
        <v>45661</v>
      </c>
      <c r="B280" s="409"/>
      <c r="C280" s="31"/>
      <c r="D280" s="295"/>
      <c r="E280" s="1"/>
      <c r="F280" s="1"/>
      <c r="G280" s="61"/>
      <c r="H280" s="61"/>
      <c r="I280" s="1"/>
      <c r="J280" s="1"/>
      <c r="K280" s="1"/>
      <c r="L280" s="1"/>
      <c r="M280" s="17"/>
      <c r="N280" s="17"/>
      <c r="O280" s="17"/>
      <c r="P280" s="17"/>
      <c r="Q280" s="22"/>
      <c r="R280" s="285"/>
      <c r="S280" s="285"/>
      <c r="T280" s="111"/>
      <c r="U280" s="111" t="str">
        <f t="shared" si="109"/>
        <v>Normal</v>
      </c>
      <c r="V280" s="111" t="str">
        <f t="shared" si="110"/>
        <v>Normal</v>
      </c>
      <c r="W280" s="18">
        <f t="shared" si="111"/>
        <v>0</v>
      </c>
      <c r="X280" s="18">
        <f t="shared" si="112"/>
        <v>0</v>
      </c>
    </row>
    <row r="281" spans="1:24">
      <c r="A281" s="29">
        <v>45662</v>
      </c>
      <c r="B281" s="409"/>
      <c r="C281" s="31"/>
      <c r="D281" s="295"/>
      <c r="E281" s="1"/>
      <c r="F281" s="1"/>
      <c r="G281" s="61"/>
      <c r="H281" s="61"/>
      <c r="I281" s="1"/>
      <c r="J281" s="1"/>
      <c r="K281" s="1"/>
      <c r="L281" s="1"/>
      <c r="M281" s="17"/>
      <c r="N281" s="17"/>
      <c r="O281" s="17"/>
      <c r="P281" s="17"/>
      <c r="Q281" s="22"/>
      <c r="R281" s="285"/>
      <c r="S281" s="285"/>
      <c r="T281" s="111"/>
      <c r="U281" s="111" t="str">
        <f t="shared" si="109"/>
        <v>Normal</v>
      </c>
      <c r="V281" s="111" t="str">
        <f t="shared" si="110"/>
        <v>Normal</v>
      </c>
      <c r="W281" s="18">
        <f t="shared" si="111"/>
        <v>0</v>
      </c>
      <c r="X281" s="18">
        <f t="shared" si="112"/>
        <v>0</v>
      </c>
    </row>
    <row r="282" spans="1:24">
      <c r="A282" s="29">
        <v>45663</v>
      </c>
      <c r="B282" s="409"/>
      <c r="C282" s="31"/>
      <c r="D282" s="295"/>
      <c r="E282" s="1"/>
      <c r="F282" s="1"/>
      <c r="G282" s="61"/>
      <c r="H282" s="61"/>
      <c r="I282" s="1"/>
      <c r="J282" s="1"/>
      <c r="K282" s="1"/>
      <c r="L282" s="1"/>
      <c r="M282" s="17"/>
      <c r="N282" s="17"/>
      <c r="O282" s="17"/>
      <c r="P282" s="17"/>
      <c r="Q282" s="22"/>
      <c r="R282" s="285"/>
      <c r="S282" s="285"/>
      <c r="T282" s="111"/>
      <c r="U282" s="111" t="str">
        <f t="shared" si="109"/>
        <v>Normal</v>
      </c>
      <c r="V282" s="111" t="str">
        <f t="shared" si="110"/>
        <v>Normal</v>
      </c>
      <c r="W282" s="18">
        <f t="shared" si="111"/>
        <v>0</v>
      </c>
      <c r="X282" s="18">
        <f t="shared" si="112"/>
        <v>0</v>
      </c>
    </row>
    <row r="283" spans="1:24">
      <c r="A283" s="29">
        <v>45664</v>
      </c>
      <c r="B283" s="409"/>
      <c r="C283" s="31"/>
      <c r="D283" s="295"/>
      <c r="E283" s="1"/>
      <c r="F283" s="1"/>
      <c r="G283" s="61"/>
      <c r="H283" s="61"/>
      <c r="I283" s="1"/>
      <c r="J283" s="1"/>
      <c r="K283" s="1"/>
      <c r="L283" s="1"/>
      <c r="M283" s="17"/>
      <c r="N283" s="17"/>
      <c r="O283" s="17"/>
      <c r="P283" s="17"/>
      <c r="Q283" s="22"/>
      <c r="R283" s="285"/>
      <c r="S283" s="285"/>
      <c r="T283" s="111"/>
      <c r="U283" s="111" t="str">
        <f t="shared" si="109"/>
        <v>Normal</v>
      </c>
      <c r="V283" s="111" t="str">
        <f t="shared" si="110"/>
        <v>Normal</v>
      </c>
      <c r="W283" s="18">
        <f t="shared" si="111"/>
        <v>0</v>
      </c>
      <c r="X283" s="18">
        <f t="shared" si="112"/>
        <v>0</v>
      </c>
    </row>
    <row r="284" spans="1:24">
      <c r="A284" s="29">
        <v>45665</v>
      </c>
      <c r="B284" s="409"/>
      <c r="C284" s="31"/>
      <c r="D284" s="295"/>
      <c r="E284" s="1"/>
      <c r="F284" s="1"/>
      <c r="G284" s="61"/>
      <c r="H284" s="61"/>
      <c r="I284" s="1"/>
      <c r="J284" s="1"/>
      <c r="K284" s="1"/>
      <c r="L284" s="1"/>
      <c r="M284" s="17"/>
      <c r="N284" s="17"/>
      <c r="O284" s="17"/>
      <c r="P284" s="17"/>
      <c r="Q284" s="22"/>
      <c r="R284" s="285"/>
      <c r="S284" s="285"/>
      <c r="T284" s="111"/>
      <c r="U284" s="111" t="str">
        <f t="shared" si="109"/>
        <v>Normal</v>
      </c>
      <c r="V284" s="111" t="str">
        <f t="shared" si="110"/>
        <v>Normal</v>
      </c>
      <c r="W284" s="18">
        <f t="shared" si="111"/>
        <v>0</v>
      </c>
      <c r="X284" s="18">
        <f t="shared" si="112"/>
        <v>0</v>
      </c>
    </row>
    <row r="285" spans="1:24">
      <c r="A285" s="29">
        <v>45666</v>
      </c>
      <c r="B285" s="409"/>
      <c r="C285" s="31"/>
      <c r="D285" s="295"/>
      <c r="E285" s="1"/>
      <c r="F285" s="1"/>
      <c r="G285" s="61"/>
      <c r="H285" s="61"/>
      <c r="I285" s="1"/>
      <c r="J285" s="1"/>
      <c r="K285" s="1"/>
      <c r="L285" s="1"/>
      <c r="M285" s="17"/>
      <c r="N285" s="17"/>
      <c r="O285" s="17"/>
      <c r="P285" s="17"/>
      <c r="Q285" s="22"/>
      <c r="R285" s="285"/>
      <c r="S285" s="285"/>
      <c r="T285" s="111"/>
      <c r="U285" s="111" t="str">
        <f t="shared" si="109"/>
        <v>Normal</v>
      </c>
      <c r="V285" s="111" t="str">
        <f t="shared" si="110"/>
        <v>Normal</v>
      </c>
      <c r="W285" s="18">
        <f t="shared" si="111"/>
        <v>0</v>
      </c>
      <c r="X285" s="18">
        <f t="shared" si="112"/>
        <v>0</v>
      </c>
    </row>
    <row r="286" spans="1:24">
      <c r="A286" s="29">
        <v>45667</v>
      </c>
      <c r="B286" s="409"/>
      <c r="C286" s="31"/>
      <c r="D286" s="295"/>
      <c r="E286" s="1"/>
      <c r="F286" s="1"/>
      <c r="G286" s="61"/>
      <c r="H286" s="61"/>
      <c r="I286" s="1"/>
      <c r="J286" s="1"/>
      <c r="K286" s="1"/>
      <c r="L286" s="1"/>
      <c r="M286" s="17"/>
      <c r="N286" s="17"/>
      <c r="O286" s="17"/>
      <c r="P286" s="17"/>
      <c r="Q286" s="22"/>
      <c r="R286" s="285"/>
      <c r="S286" s="285"/>
      <c r="T286" s="111"/>
      <c r="U286" s="111" t="str">
        <f t="shared" si="109"/>
        <v>Normal</v>
      </c>
      <c r="V286" s="111" t="str">
        <f t="shared" si="110"/>
        <v>Normal</v>
      </c>
      <c r="W286" s="18">
        <f t="shared" si="111"/>
        <v>0</v>
      </c>
      <c r="X286" s="18">
        <f t="shared" si="112"/>
        <v>0</v>
      </c>
    </row>
    <row r="287" spans="1:24">
      <c r="A287" s="29">
        <v>45668</v>
      </c>
      <c r="B287" s="409"/>
      <c r="C287" s="31"/>
      <c r="D287" s="295"/>
      <c r="E287" s="1"/>
      <c r="F287" s="1"/>
      <c r="G287" s="61"/>
      <c r="H287" s="61"/>
      <c r="I287" s="1"/>
      <c r="J287" s="1"/>
      <c r="K287" s="1"/>
      <c r="L287" s="1"/>
      <c r="M287" s="17"/>
      <c r="N287" s="17"/>
      <c r="O287" s="17"/>
      <c r="P287" s="17"/>
      <c r="Q287" s="22"/>
      <c r="R287" s="285"/>
      <c r="S287" s="285"/>
      <c r="T287" s="111"/>
      <c r="U287" s="111" t="str">
        <f t="shared" si="109"/>
        <v>Normal</v>
      </c>
      <c r="V287" s="111" t="str">
        <f t="shared" si="110"/>
        <v>Normal</v>
      </c>
      <c r="W287" s="18">
        <f t="shared" si="111"/>
        <v>0</v>
      </c>
      <c r="X287" s="18">
        <f t="shared" si="112"/>
        <v>0</v>
      </c>
    </row>
    <row r="288" spans="1:24">
      <c r="A288" s="29">
        <v>45669</v>
      </c>
      <c r="B288" s="409"/>
      <c r="C288" s="31"/>
      <c r="D288" s="295"/>
      <c r="E288" s="1"/>
      <c r="F288" s="1"/>
      <c r="G288" s="61"/>
      <c r="H288" s="61"/>
      <c r="I288" s="1"/>
      <c r="J288" s="1"/>
      <c r="K288" s="1"/>
      <c r="L288" s="1"/>
      <c r="M288" s="17"/>
      <c r="N288" s="17"/>
      <c r="O288" s="17"/>
      <c r="P288" s="17"/>
      <c r="Q288" s="22"/>
      <c r="R288" s="285"/>
      <c r="S288" s="285"/>
      <c r="T288" s="111"/>
      <c r="U288" s="111" t="str">
        <f t="shared" si="109"/>
        <v>Normal</v>
      </c>
      <c r="V288" s="111" t="str">
        <f t="shared" si="110"/>
        <v>Normal</v>
      </c>
      <c r="W288" s="18">
        <f t="shared" si="111"/>
        <v>0</v>
      </c>
      <c r="X288" s="18">
        <f t="shared" si="112"/>
        <v>0</v>
      </c>
    </row>
    <row r="289" spans="1:24">
      <c r="A289" s="29">
        <v>45670</v>
      </c>
      <c r="B289" s="409"/>
      <c r="C289" s="31"/>
      <c r="D289" s="295"/>
      <c r="E289" s="1"/>
      <c r="F289" s="1"/>
      <c r="G289" s="61"/>
      <c r="H289" s="61"/>
      <c r="I289" s="1"/>
      <c r="J289" s="1"/>
      <c r="K289" s="1"/>
      <c r="L289" s="1"/>
      <c r="M289" s="17"/>
      <c r="N289" s="17"/>
      <c r="O289" s="17"/>
      <c r="P289" s="17"/>
      <c r="Q289" s="22"/>
      <c r="R289" s="285"/>
      <c r="S289" s="285"/>
      <c r="T289" s="111"/>
      <c r="U289" s="111" t="str">
        <f t="shared" si="109"/>
        <v>Normal</v>
      </c>
      <c r="V289" s="111" t="str">
        <f t="shared" si="110"/>
        <v>Normal</v>
      </c>
      <c r="W289" s="18">
        <f t="shared" si="111"/>
        <v>0</v>
      </c>
      <c r="X289" s="18">
        <f t="shared" si="112"/>
        <v>0</v>
      </c>
    </row>
    <row r="290" spans="1:24">
      <c r="A290" s="29">
        <v>45671</v>
      </c>
      <c r="B290" s="409"/>
      <c r="C290" s="31"/>
      <c r="D290" s="295"/>
      <c r="E290" s="1"/>
      <c r="F290" s="1"/>
      <c r="G290" s="61"/>
      <c r="H290" s="61"/>
      <c r="I290" s="1"/>
      <c r="J290" s="1"/>
      <c r="K290" s="1"/>
      <c r="L290" s="1"/>
      <c r="M290" s="17"/>
      <c r="N290" s="17"/>
      <c r="O290" s="17"/>
      <c r="P290" s="17"/>
      <c r="Q290" s="22"/>
      <c r="R290" s="285"/>
      <c r="S290" s="285"/>
      <c r="T290" s="111"/>
      <c r="U290" s="111" t="str">
        <f t="shared" si="109"/>
        <v>Normal</v>
      </c>
      <c r="V290" s="111" t="str">
        <f t="shared" si="110"/>
        <v>Normal</v>
      </c>
      <c r="W290" s="18">
        <f t="shared" si="111"/>
        <v>0</v>
      </c>
      <c r="X290" s="18">
        <f t="shared" si="112"/>
        <v>0</v>
      </c>
    </row>
    <row r="291" spans="1:24">
      <c r="A291" s="29">
        <v>45672</v>
      </c>
      <c r="B291" s="409"/>
      <c r="C291" s="31"/>
      <c r="D291" s="295"/>
      <c r="E291" s="1"/>
      <c r="F291" s="1"/>
      <c r="G291" s="61"/>
      <c r="H291" s="61"/>
      <c r="I291" s="1"/>
      <c r="J291" s="1"/>
      <c r="K291" s="1"/>
      <c r="L291" s="1"/>
      <c r="M291" s="17"/>
      <c r="N291" s="17"/>
      <c r="O291" s="17"/>
      <c r="P291" s="17"/>
      <c r="Q291" s="22"/>
      <c r="R291" s="285"/>
      <c r="S291" s="285"/>
      <c r="T291" s="111"/>
      <c r="U291" s="111" t="str">
        <f t="shared" si="109"/>
        <v>Normal</v>
      </c>
      <c r="V291" s="111" t="str">
        <f t="shared" si="110"/>
        <v>Normal</v>
      </c>
      <c r="W291" s="18">
        <f t="shared" si="111"/>
        <v>0</v>
      </c>
      <c r="X291" s="18">
        <f t="shared" si="112"/>
        <v>0</v>
      </c>
    </row>
    <row r="292" spans="1:24">
      <c r="A292" s="29">
        <v>45673</v>
      </c>
      <c r="B292" s="409"/>
      <c r="C292" s="31"/>
      <c r="D292" s="295"/>
      <c r="E292" s="1"/>
      <c r="F292" s="1"/>
      <c r="G292" s="61"/>
      <c r="H292" s="61"/>
      <c r="I292" s="1"/>
      <c r="J292" s="1"/>
      <c r="K292" s="1"/>
      <c r="L292" s="1"/>
      <c r="M292" s="17"/>
      <c r="N292" s="17"/>
      <c r="O292" s="17"/>
      <c r="P292" s="17"/>
      <c r="Q292" s="22"/>
      <c r="R292" s="285"/>
      <c r="S292" s="285"/>
      <c r="T292" s="111"/>
      <c r="U292" s="111" t="str">
        <f t="shared" si="109"/>
        <v>Normal</v>
      </c>
      <c r="V292" s="111" t="str">
        <f t="shared" si="110"/>
        <v>Normal</v>
      </c>
      <c r="W292" s="18">
        <f t="shared" si="111"/>
        <v>0</v>
      </c>
      <c r="X292" s="18">
        <f t="shared" si="112"/>
        <v>0</v>
      </c>
    </row>
    <row r="293" spans="1:24">
      <c r="A293" s="29">
        <v>45674</v>
      </c>
      <c r="B293" s="409"/>
      <c r="C293" s="31"/>
      <c r="D293" s="295"/>
      <c r="E293" s="1"/>
      <c r="F293" s="1"/>
      <c r="G293" s="61"/>
      <c r="H293" s="61"/>
      <c r="I293" s="1"/>
      <c r="J293" s="1"/>
      <c r="K293" s="1"/>
      <c r="L293" s="1"/>
      <c r="M293" s="17"/>
      <c r="N293" s="17"/>
      <c r="O293" s="17"/>
      <c r="P293" s="17"/>
      <c r="Q293" s="22"/>
      <c r="R293" s="285"/>
      <c r="S293" s="285"/>
      <c r="T293" s="111"/>
      <c r="U293" s="111" t="str">
        <f t="shared" si="109"/>
        <v>Normal</v>
      </c>
      <c r="V293" s="111" t="str">
        <f t="shared" si="110"/>
        <v>Normal</v>
      </c>
      <c r="W293" s="18">
        <f t="shared" si="111"/>
        <v>0</v>
      </c>
      <c r="X293" s="18">
        <f t="shared" si="112"/>
        <v>0</v>
      </c>
    </row>
    <row r="294" spans="1:24">
      <c r="A294" s="29">
        <v>45675</v>
      </c>
      <c r="B294" s="409"/>
      <c r="C294" s="31"/>
      <c r="D294" s="295"/>
      <c r="E294" s="1"/>
      <c r="F294" s="1"/>
      <c r="G294" s="61"/>
      <c r="H294" s="61"/>
      <c r="I294" s="1"/>
      <c r="J294" s="1"/>
      <c r="K294" s="1"/>
      <c r="L294" s="1"/>
      <c r="M294" s="17"/>
      <c r="N294" s="17"/>
      <c r="O294" s="17"/>
      <c r="P294" s="17"/>
      <c r="Q294" s="22"/>
      <c r="R294" s="285"/>
      <c r="S294" s="285"/>
      <c r="T294" s="111"/>
      <c r="U294" s="111" t="str">
        <f t="shared" si="109"/>
        <v>Normal</v>
      </c>
      <c r="V294" s="111" t="str">
        <f t="shared" si="110"/>
        <v>Normal</v>
      </c>
      <c r="W294" s="18">
        <f t="shared" si="111"/>
        <v>0</v>
      </c>
      <c r="X294" s="18">
        <f t="shared" si="112"/>
        <v>0</v>
      </c>
    </row>
    <row r="295" spans="1:24">
      <c r="A295" s="29">
        <v>45676</v>
      </c>
      <c r="B295" s="409"/>
      <c r="C295" s="31"/>
      <c r="D295" s="295"/>
      <c r="E295" s="1"/>
      <c r="F295" s="1"/>
      <c r="G295" s="61"/>
      <c r="H295" s="61"/>
      <c r="I295" s="1"/>
      <c r="J295" s="1"/>
      <c r="K295" s="1"/>
      <c r="L295" s="1"/>
      <c r="M295" s="17"/>
      <c r="N295" s="17"/>
      <c r="O295" s="17"/>
      <c r="P295" s="17"/>
      <c r="Q295" s="22"/>
      <c r="R295" s="285"/>
      <c r="S295" s="285"/>
      <c r="T295" s="111"/>
      <c r="U295" s="111" t="str">
        <f t="shared" si="109"/>
        <v>Normal</v>
      </c>
      <c r="V295" s="111" t="str">
        <f t="shared" si="110"/>
        <v>Normal</v>
      </c>
      <c r="W295" s="18">
        <f t="shared" si="111"/>
        <v>0</v>
      </c>
      <c r="X295" s="18">
        <f t="shared" si="112"/>
        <v>0</v>
      </c>
    </row>
    <row r="296" spans="1:24">
      <c r="A296" s="29">
        <v>45677</v>
      </c>
      <c r="B296" s="409"/>
      <c r="C296" s="31"/>
      <c r="D296" s="295"/>
      <c r="E296" s="1"/>
      <c r="F296" s="1"/>
      <c r="G296" s="61"/>
      <c r="H296" s="61"/>
      <c r="I296" s="1"/>
      <c r="J296" s="1"/>
      <c r="K296" s="1"/>
      <c r="L296" s="1"/>
      <c r="M296" s="17"/>
      <c r="N296" s="17"/>
      <c r="O296" s="17"/>
      <c r="P296" s="17"/>
      <c r="Q296" s="22"/>
      <c r="R296" s="285"/>
      <c r="S296" s="285"/>
      <c r="T296" s="111"/>
      <c r="U296" s="111" t="str">
        <f t="shared" si="109"/>
        <v>Normal</v>
      </c>
      <c r="V296" s="111" t="str">
        <f t="shared" si="110"/>
        <v>Normal</v>
      </c>
      <c r="W296" s="18">
        <f t="shared" si="111"/>
        <v>0</v>
      </c>
      <c r="X296" s="18">
        <f t="shared" si="112"/>
        <v>0</v>
      </c>
    </row>
    <row r="297" spans="1:24">
      <c r="A297" s="29">
        <v>45678</v>
      </c>
      <c r="B297" s="409"/>
      <c r="C297" s="31"/>
      <c r="D297" s="295"/>
      <c r="E297" s="1"/>
      <c r="F297" s="1"/>
      <c r="G297" s="61"/>
      <c r="H297" s="61"/>
      <c r="I297" s="1"/>
      <c r="J297" s="1"/>
      <c r="K297" s="1"/>
      <c r="L297" s="1"/>
      <c r="M297" s="17"/>
      <c r="N297" s="17"/>
      <c r="O297" s="17"/>
      <c r="P297" s="17"/>
      <c r="Q297" s="22"/>
      <c r="R297" s="285"/>
      <c r="S297" s="285"/>
      <c r="T297" s="111"/>
      <c r="U297" s="111" t="str">
        <f t="shared" si="109"/>
        <v>Normal</v>
      </c>
      <c r="V297" s="111" t="str">
        <f t="shared" si="110"/>
        <v>Normal</v>
      </c>
      <c r="W297" s="18">
        <f t="shared" si="111"/>
        <v>0</v>
      </c>
      <c r="X297" s="18">
        <f t="shared" si="112"/>
        <v>0</v>
      </c>
    </row>
    <row r="298" spans="1:24">
      <c r="A298" s="29">
        <v>45679</v>
      </c>
      <c r="B298" s="409"/>
      <c r="C298" s="31"/>
      <c r="D298" s="295"/>
      <c r="E298" s="1"/>
      <c r="F298" s="1"/>
      <c r="G298" s="61"/>
      <c r="H298" s="61"/>
      <c r="I298" s="1"/>
      <c r="J298" s="1"/>
      <c r="K298" s="1"/>
      <c r="L298" s="1"/>
      <c r="M298" s="17"/>
      <c r="N298" s="17"/>
      <c r="O298" s="17"/>
      <c r="P298" s="17"/>
      <c r="Q298" s="22"/>
      <c r="R298" s="285"/>
      <c r="S298" s="285"/>
      <c r="T298" s="111"/>
      <c r="U298" s="111" t="str">
        <f t="shared" si="109"/>
        <v>Normal</v>
      </c>
      <c r="V298" s="111" t="str">
        <f t="shared" si="110"/>
        <v>Normal</v>
      </c>
      <c r="W298" s="18">
        <f t="shared" si="111"/>
        <v>0</v>
      </c>
      <c r="X298" s="18">
        <f t="shared" si="112"/>
        <v>0</v>
      </c>
    </row>
    <row r="299" spans="1:24">
      <c r="A299" s="29">
        <v>45680</v>
      </c>
      <c r="B299" s="409"/>
      <c r="C299" s="31"/>
      <c r="D299" s="295"/>
      <c r="E299" s="1"/>
      <c r="F299" s="1"/>
      <c r="G299" s="61"/>
      <c r="H299" s="61"/>
      <c r="I299" s="1"/>
      <c r="J299" s="1"/>
      <c r="K299" s="1"/>
      <c r="L299" s="1"/>
      <c r="M299" s="17"/>
      <c r="N299" s="17"/>
      <c r="O299" s="17"/>
      <c r="P299" s="17"/>
      <c r="Q299" s="22"/>
      <c r="R299" s="285"/>
      <c r="S299" s="285"/>
      <c r="T299" s="111"/>
      <c r="U299" s="111" t="str">
        <f t="shared" si="109"/>
        <v>Normal</v>
      </c>
      <c r="V299" s="111" t="str">
        <f t="shared" si="110"/>
        <v>Normal</v>
      </c>
      <c r="W299" s="18">
        <f t="shared" si="111"/>
        <v>0</v>
      </c>
      <c r="X299" s="18">
        <f t="shared" si="112"/>
        <v>0</v>
      </c>
    </row>
    <row r="300" spans="1:24">
      <c r="A300" s="29">
        <v>45681</v>
      </c>
      <c r="B300" s="409"/>
      <c r="C300" s="31"/>
      <c r="D300" s="295"/>
      <c r="E300" s="1"/>
      <c r="F300" s="1"/>
      <c r="G300" s="61"/>
      <c r="H300" s="61"/>
      <c r="I300" s="1"/>
      <c r="J300" s="1"/>
      <c r="K300" s="1"/>
      <c r="L300" s="1"/>
      <c r="M300" s="17"/>
      <c r="N300" s="17"/>
      <c r="O300" s="17"/>
      <c r="P300" s="17"/>
      <c r="Q300" s="22"/>
      <c r="R300" s="285"/>
      <c r="S300" s="285"/>
      <c r="T300" s="111"/>
      <c r="U300" s="111" t="str">
        <f t="shared" si="109"/>
        <v>Normal</v>
      </c>
      <c r="V300" s="111" t="str">
        <f t="shared" si="110"/>
        <v>Normal</v>
      </c>
      <c r="W300" s="18">
        <f t="shared" si="111"/>
        <v>0</v>
      </c>
      <c r="X300" s="18">
        <f t="shared" si="112"/>
        <v>0</v>
      </c>
    </row>
    <row r="301" spans="1:24">
      <c r="A301" s="29">
        <v>45682</v>
      </c>
      <c r="B301" s="409"/>
      <c r="C301" s="31"/>
      <c r="D301" s="295"/>
      <c r="E301" s="1"/>
      <c r="F301" s="1"/>
      <c r="G301" s="61"/>
      <c r="H301" s="61"/>
      <c r="I301" s="1"/>
      <c r="J301" s="1"/>
      <c r="K301" s="1"/>
      <c r="L301" s="1"/>
      <c r="M301" s="17"/>
      <c r="N301" s="17"/>
      <c r="O301" s="17"/>
      <c r="P301" s="17"/>
      <c r="Q301" s="22"/>
      <c r="R301" s="285"/>
      <c r="S301" s="285"/>
      <c r="T301" s="111"/>
      <c r="U301" s="111" t="str">
        <f t="shared" si="109"/>
        <v>Normal</v>
      </c>
      <c r="V301" s="111" t="str">
        <f t="shared" si="110"/>
        <v>Normal</v>
      </c>
      <c r="W301" s="18">
        <f t="shared" si="111"/>
        <v>0</v>
      </c>
      <c r="X301" s="18">
        <f t="shared" si="112"/>
        <v>0</v>
      </c>
    </row>
    <row r="302" spans="1:24">
      <c r="A302" s="29">
        <v>45683</v>
      </c>
      <c r="B302" s="409"/>
      <c r="C302" s="31"/>
      <c r="D302" s="295"/>
      <c r="E302" s="1"/>
      <c r="F302" s="1"/>
      <c r="G302" s="61"/>
      <c r="H302" s="61"/>
      <c r="I302" s="1"/>
      <c r="J302" s="1"/>
      <c r="K302" s="1"/>
      <c r="L302" s="1"/>
      <c r="M302" s="17"/>
      <c r="N302" s="17"/>
      <c r="O302" s="17"/>
      <c r="P302" s="17"/>
      <c r="Q302" s="22"/>
      <c r="R302" s="285"/>
      <c r="S302" s="285"/>
      <c r="T302" s="111"/>
      <c r="U302" s="111" t="str">
        <f t="shared" si="109"/>
        <v>Normal</v>
      </c>
      <c r="V302" s="111" t="str">
        <f t="shared" si="110"/>
        <v>Normal</v>
      </c>
      <c r="W302" s="18">
        <f t="shared" si="111"/>
        <v>0</v>
      </c>
      <c r="X302" s="18">
        <f t="shared" si="112"/>
        <v>0</v>
      </c>
    </row>
    <row r="303" spans="1:24">
      <c r="A303" s="29">
        <v>45684</v>
      </c>
      <c r="B303" s="409"/>
      <c r="C303" s="31"/>
      <c r="D303" s="295"/>
      <c r="E303" s="1"/>
      <c r="F303" s="1"/>
      <c r="G303" s="61"/>
      <c r="H303" s="61"/>
      <c r="I303" s="1"/>
      <c r="J303" s="1"/>
      <c r="K303" s="1"/>
      <c r="L303" s="1"/>
      <c r="M303" s="17"/>
      <c r="N303" s="17"/>
      <c r="O303" s="17"/>
      <c r="P303" s="17"/>
      <c r="Q303" s="22"/>
      <c r="R303" s="285"/>
      <c r="S303" s="285"/>
      <c r="T303" s="111"/>
      <c r="U303" s="111" t="str">
        <f t="shared" si="109"/>
        <v>Normal</v>
      </c>
      <c r="V303" s="111" t="str">
        <f t="shared" si="110"/>
        <v>Normal</v>
      </c>
      <c r="W303" s="18">
        <f t="shared" si="111"/>
        <v>0</v>
      </c>
      <c r="X303" s="18">
        <f t="shared" si="112"/>
        <v>0</v>
      </c>
    </row>
    <row r="304" spans="1:24">
      <c r="A304" s="29">
        <v>45685</v>
      </c>
      <c r="B304" s="409"/>
      <c r="C304" s="31"/>
      <c r="D304" s="295"/>
      <c r="E304" s="1"/>
      <c r="F304" s="1"/>
      <c r="G304" s="61"/>
      <c r="H304" s="61"/>
      <c r="I304" s="1"/>
      <c r="J304" s="1"/>
      <c r="K304" s="1"/>
      <c r="L304" s="1"/>
      <c r="M304" s="17"/>
      <c r="N304" s="17"/>
      <c r="O304" s="17"/>
      <c r="P304" s="17"/>
      <c r="Q304" s="22"/>
      <c r="R304" s="285"/>
      <c r="S304" s="285"/>
      <c r="T304" s="111"/>
      <c r="U304" s="111" t="str">
        <f t="shared" si="109"/>
        <v>Normal</v>
      </c>
      <c r="V304" s="111" t="str">
        <f t="shared" si="110"/>
        <v>Normal</v>
      </c>
      <c r="W304" s="18">
        <f t="shared" si="111"/>
        <v>0</v>
      </c>
      <c r="X304" s="18">
        <f t="shared" si="112"/>
        <v>0</v>
      </c>
    </row>
    <row r="305" spans="1:24">
      <c r="A305" s="29">
        <v>45686</v>
      </c>
      <c r="B305" s="409"/>
      <c r="C305" s="31"/>
      <c r="D305" s="295"/>
      <c r="E305" s="1"/>
      <c r="F305" s="1"/>
      <c r="G305" s="61"/>
      <c r="H305" s="61"/>
      <c r="I305" s="1"/>
      <c r="J305" s="1"/>
      <c r="K305" s="1"/>
      <c r="L305" s="1"/>
      <c r="M305" s="17"/>
      <c r="N305" s="17"/>
      <c r="O305" s="17"/>
      <c r="P305" s="17"/>
      <c r="Q305" s="22"/>
      <c r="R305" s="285"/>
      <c r="S305" s="285"/>
      <c r="T305" s="111"/>
      <c r="U305" s="111" t="str">
        <f t="shared" si="109"/>
        <v>Normal</v>
      </c>
      <c r="V305" s="111" t="str">
        <f t="shared" si="110"/>
        <v>Normal</v>
      </c>
      <c r="W305" s="18">
        <f t="shared" si="111"/>
        <v>0</v>
      </c>
      <c r="X305" s="18">
        <f t="shared" si="112"/>
        <v>0</v>
      </c>
    </row>
    <row r="306" spans="1:24">
      <c r="A306" s="29">
        <v>45687</v>
      </c>
      <c r="B306" s="409"/>
      <c r="C306" s="31"/>
      <c r="D306" s="295"/>
      <c r="E306" s="1"/>
      <c r="F306" s="1"/>
      <c r="G306" s="61"/>
      <c r="H306" s="61"/>
      <c r="I306" s="1"/>
      <c r="J306" s="1"/>
      <c r="K306" s="1"/>
      <c r="L306" s="1"/>
      <c r="M306" s="17"/>
      <c r="N306" s="17"/>
      <c r="O306" s="17"/>
      <c r="P306" s="17"/>
      <c r="Q306" s="22"/>
      <c r="R306" s="285"/>
      <c r="S306" s="285"/>
      <c r="T306" s="111"/>
      <c r="U306" s="111" t="str">
        <f t="shared" si="109"/>
        <v>Normal</v>
      </c>
      <c r="V306" s="111" t="str">
        <f t="shared" si="110"/>
        <v>Normal</v>
      </c>
      <c r="W306" s="18">
        <f t="shared" si="111"/>
        <v>0</v>
      </c>
      <c r="X306" s="18">
        <f t="shared" si="112"/>
        <v>0</v>
      </c>
    </row>
    <row r="307" spans="1:24" s="45" customFormat="1">
      <c r="A307" s="29">
        <v>45688</v>
      </c>
      <c r="B307" s="409"/>
      <c r="C307" s="46"/>
      <c r="D307" s="295"/>
      <c r="E307" s="1"/>
      <c r="F307" s="1"/>
      <c r="G307" s="61"/>
      <c r="H307" s="61"/>
      <c r="I307" s="1"/>
      <c r="J307" s="1"/>
      <c r="K307" s="1"/>
      <c r="L307" s="1"/>
      <c r="M307" s="17"/>
      <c r="N307" s="17"/>
      <c r="O307" s="17"/>
      <c r="P307" s="17"/>
      <c r="Q307" s="22"/>
      <c r="R307" s="285"/>
      <c r="S307" s="285"/>
      <c r="T307" s="111"/>
      <c r="U307" s="111" t="str">
        <f t="shared" si="109"/>
        <v>Normal</v>
      </c>
      <c r="V307" s="111" t="str">
        <f t="shared" si="110"/>
        <v>Normal</v>
      </c>
      <c r="W307" s="18">
        <f t="shared" si="111"/>
        <v>0</v>
      </c>
      <c r="X307" s="18">
        <f t="shared" si="112"/>
        <v>0</v>
      </c>
    </row>
    <row r="308" spans="1:24">
      <c r="A308" s="29">
        <v>45689</v>
      </c>
      <c r="B308" s="409"/>
      <c r="C308" s="31"/>
      <c r="D308" s="295"/>
      <c r="E308" s="1"/>
      <c r="F308" s="1"/>
      <c r="G308" s="61"/>
      <c r="H308" s="61"/>
      <c r="I308" s="1"/>
      <c r="J308" s="1"/>
      <c r="K308" s="1"/>
      <c r="L308" s="1"/>
      <c r="M308" s="17"/>
      <c r="N308" s="17"/>
      <c r="O308" s="17"/>
      <c r="P308" s="17"/>
      <c r="Q308" s="22"/>
      <c r="R308" s="285"/>
      <c r="S308" s="285"/>
      <c r="T308" s="111"/>
      <c r="U308" s="111" t="str">
        <f t="shared" si="109"/>
        <v>Normal</v>
      </c>
      <c r="V308" s="111" t="str">
        <f t="shared" si="110"/>
        <v>Normal</v>
      </c>
      <c r="W308" s="18">
        <f t="shared" si="111"/>
        <v>0</v>
      </c>
      <c r="X308" s="18">
        <f t="shared" si="112"/>
        <v>0</v>
      </c>
    </row>
    <row r="309" spans="1:24">
      <c r="A309" s="29">
        <v>45690</v>
      </c>
      <c r="B309" s="409"/>
      <c r="C309" s="31"/>
      <c r="D309" s="295"/>
      <c r="E309" s="1"/>
      <c r="F309" s="1"/>
      <c r="G309" s="61"/>
      <c r="H309" s="61"/>
      <c r="I309" s="1"/>
      <c r="J309" s="1"/>
      <c r="K309" s="1"/>
      <c r="L309" s="1"/>
      <c r="M309" s="17"/>
      <c r="N309" s="17"/>
      <c r="O309" s="17"/>
      <c r="P309" s="17"/>
      <c r="Q309" s="22"/>
      <c r="R309" s="285"/>
      <c r="S309" s="285"/>
      <c r="T309" s="111"/>
      <c r="U309" s="111" t="str">
        <f t="shared" si="109"/>
        <v>Normal</v>
      </c>
      <c r="V309" s="111" t="str">
        <f t="shared" si="110"/>
        <v>Normal</v>
      </c>
      <c r="W309" s="18">
        <f t="shared" si="111"/>
        <v>0</v>
      </c>
      <c r="X309" s="18">
        <f t="shared" si="112"/>
        <v>0</v>
      </c>
    </row>
    <row r="310" spans="1:24">
      <c r="A310" s="29">
        <v>45691</v>
      </c>
      <c r="B310" s="409"/>
      <c r="C310" s="31"/>
      <c r="D310" s="295"/>
      <c r="E310" s="1"/>
      <c r="F310" s="1"/>
      <c r="G310" s="61"/>
      <c r="H310" s="61"/>
      <c r="I310" s="1"/>
      <c r="J310" s="1"/>
      <c r="K310" s="1"/>
      <c r="L310" s="1"/>
      <c r="M310" s="17"/>
      <c r="N310" s="17"/>
      <c r="O310" s="17"/>
      <c r="P310" s="17"/>
      <c r="Q310" s="22"/>
      <c r="R310" s="285"/>
      <c r="S310" s="285"/>
      <c r="T310" s="111"/>
      <c r="U310" s="111" t="str">
        <f t="shared" si="109"/>
        <v>Normal</v>
      </c>
      <c r="V310" s="111" t="str">
        <f t="shared" si="110"/>
        <v>Normal</v>
      </c>
      <c r="W310" s="18">
        <f t="shared" si="111"/>
        <v>0</v>
      </c>
      <c r="X310" s="18">
        <f t="shared" si="112"/>
        <v>0</v>
      </c>
    </row>
    <row r="311" spans="1:24">
      <c r="A311" s="29">
        <v>45692</v>
      </c>
      <c r="B311" s="409"/>
      <c r="C311" s="31"/>
      <c r="D311" s="295"/>
      <c r="E311" s="1"/>
      <c r="F311" s="1"/>
      <c r="G311" s="61"/>
      <c r="H311" s="61"/>
      <c r="I311" s="1"/>
      <c r="J311" s="1"/>
      <c r="K311" s="1"/>
      <c r="L311" s="1"/>
      <c r="M311" s="17"/>
      <c r="N311" s="17"/>
      <c r="O311" s="17"/>
      <c r="P311" s="17"/>
      <c r="Q311" s="22"/>
      <c r="R311" s="285"/>
      <c r="S311" s="285"/>
      <c r="T311" s="111"/>
      <c r="U311" s="111" t="str">
        <f t="shared" si="109"/>
        <v>Normal</v>
      </c>
      <c r="V311" s="111" t="str">
        <f t="shared" si="110"/>
        <v>Normal</v>
      </c>
      <c r="W311" s="18">
        <f t="shared" si="111"/>
        <v>0</v>
      </c>
      <c r="X311" s="18">
        <f t="shared" si="112"/>
        <v>0</v>
      </c>
    </row>
    <row r="312" spans="1:24">
      <c r="A312" s="29">
        <v>45693</v>
      </c>
      <c r="B312" s="409"/>
      <c r="C312" s="31"/>
      <c r="D312" s="295"/>
      <c r="E312" s="1"/>
      <c r="F312" s="1"/>
      <c r="G312" s="61"/>
      <c r="H312" s="61"/>
      <c r="I312" s="1"/>
      <c r="J312" s="1"/>
      <c r="K312" s="1"/>
      <c r="L312" s="1"/>
      <c r="M312" s="17"/>
      <c r="N312" s="17"/>
      <c r="O312" s="17"/>
      <c r="P312" s="17"/>
      <c r="Q312" s="22"/>
      <c r="R312" s="285"/>
      <c r="S312" s="285"/>
      <c r="T312" s="111"/>
      <c r="U312" s="111" t="str">
        <f t="shared" si="109"/>
        <v>Normal</v>
      </c>
      <c r="V312" s="111" t="str">
        <f t="shared" si="110"/>
        <v>Normal</v>
      </c>
      <c r="W312" s="18">
        <f t="shared" si="111"/>
        <v>0</v>
      </c>
      <c r="X312" s="18">
        <f t="shared" si="112"/>
        <v>0</v>
      </c>
    </row>
    <row r="313" spans="1:24">
      <c r="A313" s="29">
        <v>45694</v>
      </c>
      <c r="B313" s="409"/>
      <c r="C313" s="31"/>
      <c r="D313" s="295"/>
      <c r="E313" s="1"/>
      <c r="F313" s="1"/>
      <c r="G313" s="61"/>
      <c r="H313" s="61"/>
      <c r="I313" s="1"/>
      <c r="J313" s="1"/>
      <c r="K313" s="1"/>
      <c r="L313" s="1"/>
      <c r="M313" s="17"/>
      <c r="N313" s="17"/>
      <c r="O313" s="17"/>
      <c r="P313" s="17"/>
      <c r="Q313" s="22"/>
      <c r="R313" s="285"/>
      <c r="S313" s="285"/>
      <c r="T313" s="111"/>
      <c r="U313" s="111" t="str">
        <f t="shared" si="109"/>
        <v>Normal</v>
      </c>
      <c r="V313" s="111" t="str">
        <f t="shared" si="110"/>
        <v>Normal</v>
      </c>
      <c r="W313" s="18">
        <f t="shared" si="111"/>
        <v>0</v>
      </c>
      <c r="X313" s="18">
        <f t="shared" si="112"/>
        <v>0</v>
      </c>
    </row>
    <row r="314" spans="1:24">
      <c r="A314" s="29">
        <v>45695</v>
      </c>
      <c r="B314" s="409"/>
      <c r="C314" s="31"/>
      <c r="D314" s="295"/>
      <c r="E314" s="1"/>
      <c r="F314" s="1"/>
      <c r="G314" s="61"/>
      <c r="H314" s="61"/>
      <c r="I314" s="1"/>
      <c r="J314" s="1"/>
      <c r="K314" s="1"/>
      <c r="L314" s="1"/>
      <c r="M314" s="17"/>
      <c r="N314" s="17"/>
      <c r="O314" s="17"/>
      <c r="P314" s="17"/>
      <c r="Q314" s="22"/>
      <c r="R314" s="285"/>
      <c r="S314" s="285"/>
      <c r="T314" s="111"/>
      <c r="U314" s="111" t="str">
        <f t="shared" si="109"/>
        <v>Normal</v>
      </c>
      <c r="V314" s="111" t="str">
        <f t="shared" si="110"/>
        <v>Normal</v>
      </c>
      <c r="W314" s="18">
        <f t="shared" si="111"/>
        <v>0</v>
      </c>
      <c r="X314" s="18">
        <f t="shared" si="112"/>
        <v>0</v>
      </c>
    </row>
    <row r="315" spans="1:24">
      <c r="A315" s="29">
        <v>45696</v>
      </c>
      <c r="B315" s="409"/>
      <c r="C315" s="31"/>
      <c r="D315" s="295"/>
      <c r="E315" s="1"/>
      <c r="F315" s="1"/>
      <c r="G315" s="61"/>
      <c r="H315" s="61"/>
      <c r="I315" s="1"/>
      <c r="J315" s="1"/>
      <c r="K315" s="1"/>
      <c r="L315" s="1"/>
      <c r="M315" s="17"/>
      <c r="N315" s="17"/>
      <c r="O315" s="17"/>
      <c r="P315" s="17"/>
      <c r="Q315" s="22"/>
      <c r="R315" s="285"/>
      <c r="S315" s="285"/>
      <c r="T315" s="111"/>
      <c r="U315" s="111" t="str">
        <f t="shared" si="109"/>
        <v>Normal</v>
      </c>
      <c r="V315" s="111" t="str">
        <f t="shared" si="110"/>
        <v>Normal</v>
      </c>
      <c r="W315" s="18">
        <f t="shared" si="111"/>
        <v>0</v>
      </c>
      <c r="X315" s="18">
        <f t="shared" si="112"/>
        <v>0</v>
      </c>
    </row>
    <row r="316" spans="1:24">
      <c r="A316" s="29">
        <v>45697</v>
      </c>
      <c r="B316" s="409"/>
      <c r="C316" s="31"/>
      <c r="D316" s="295"/>
      <c r="E316" s="1"/>
      <c r="F316" s="1"/>
      <c r="G316" s="61"/>
      <c r="H316" s="61"/>
      <c r="I316" s="1"/>
      <c r="J316" s="1"/>
      <c r="K316" s="1"/>
      <c r="L316" s="1"/>
      <c r="M316" s="17"/>
      <c r="N316" s="17"/>
      <c r="O316" s="17"/>
      <c r="P316" s="17"/>
      <c r="Q316" s="22"/>
      <c r="R316" s="285"/>
      <c r="S316" s="285"/>
      <c r="T316" s="111"/>
      <c r="U316" s="111" t="str">
        <f t="shared" si="109"/>
        <v>Normal</v>
      </c>
      <c r="V316" s="111" t="str">
        <f t="shared" si="110"/>
        <v>Normal</v>
      </c>
      <c r="W316" s="18">
        <f t="shared" si="111"/>
        <v>0</v>
      </c>
      <c r="X316" s="18">
        <f t="shared" si="112"/>
        <v>0</v>
      </c>
    </row>
    <row r="317" spans="1:24">
      <c r="A317" s="29">
        <v>45698</v>
      </c>
      <c r="B317" s="409"/>
      <c r="C317" s="31"/>
      <c r="D317" s="295"/>
      <c r="E317" s="1"/>
      <c r="F317" s="1"/>
      <c r="G317" s="61"/>
      <c r="H317" s="61"/>
      <c r="I317" s="1"/>
      <c r="J317" s="1"/>
      <c r="K317" s="1"/>
      <c r="L317" s="1"/>
      <c r="M317" s="17"/>
      <c r="N317" s="17"/>
      <c r="O317" s="17"/>
      <c r="P317" s="17"/>
      <c r="Q317" s="22"/>
      <c r="R317" s="285"/>
      <c r="S317" s="285"/>
      <c r="T317" s="111"/>
      <c r="U317" s="111" t="str">
        <f t="shared" si="109"/>
        <v>Normal</v>
      </c>
      <c r="V317" s="111" t="str">
        <f t="shared" si="110"/>
        <v>Normal</v>
      </c>
      <c r="W317" s="18">
        <f t="shared" si="111"/>
        <v>0</v>
      </c>
      <c r="X317" s="18">
        <f t="shared" si="112"/>
        <v>0</v>
      </c>
    </row>
    <row r="318" spans="1:24">
      <c r="A318" s="29">
        <v>45699</v>
      </c>
      <c r="B318" s="409"/>
      <c r="C318" s="31"/>
      <c r="D318" s="295"/>
      <c r="E318" s="1"/>
      <c r="F318" s="1"/>
      <c r="G318" s="61"/>
      <c r="H318" s="61"/>
      <c r="I318" s="1"/>
      <c r="J318" s="1"/>
      <c r="K318" s="1"/>
      <c r="L318" s="1"/>
      <c r="M318" s="17"/>
      <c r="N318" s="17"/>
      <c r="O318" s="17"/>
      <c r="P318" s="17"/>
      <c r="Q318" s="22"/>
      <c r="R318" s="285"/>
      <c r="S318" s="285"/>
      <c r="T318" s="111"/>
      <c r="U318" s="111" t="str">
        <f t="shared" si="109"/>
        <v>Normal</v>
      </c>
      <c r="V318" s="111" t="str">
        <f t="shared" si="110"/>
        <v>Normal</v>
      </c>
      <c r="W318" s="18">
        <f t="shared" si="111"/>
        <v>0</v>
      </c>
      <c r="X318" s="18">
        <f t="shared" si="112"/>
        <v>0</v>
      </c>
    </row>
    <row r="319" spans="1:24">
      <c r="A319" s="29">
        <v>45700</v>
      </c>
      <c r="B319" s="409"/>
      <c r="C319" s="31"/>
      <c r="D319" s="295"/>
      <c r="E319" s="1"/>
      <c r="F319" s="1"/>
      <c r="G319" s="61"/>
      <c r="H319" s="61"/>
      <c r="I319" s="1"/>
      <c r="J319" s="1"/>
      <c r="K319" s="1"/>
      <c r="L319" s="1"/>
      <c r="M319" s="17"/>
      <c r="N319" s="17"/>
      <c r="O319" s="17"/>
      <c r="P319" s="17"/>
      <c r="Q319" s="22"/>
      <c r="R319" s="285"/>
      <c r="S319" s="285"/>
      <c r="T319" s="111"/>
      <c r="U319" s="111" t="str">
        <f t="shared" si="109"/>
        <v>Normal</v>
      </c>
      <c r="V319" s="111" t="str">
        <f t="shared" si="110"/>
        <v>Normal</v>
      </c>
      <c r="W319" s="18">
        <f t="shared" si="111"/>
        <v>0</v>
      </c>
      <c r="X319" s="18">
        <f t="shared" si="112"/>
        <v>0</v>
      </c>
    </row>
    <row r="320" spans="1:24">
      <c r="A320" s="29">
        <v>45701</v>
      </c>
      <c r="B320" s="409"/>
      <c r="C320" s="31"/>
      <c r="D320" s="295"/>
      <c r="E320" s="1"/>
      <c r="F320" s="1"/>
      <c r="G320" s="61"/>
      <c r="H320" s="61"/>
      <c r="I320" s="1"/>
      <c r="J320" s="1"/>
      <c r="K320" s="1"/>
      <c r="L320" s="1"/>
      <c r="M320" s="17"/>
      <c r="N320" s="17"/>
      <c r="O320" s="17"/>
      <c r="P320" s="17"/>
      <c r="Q320" s="22"/>
      <c r="R320" s="285"/>
      <c r="S320" s="285"/>
      <c r="T320" s="111"/>
      <c r="U320" s="111" t="str">
        <f t="shared" si="109"/>
        <v>Normal</v>
      </c>
      <c r="V320" s="111" t="str">
        <f t="shared" si="110"/>
        <v>Normal</v>
      </c>
      <c r="W320" s="18">
        <f t="shared" si="111"/>
        <v>0</v>
      </c>
      <c r="X320" s="18">
        <f t="shared" si="112"/>
        <v>0</v>
      </c>
    </row>
    <row r="321" spans="1:24">
      <c r="A321" s="29">
        <v>45702</v>
      </c>
      <c r="B321" s="409"/>
      <c r="C321" s="31"/>
      <c r="D321" s="295"/>
      <c r="E321" s="1"/>
      <c r="F321" s="1"/>
      <c r="G321" s="61"/>
      <c r="H321" s="61"/>
      <c r="I321" s="1"/>
      <c r="J321" s="1"/>
      <c r="K321" s="1"/>
      <c r="L321" s="1"/>
      <c r="M321" s="17"/>
      <c r="N321" s="17"/>
      <c r="O321" s="17"/>
      <c r="P321" s="17"/>
      <c r="Q321" s="22"/>
      <c r="R321" s="285"/>
      <c r="S321" s="285"/>
      <c r="T321" s="111"/>
      <c r="U321" s="111" t="str">
        <f t="shared" si="109"/>
        <v>Normal</v>
      </c>
      <c r="V321" s="111" t="str">
        <f t="shared" si="110"/>
        <v>Normal</v>
      </c>
      <c r="W321" s="18">
        <f t="shared" si="111"/>
        <v>0</v>
      </c>
      <c r="X321" s="18">
        <f t="shared" si="112"/>
        <v>0</v>
      </c>
    </row>
    <row r="322" spans="1:24">
      <c r="A322" s="29">
        <v>45703</v>
      </c>
      <c r="B322" s="409"/>
      <c r="C322" s="31"/>
      <c r="D322" s="295"/>
      <c r="E322" s="1"/>
      <c r="F322" s="1"/>
      <c r="G322" s="61"/>
      <c r="H322" s="61"/>
      <c r="I322" s="1"/>
      <c r="J322" s="1"/>
      <c r="K322" s="1"/>
      <c r="L322" s="1"/>
      <c r="M322" s="17"/>
      <c r="N322" s="17"/>
      <c r="O322" s="17"/>
      <c r="P322" s="17"/>
      <c r="Q322" s="22"/>
      <c r="R322" s="285"/>
      <c r="S322" s="285"/>
      <c r="T322" s="111"/>
      <c r="U322" s="111" t="str">
        <f t="shared" si="109"/>
        <v>Normal</v>
      </c>
      <c r="V322" s="111" t="str">
        <f t="shared" si="110"/>
        <v>Normal</v>
      </c>
      <c r="W322" s="18">
        <f t="shared" si="111"/>
        <v>0</v>
      </c>
      <c r="X322" s="18">
        <f t="shared" si="112"/>
        <v>0</v>
      </c>
    </row>
    <row r="323" spans="1:24">
      <c r="A323" s="29">
        <v>45704</v>
      </c>
      <c r="B323" s="409"/>
      <c r="C323" s="31"/>
      <c r="D323" s="295"/>
      <c r="E323" s="1"/>
      <c r="F323" s="1"/>
      <c r="G323" s="61"/>
      <c r="H323" s="61"/>
      <c r="I323" s="1"/>
      <c r="J323" s="1"/>
      <c r="K323" s="1"/>
      <c r="L323" s="1"/>
      <c r="M323" s="17"/>
      <c r="N323" s="17"/>
      <c r="O323" s="17"/>
      <c r="P323" s="17"/>
      <c r="Q323" s="22"/>
      <c r="R323" s="285"/>
      <c r="S323" s="285"/>
      <c r="T323" s="111"/>
      <c r="U323" s="111" t="str">
        <f t="shared" ref="U323:U366" si="113">IF(OR(G323&lt;$AC$5,G323&gt;$AD$5), "Outlier", "Normal")</f>
        <v>Normal</v>
      </c>
      <c r="V323" s="111" t="str">
        <f t="shared" ref="V323:V366" si="114">IF(OR(H323&lt;$AC$6,H323&gt;$AD$6), "Outlier", "Normal")</f>
        <v>Normal</v>
      </c>
      <c r="W323" s="18">
        <f t="shared" ref="W323:W366" si="115">IF(U323="Normal",$G323,IF($G323&lt;150%, $G323, $AC$9))</f>
        <v>0</v>
      </c>
      <c r="X323" s="18">
        <f t="shared" ref="X323:X366" si="116">IF(V323="Normal",$H323,IF($H323&lt;150%, $H323, $AG$9))</f>
        <v>0</v>
      </c>
    </row>
    <row r="324" spans="1:24">
      <c r="A324" s="29">
        <v>45705</v>
      </c>
      <c r="B324" s="409"/>
      <c r="C324" s="31"/>
      <c r="D324" s="295"/>
      <c r="E324" s="1"/>
      <c r="F324" s="1"/>
      <c r="G324" s="61"/>
      <c r="H324" s="61"/>
      <c r="I324" s="1"/>
      <c r="J324" s="1"/>
      <c r="K324" s="1"/>
      <c r="L324" s="1"/>
      <c r="M324" s="17"/>
      <c r="N324" s="17"/>
      <c r="O324" s="17"/>
      <c r="P324" s="17"/>
      <c r="Q324" s="22"/>
      <c r="R324" s="285"/>
      <c r="S324" s="285"/>
      <c r="T324" s="111"/>
      <c r="U324" s="111" t="str">
        <f t="shared" si="113"/>
        <v>Normal</v>
      </c>
      <c r="V324" s="111" t="str">
        <f t="shared" si="114"/>
        <v>Normal</v>
      </c>
      <c r="W324" s="18">
        <f t="shared" si="115"/>
        <v>0</v>
      </c>
      <c r="X324" s="18">
        <f t="shared" si="116"/>
        <v>0</v>
      </c>
    </row>
    <row r="325" spans="1:24">
      <c r="A325" s="29">
        <v>45706</v>
      </c>
      <c r="B325" s="409"/>
      <c r="C325" s="31"/>
      <c r="D325" s="295"/>
      <c r="E325" s="1"/>
      <c r="F325" s="1"/>
      <c r="G325" s="61"/>
      <c r="H325" s="61"/>
      <c r="I325" s="1"/>
      <c r="J325" s="1"/>
      <c r="K325" s="1"/>
      <c r="L325" s="1"/>
      <c r="M325" s="17"/>
      <c r="N325" s="17"/>
      <c r="O325" s="17"/>
      <c r="P325" s="17"/>
      <c r="Q325" s="22"/>
      <c r="R325" s="285"/>
      <c r="S325" s="285"/>
      <c r="T325" s="111"/>
      <c r="U325" s="111" t="str">
        <f t="shared" si="113"/>
        <v>Normal</v>
      </c>
      <c r="V325" s="111" t="str">
        <f t="shared" si="114"/>
        <v>Normal</v>
      </c>
      <c r="W325" s="18">
        <f t="shared" si="115"/>
        <v>0</v>
      </c>
      <c r="X325" s="18">
        <f t="shared" si="116"/>
        <v>0</v>
      </c>
    </row>
    <row r="326" spans="1:24">
      <c r="A326" s="29">
        <v>45707</v>
      </c>
      <c r="B326" s="409"/>
      <c r="C326" s="31"/>
      <c r="D326" s="295"/>
      <c r="E326" s="1"/>
      <c r="F326" s="1"/>
      <c r="G326" s="61"/>
      <c r="H326" s="61"/>
      <c r="I326" s="1"/>
      <c r="J326" s="1"/>
      <c r="K326" s="1"/>
      <c r="L326" s="1"/>
      <c r="M326" s="17"/>
      <c r="N326" s="17"/>
      <c r="O326" s="17"/>
      <c r="P326" s="17"/>
      <c r="Q326" s="22"/>
      <c r="R326" s="285"/>
      <c r="S326" s="285"/>
      <c r="T326" s="111"/>
      <c r="U326" s="111" t="str">
        <f t="shared" si="113"/>
        <v>Normal</v>
      </c>
      <c r="V326" s="111" t="str">
        <f t="shared" si="114"/>
        <v>Normal</v>
      </c>
      <c r="W326" s="18">
        <f t="shared" si="115"/>
        <v>0</v>
      </c>
      <c r="X326" s="18">
        <f t="shared" si="116"/>
        <v>0</v>
      </c>
    </row>
    <row r="327" spans="1:24">
      <c r="A327" s="29">
        <v>45708</v>
      </c>
      <c r="B327" s="409"/>
      <c r="C327" s="31"/>
      <c r="D327" s="295"/>
      <c r="E327" s="1"/>
      <c r="F327" s="1"/>
      <c r="G327" s="61"/>
      <c r="H327" s="61"/>
      <c r="I327" s="1"/>
      <c r="J327" s="1"/>
      <c r="K327" s="1"/>
      <c r="L327" s="1"/>
      <c r="M327" s="17"/>
      <c r="N327" s="17"/>
      <c r="O327" s="17"/>
      <c r="P327" s="17"/>
      <c r="Q327" s="22"/>
      <c r="R327" s="285"/>
      <c r="S327" s="285"/>
      <c r="T327" s="111"/>
      <c r="U327" s="111" t="str">
        <f t="shared" si="113"/>
        <v>Normal</v>
      </c>
      <c r="V327" s="111" t="str">
        <f t="shared" si="114"/>
        <v>Normal</v>
      </c>
      <c r="W327" s="18">
        <f t="shared" si="115"/>
        <v>0</v>
      </c>
      <c r="X327" s="18">
        <f t="shared" si="116"/>
        <v>0</v>
      </c>
    </row>
    <row r="328" spans="1:24">
      <c r="A328" s="29">
        <v>45709</v>
      </c>
      <c r="B328" s="409"/>
      <c r="C328" s="31"/>
      <c r="D328" s="295"/>
      <c r="E328" s="1"/>
      <c r="F328" s="1"/>
      <c r="G328" s="61"/>
      <c r="H328" s="61"/>
      <c r="I328" s="1"/>
      <c r="J328" s="1"/>
      <c r="K328" s="1"/>
      <c r="L328" s="1"/>
      <c r="M328" s="17"/>
      <c r="N328" s="17"/>
      <c r="O328" s="17"/>
      <c r="P328" s="17"/>
      <c r="Q328" s="22"/>
      <c r="R328" s="285"/>
      <c r="S328" s="285"/>
      <c r="T328" s="111"/>
      <c r="U328" s="111" t="str">
        <f t="shared" si="113"/>
        <v>Normal</v>
      </c>
      <c r="V328" s="111" t="str">
        <f t="shared" si="114"/>
        <v>Normal</v>
      </c>
      <c r="W328" s="18">
        <f t="shared" si="115"/>
        <v>0</v>
      </c>
      <c r="X328" s="18">
        <f t="shared" si="116"/>
        <v>0</v>
      </c>
    </row>
    <row r="329" spans="1:24">
      <c r="A329" s="29">
        <v>45710</v>
      </c>
      <c r="B329" s="409"/>
      <c r="C329" s="31"/>
      <c r="D329" s="295"/>
      <c r="E329" s="1"/>
      <c r="F329" s="1"/>
      <c r="G329" s="61"/>
      <c r="H329" s="61"/>
      <c r="I329" s="1"/>
      <c r="J329" s="1"/>
      <c r="K329" s="1"/>
      <c r="L329" s="1"/>
      <c r="M329" s="17"/>
      <c r="N329" s="17"/>
      <c r="O329" s="17"/>
      <c r="P329" s="17"/>
      <c r="Q329" s="22"/>
      <c r="R329" s="285"/>
      <c r="S329" s="285"/>
      <c r="T329" s="111"/>
      <c r="U329" s="111" t="str">
        <f t="shared" si="113"/>
        <v>Normal</v>
      </c>
      <c r="V329" s="111" t="str">
        <f t="shared" si="114"/>
        <v>Normal</v>
      </c>
      <c r="W329" s="18">
        <f t="shared" si="115"/>
        <v>0</v>
      </c>
      <c r="X329" s="18">
        <f t="shared" si="116"/>
        <v>0</v>
      </c>
    </row>
    <row r="330" spans="1:24">
      <c r="A330" s="29">
        <v>45711</v>
      </c>
      <c r="B330" s="409"/>
      <c r="C330" s="31"/>
      <c r="D330" s="295"/>
      <c r="E330" s="1"/>
      <c r="F330" s="1"/>
      <c r="G330" s="61"/>
      <c r="H330" s="61"/>
      <c r="I330" s="1"/>
      <c r="J330" s="1"/>
      <c r="K330" s="1"/>
      <c r="L330" s="1"/>
      <c r="M330" s="17"/>
      <c r="N330" s="17"/>
      <c r="O330" s="17"/>
      <c r="P330" s="17"/>
      <c r="Q330" s="22"/>
      <c r="R330" s="285"/>
      <c r="S330" s="285"/>
      <c r="T330" s="111"/>
      <c r="U330" s="111" t="str">
        <f t="shared" si="113"/>
        <v>Normal</v>
      </c>
      <c r="V330" s="111" t="str">
        <f t="shared" si="114"/>
        <v>Normal</v>
      </c>
      <c r="W330" s="18">
        <f t="shared" si="115"/>
        <v>0</v>
      </c>
      <c r="X330" s="18">
        <f t="shared" si="116"/>
        <v>0</v>
      </c>
    </row>
    <row r="331" spans="1:24">
      <c r="A331" s="29">
        <v>45712</v>
      </c>
      <c r="B331" s="409"/>
      <c r="C331" s="31"/>
      <c r="D331" s="295"/>
      <c r="E331" s="1"/>
      <c r="F331" s="1"/>
      <c r="G331" s="61"/>
      <c r="H331" s="61"/>
      <c r="I331" s="1"/>
      <c r="J331" s="1"/>
      <c r="K331" s="1"/>
      <c r="L331" s="1"/>
      <c r="M331" s="17"/>
      <c r="N331" s="17"/>
      <c r="O331" s="17"/>
      <c r="P331" s="17"/>
      <c r="Q331" s="22"/>
      <c r="R331" s="285"/>
      <c r="S331" s="285"/>
      <c r="T331" s="111"/>
      <c r="U331" s="111" t="str">
        <f t="shared" si="113"/>
        <v>Normal</v>
      </c>
      <c r="V331" s="111" t="str">
        <f t="shared" si="114"/>
        <v>Normal</v>
      </c>
      <c r="W331" s="18">
        <f t="shared" si="115"/>
        <v>0</v>
      </c>
      <c r="X331" s="18">
        <f t="shared" si="116"/>
        <v>0</v>
      </c>
    </row>
    <row r="332" spans="1:24">
      <c r="A332" s="29">
        <v>45713</v>
      </c>
      <c r="B332" s="409"/>
      <c r="C332" s="31"/>
      <c r="D332" s="295"/>
      <c r="E332" s="1"/>
      <c r="F332" s="1"/>
      <c r="G332" s="61"/>
      <c r="H332" s="61"/>
      <c r="I332" s="1"/>
      <c r="J332" s="1"/>
      <c r="K332" s="1"/>
      <c r="L332" s="1"/>
      <c r="M332" s="17"/>
      <c r="N332" s="17"/>
      <c r="O332" s="17"/>
      <c r="P332" s="17"/>
      <c r="Q332" s="22"/>
      <c r="R332" s="285"/>
      <c r="S332" s="285"/>
      <c r="T332" s="111"/>
      <c r="U332" s="111" t="str">
        <f t="shared" si="113"/>
        <v>Normal</v>
      </c>
      <c r="V332" s="111" t="str">
        <f t="shared" si="114"/>
        <v>Normal</v>
      </c>
      <c r="W332" s="18">
        <f t="shared" si="115"/>
        <v>0</v>
      </c>
      <c r="X332" s="18">
        <f t="shared" si="116"/>
        <v>0</v>
      </c>
    </row>
    <row r="333" spans="1:24">
      <c r="A333" s="29">
        <v>45714</v>
      </c>
      <c r="B333" s="409"/>
      <c r="C333" s="31"/>
      <c r="D333" s="295"/>
      <c r="E333" s="1"/>
      <c r="F333" s="1"/>
      <c r="G333" s="61"/>
      <c r="H333" s="61"/>
      <c r="I333" s="1"/>
      <c r="J333" s="1"/>
      <c r="K333" s="1"/>
      <c r="L333" s="1"/>
      <c r="M333" s="17"/>
      <c r="N333" s="17"/>
      <c r="O333" s="17"/>
      <c r="P333" s="17"/>
      <c r="Q333" s="22"/>
      <c r="R333" s="285"/>
      <c r="S333" s="285"/>
      <c r="T333" s="111"/>
      <c r="U333" s="111" t="str">
        <f t="shared" si="113"/>
        <v>Normal</v>
      </c>
      <c r="V333" s="111" t="str">
        <f t="shared" si="114"/>
        <v>Normal</v>
      </c>
      <c r="W333" s="18">
        <f t="shared" si="115"/>
        <v>0</v>
      </c>
      <c r="X333" s="18">
        <f t="shared" si="116"/>
        <v>0</v>
      </c>
    </row>
    <row r="334" spans="1:24">
      <c r="A334" s="29">
        <v>45715</v>
      </c>
      <c r="B334" s="409"/>
      <c r="C334" s="31"/>
      <c r="D334" s="295"/>
      <c r="E334" s="1"/>
      <c r="F334" s="1"/>
      <c r="G334" s="61"/>
      <c r="H334" s="61"/>
      <c r="I334" s="1"/>
      <c r="J334" s="1"/>
      <c r="K334" s="1"/>
      <c r="L334" s="1"/>
      <c r="M334" s="17"/>
      <c r="N334" s="17"/>
      <c r="O334" s="17"/>
      <c r="P334" s="17"/>
      <c r="Q334" s="22"/>
      <c r="R334" s="285"/>
      <c r="S334" s="285"/>
      <c r="T334" s="111"/>
      <c r="U334" s="111" t="str">
        <f t="shared" si="113"/>
        <v>Normal</v>
      </c>
      <c r="V334" s="111" t="str">
        <f t="shared" si="114"/>
        <v>Normal</v>
      </c>
      <c r="W334" s="18">
        <f t="shared" si="115"/>
        <v>0</v>
      </c>
      <c r="X334" s="18">
        <f t="shared" si="116"/>
        <v>0</v>
      </c>
    </row>
    <row r="335" spans="1:24" s="45" customFormat="1">
      <c r="A335" s="29">
        <v>45716</v>
      </c>
      <c r="B335" s="409"/>
      <c r="C335" s="46"/>
      <c r="D335" s="295"/>
      <c r="E335" s="1"/>
      <c r="F335" s="1"/>
      <c r="G335" s="61"/>
      <c r="H335" s="61"/>
      <c r="I335" s="1"/>
      <c r="J335" s="1"/>
      <c r="K335" s="1"/>
      <c r="L335" s="1"/>
      <c r="M335" s="17"/>
      <c r="N335" s="17"/>
      <c r="O335" s="17"/>
      <c r="P335" s="17"/>
      <c r="Q335" s="22"/>
      <c r="R335" s="285"/>
      <c r="S335" s="285"/>
      <c r="T335" s="111"/>
      <c r="U335" s="111" t="str">
        <f t="shared" si="113"/>
        <v>Normal</v>
      </c>
      <c r="V335" s="111" t="str">
        <f t="shared" si="114"/>
        <v>Normal</v>
      </c>
      <c r="W335" s="18">
        <f t="shared" si="115"/>
        <v>0</v>
      </c>
      <c r="X335" s="18">
        <f t="shared" si="116"/>
        <v>0</v>
      </c>
    </row>
    <row r="336" spans="1:24">
      <c r="A336" s="29">
        <v>45717</v>
      </c>
      <c r="B336" s="409"/>
      <c r="C336" s="31"/>
      <c r="D336" s="295"/>
      <c r="E336" s="1"/>
      <c r="F336" s="1"/>
      <c r="G336" s="61"/>
      <c r="H336" s="61"/>
      <c r="I336" s="1"/>
      <c r="J336" s="1"/>
      <c r="K336" s="1"/>
      <c r="L336" s="1"/>
      <c r="M336" s="17"/>
      <c r="N336" s="17"/>
      <c r="O336" s="17"/>
      <c r="P336" s="17"/>
      <c r="Q336" s="22"/>
      <c r="R336" s="285"/>
      <c r="S336" s="285"/>
      <c r="T336" s="111"/>
      <c r="U336" s="111" t="str">
        <f t="shared" si="113"/>
        <v>Normal</v>
      </c>
      <c r="V336" s="111" t="str">
        <f t="shared" si="114"/>
        <v>Normal</v>
      </c>
      <c r="W336" s="18">
        <f t="shared" si="115"/>
        <v>0</v>
      </c>
      <c r="X336" s="18">
        <f t="shared" si="116"/>
        <v>0</v>
      </c>
    </row>
    <row r="337" spans="1:24">
      <c r="A337" s="29">
        <v>45718</v>
      </c>
      <c r="B337" s="409"/>
      <c r="C337" s="31"/>
      <c r="D337" s="295"/>
      <c r="E337" s="1"/>
      <c r="F337" s="1"/>
      <c r="G337" s="61"/>
      <c r="H337" s="61"/>
      <c r="I337" s="1"/>
      <c r="J337" s="1"/>
      <c r="K337" s="1"/>
      <c r="L337" s="1"/>
      <c r="M337" s="17"/>
      <c r="N337" s="17"/>
      <c r="O337" s="17"/>
      <c r="P337" s="17"/>
      <c r="Q337" s="22"/>
      <c r="R337" s="285"/>
      <c r="S337" s="285"/>
      <c r="T337" s="111"/>
      <c r="U337" s="111" t="str">
        <f t="shared" si="113"/>
        <v>Normal</v>
      </c>
      <c r="V337" s="111" t="str">
        <f t="shared" si="114"/>
        <v>Normal</v>
      </c>
      <c r="W337" s="18">
        <f t="shared" si="115"/>
        <v>0</v>
      </c>
      <c r="X337" s="18">
        <f t="shared" si="116"/>
        <v>0</v>
      </c>
    </row>
    <row r="338" spans="1:24">
      <c r="A338" s="29">
        <v>45719</v>
      </c>
      <c r="B338" s="409"/>
      <c r="C338" s="31"/>
      <c r="D338" s="295"/>
      <c r="E338" s="1"/>
      <c r="F338" s="1"/>
      <c r="G338" s="61"/>
      <c r="H338" s="61"/>
      <c r="I338" s="1"/>
      <c r="J338" s="1"/>
      <c r="K338" s="1"/>
      <c r="L338" s="1"/>
      <c r="M338" s="17"/>
      <c r="N338" s="17"/>
      <c r="O338" s="17"/>
      <c r="P338" s="17"/>
      <c r="Q338" s="22"/>
      <c r="R338" s="285"/>
      <c r="S338" s="285"/>
      <c r="T338" s="111"/>
      <c r="U338" s="111" t="str">
        <f t="shared" si="113"/>
        <v>Normal</v>
      </c>
      <c r="V338" s="111" t="str">
        <f t="shared" si="114"/>
        <v>Normal</v>
      </c>
      <c r="W338" s="18">
        <f t="shared" si="115"/>
        <v>0</v>
      </c>
      <c r="X338" s="18">
        <f t="shared" si="116"/>
        <v>0</v>
      </c>
    </row>
    <row r="339" spans="1:24">
      <c r="A339" s="29">
        <v>45720</v>
      </c>
      <c r="B339" s="409"/>
      <c r="C339" s="31"/>
      <c r="D339" s="295"/>
      <c r="E339" s="1"/>
      <c r="F339" s="1"/>
      <c r="G339" s="61"/>
      <c r="H339" s="61"/>
      <c r="I339" s="1"/>
      <c r="J339" s="1"/>
      <c r="K339" s="1"/>
      <c r="L339" s="1"/>
      <c r="M339" s="17"/>
      <c r="N339" s="17"/>
      <c r="O339" s="17"/>
      <c r="P339" s="17"/>
      <c r="Q339" s="22"/>
      <c r="R339" s="285"/>
      <c r="S339" s="285"/>
      <c r="T339" s="111"/>
      <c r="U339" s="111" t="str">
        <f t="shared" si="113"/>
        <v>Normal</v>
      </c>
      <c r="V339" s="111" t="str">
        <f t="shared" si="114"/>
        <v>Normal</v>
      </c>
      <c r="W339" s="18">
        <f t="shared" si="115"/>
        <v>0</v>
      </c>
      <c r="X339" s="18">
        <f t="shared" si="116"/>
        <v>0</v>
      </c>
    </row>
    <row r="340" spans="1:24">
      <c r="A340" s="29">
        <v>45721</v>
      </c>
      <c r="B340" s="409"/>
      <c r="C340" s="31"/>
      <c r="D340" s="295"/>
      <c r="E340" s="1"/>
      <c r="F340" s="1"/>
      <c r="G340" s="61"/>
      <c r="H340" s="61"/>
      <c r="I340" s="1"/>
      <c r="J340" s="1"/>
      <c r="K340" s="1"/>
      <c r="L340" s="1"/>
      <c r="M340" s="17"/>
      <c r="N340" s="17"/>
      <c r="O340" s="17"/>
      <c r="P340" s="17"/>
      <c r="Q340" s="22"/>
      <c r="R340" s="285"/>
      <c r="S340" s="285"/>
      <c r="T340" s="111"/>
      <c r="U340" s="111" t="str">
        <f t="shared" si="113"/>
        <v>Normal</v>
      </c>
      <c r="V340" s="111" t="str">
        <f t="shared" si="114"/>
        <v>Normal</v>
      </c>
      <c r="W340" s="18">
        <f t="shared" si="115"/>
        <v>0</v>
      </c>
      <c r="X340" s="18">
        <f t="shared" si="116"/>
        <v>0</v>
      </c>
    </row>
    <row r="341" spans="1:24">
      <c r="A341" s="29">
        <v>45722</v>
      </c>
      <c r="B341" s="409"/>
      <c r="C341" s="31"/>
      <c r="D341" s="295"/>
      <c r="E341" s="1"/>
      <c r="F341" s="1"/>
      <c r="G341" s="61"/>
      <c r="H341" s="61"/>
      <c r="I341" s="1"/>
      <c r="J341" s="1"/>
      <c r="K341" s="1"/>
      <c r="L341" s="1"/>
      <c r="M341" s="17"/>
      <c r="N341" s="17"/>
      <c r="O341" s="17"/>
      <c r="P341" s="17"/>
      <c r="Q341" s="22"/>
      <c r="R341" s="285"/>
      <c r="S341" s="285"/>
      <c r="T341" s="111"/>
      <c r="U341" s="111" t="str">
        <f t="shared" si="113"/>
        <v>Normal</v>
      </c>
      <c r="V341" s="111" t="str">
        <f t="shared" si="114"/>
        <v>Normal</v>
      </c>
      <c r="W341" s="18">
        <f t="shared" si="115"/>
        <v>0</v>
      </c>
      <c r="X341" s="18">
        <f t="shared" si="116"/>
        <v>0</v>
      </c>
    </row>
    <row r="342" spans="1:24">
      <c r="A342" s="29">
        <v>45723</v>
      </c>
      <c r="B342" s="409"/>
      <c r="C342" s="31"/>
      <c r="D342" s="295"/>
      <c r="E342" s="1"/>
      <c r="F342" s="1"/>
      <c r="G342" s="61"/>
      <c r="H342" s="61"/>
      <c r="I342" s="1"/>
      <c r="J342" s="1"/>
      <c r="K342" s="1"/>
      <c r="L342" s="1"/>
      <c r="M342" s="17"/>
      <c r="N342" s="17"/>
      <c r="O342" s="17"/>
      <c r="P342" s="17"/>
      <c r="Q342" s="22"/>
      <c r="R342" s="285"/>
      <c r="S342" s="285"/>
      <c r="T342" s="111"/>
      <c r="U342" s="111" t="str">
        <f t="shared" si="113"/>
        <v>Normal</v>
      </c>
      <c r="V342" s="111" t="str">
        <f t="shared" si="114"/>
        <v>Normal</v>
      </c>
      <c r="W342" s="18">
        <f t="shared" si="115"/>
        <v>0</v>
      </c>
      <c r="X342" s="18">
        <f t="shared" si="116"/>
        <v>0</v>
      </c>
    </row>
    <row r="343" spans="1:24">
      <c r="A343" s="29">
        <v>45724</v>
      </c>
      <c r="B343" s="409"/>
      <c r="C343" s="31"/>
      <c r="D343" s="295"/>
      <c r="E343" s="1"/>
      <c r="F343" s="1"/>
      <c r="G343" s="61"/>
      <c r="H343" s="61"/>
      <c r="I343" s="1"/>
      <c r="J343" s="1"/>
      <c r="K343" s="1"/>
      <c r="L343" s="1"/>
      <c r="M343" s="17"/>
      <c r="N343" s="17"/>
      <c r="O343" s="17"/>
      <c r="P343" s="17"/>
      <c r="Q343" s="22"/>
      <c r="R343" s="285"/>
      <c r="S343" s="285"/>
      <c r="T343" s="111"/>
      <c r="U343" s="111" t="str">
        <f t="shared" si="113"/>
        <v>Normal</v>
      </c>
      <c r="V343" s="111" t="str">
        <f t="shared" si="114"/>
        <v>Normal</v>
      </c>
      <c r="W343" s="18">
        <f t="shared" si="115"/>
        <v>0</v>
      </c>
      <c r="X343" s="18">
        <f t="shared" si="116"/>
        <v>0</v>
      </c>
    </row>
    <row r="344" spans="1:24">
      <c r="A344" s="29">
        <v>45725</v>
      </c>
      <c r="B344" s="409"/>
      <c r="C344" s="31"/>
      <c r="D344" s="295"/>
      <c r="E344" s="1"/>
      <c r="F344" s="1"/>
      <c r="G344" s="61"/>
      <c r="H344" s="61"/>
      <c r="I344" s="1"/>
      <c r="J344" s="1"/>
      <c r="K344" s="1"/>
      <c r="L344" s="1"/>
      <c r="M344" s="17"/>
      <c r="N344" s="17"/>
      <c r="O344" s="17"/>
      <c r="P344" s="17"/>
      <c r="Q344" s="22"/>
      <c r="R344" s="285"/>
      <c r="S344" s="285"/>
      <c r="T344" s="111"/>
      <c r="U344" s="111" t="str">
        <f t="shared" si="113"/>
        <v>Normal</v>
      </c>
      <c r="V344" s="111" t="str">
        <f t="shared" si="114"/>
        <v>Normal</v>
      </c>
      <c r="W344" s="18">
        <f t="shared" si="115"/>
        <v>0</v>
      </c>
      <c r="X344" s="18">
        <f t="shared" si="116"/>
        <v>0</v>
      </c>
    </row>
    <row r="345" spans="1:24">
      <c r="A345" s="29">
        <v>45726</v>
      </c>
      <c r="B345" s="409"/>
      <c r="C345" s="31"/>
      <c r="D345" s="295"/>
      <c r="E345" s="1"/>
      <c r="F345" s="1"/>
      <c r="G345" s="61"/>
      <c r="H345" s="61"/>
      <c r="I345" s="1"/>
      <c r="J345" s="1"/>
      <c r="K345" s="1"/>
      <c r="L345" s="1"/>
      <c r="M345" s="17"/>
      <c r="N345" s="17"/>
      <c r="O345" s="17"/>
      <c r="P345" s="17"/>
      <c r="Q345" s="22"/>
      <c r="R345" s="285"/>
      <c r="S345" s="285"/>
      <c r="T345" s="111"/>
      <c r="U345" s="111" t="str">
        <f t="shared" si="113"/>
        <v>Normal</v>
      </c>
      <c r="V345" s="111" t="str">
        <f t="shared" si="114"/>
        <v>Normal</v>
      </c>
      <c r="W345" s="18">
        <f t="shared" si="115"/>
        <v>0</v>
      </c>
      <c r="X345" s="18">
        <f t="shared" si="116"/>
        <v>0</v>
      </c>
    </row>
    <row r="346" spans="1:24">
      <c r="A346" s="29">
        <v>45727</v>
      </c>
      <c r="B346" s="409"/>
      <c r="C346" s="31"/>
      <c r="D346" s="295"/>
      <c r="E346" s="1"/>
      <c r="F346" s="1"/>
      <c r="G346" s="61"/>
      <c r="H346" s="61"/>
      <c r="I346" s="1"/>
      <c r="J346" s="1"/>
      <c r="K346" s="1"/>
      <c r="L346" s="1"/>
      <c r="M346" s="17"/>
      <c r="N346" s="17"/>
      <c r="O346" s="17"/>
      <c r="P346" s="17"/>
      <c r="Q346" s="22"/>
      <c r="R346" s="285"/>
      <c r="S346" s="285"/>
      <c r="T346" s="111"/>
      <c r="U346" s="111" t="str">
        <f t="shared" si="113"/>
        <v>Normal</v>
      </c>
      <c r="V346" s="111" t="str">
        <f t="shared" si="114"/>
        <v>Normal</v>
      </c>
      <c r="W346" s="18">
        <f t="shared" si="115"/>
        <v>0</v>
      </c>
      <c r="X346" s="18">
        <f t="shared" si="116"/>
        <v>0</v>
      </c>
    </row>
    <row r="347" spans="1:24">
      <c r="A347" s="29">
        <v>45728</v>
      </c>
      <c r="B347" s="409"/>
      <c r="C347" s="31"/>
      <c r="D347" s="295"/>
      <c r="E347" s="1"/>
      <c r="F347" s="1"/>
      <c r="G347" s="61"/>
      <c r="H347" s="61"/>
      <c r="I347" s="1"/>
      <c r="J347" s="1"/>
      <c r="K347" s="1"/>
      <c r="L347" s="1"/>
      <c r="M347" s="17"/>
      <c r="N347" s="17"/>
      <c r="O347" s="17"/>
      <c r="P347" s="17"/>
      <c r="Q347" s="22"/>
      <c r="R347" s="285"/>
      <c r="S347" s="285"/>
      <c r="T347" s="111"/>
      <c r="U347" s="111" t="str">
        <f t="shared" si="113"/>
        <v>Normal</v>
      </c>
      <c r="V347" s="111" t="str">
        <f t="shared" si="114"/>
        <v>Normal</v>
      </c>
      <c r="W347" s="18">
        <f t="shared" si="115"/>
        <v>0</v>
      </c>
      <c r="X347" s="18">
        <f t="shared" si="116"/>
        <v>0</v>
      </c>
    </row>
    <row r="348" spans="1:24">
      <c r="A348" s="29">
        <v>45729</v>
      </c>
      <c r="B348" s="409"/>
      <c r="C348" s="31"/>
      <c r="D348" s="295"/>
      <c r="E348" s="1"/>
      <c r="F348" s="1"/>
      <c r="G348" s="61"/>
      <c r="H348" s="61"/>
      <c r="I348" s="1"/>
      <c r="J348" s="1"/>
      <c r="K348" s="1"/>
      <c r="L348" s="1"/>
      <c r="M348" s="17"/>
      <c r="N348" s="17"/>
      <c r="O348" s="17"/>
      <c r="P348" s="17"/>
      <c r="Q348" s="22"/>
      <c r="R348" s="285"/>
      <c r="S348" s="285"/>
      <c r="T348" s="111"/>
      <c r="U348" s="111" t="str">
        <f t="shared" si="113"/>
        <v>Normal</v>
      </c>
      <c r="V348" s="111" t="str">
        <f t="shared" si="114"/>
        <v>Normal</v>
      </c>
      <c r="W348" s="18">
        <f t="shared" si="115"/>
        <v>0</v>
      </c>
      <c r="X348" s="18">
        <f t="shared" si="116"/>
        <v>0</v>
      </c>
    </row>
    <row r="349" spans="1:24">
      <c r="A349" s="29">
        <v>45730</v>
      </c>
      <c r="B349" s="409"/>
      <c r="C349" s="31"/>
      <c r="D349" s="295"/>
      <c r="E349" s="1"/>
      <c r="F349" s="1"/>
      <c r="G349" s="61"/>
      <c r="H349" s="61"/>
      <c r="I349" s="1"/>
      <c r="J349" s="1"/>
      <c r="K349" s="1"/>
      <c r="L349" s="1"/>
      <c r="M349" s="17"/>
      <c r="N349" s="17"/>
      <c r="O349" s="17"/>
      <c r="P349" s="17"/>
      <c r="Q349" s="22"/>
      <c r="R349" s="285"/>
      <c r="S349" s="285"/>
      <c r="T349" s="111"/>
      <c r="U349" s="111" t="str">
        <f t="shared" si="113"/>
        <v>Normal</v>
      </c>
      <c r="V349" s="111" t="str">
        <f t="shared" si="114"/>
        <v>Normal</v>
      </c>
      <c r="W349" s="18">
        <f t="shared" si="115"/>
        <v>0</v>
      </c>
      <c r="X349" s="18">
        <f t="shared" si="116"/>
        <v>0</v>
      </c>
    </row>
    <row r="350" spans="1:24">
      <c r="A350" s="29">
        <v>45731</v>
      </c>
      <c r="B350" s="409"/>
      <c r="C350" s="31"/>
      <c r="D350" s="295"/>
      <c r="E350" s="1"/>
      <c r="F350" s="1"/>
      <c r="G350" s="61"/>
      <c r="H350" s="61"/>
      <c r="I350" s="1"/>
      <c r="J350" s="1"/>
      <c r="K350" s="1"/>
      <c r="L350" s="1"/>
      <c r="M350" s="17"/>
      <c r="N350" s="17"/>
      <c r="O350" s="17"/>
      <c r="P350" s="17"/>
      <c r="Q350" s="22"/>
      <c r="R350" s="285"/>
      <c r="S350" s="285"/>
      <c r="T350" s="111"/>
      <c r="U350" s="111" t="str">
        <f t="shared" si="113"/>
        <v>Normal</v>
      </c>
      <c r="V350" s="111" t="str">
        <f t="shared" si="114"/>
        <v>Normal</v>
      </c>
      <c r="W350" s="18">
        <f t="shared" si="115"/>
        <v>0</v>
      </c>
      <c r="X350" s="18">
        <f t="shared" si="116"/>
        <v>0</v>
      </c>
    </row>
    <row r="351" spans="1:24">
      <c r="A351" s="29">
        <v>45732</v>
      </c>
      <c r="B351" s="409"/>
      <c r="C351" s="31"/>
      <c r="D351" s="295"/>
      <c r="E351" s="1"/>
      <c r="F351" s="1"/>
      <c r="G351" s="61"/>
      <c r="H351" s="61"/>
      <c r="I351" s="1"/>
      <c r="J351" s="1"/>
      <c r="K351" s="1"/>
      <c r="L351" s="1"/>
      <c r="M351" s="17"/>
      <c r="N351" s="17"/>
      <c r="O351" s="17"/>
      <c r="P351" s="17"/>
      <c r="Q351" s="22"/>
      <c r="R351" s="285"/>
      <c r="S351" s="285"/>
      <c r="T351" s="111"/>
      <c r="U351" s="111" t="str">
        <f t="shared" si="113"/>
        <v>Normal</v>
      </c>
      <c r="V351" s="111" t="str">
        <f t="shared" si="114"/>
        <v>Normal</v>
      </c>
      <c r="W351" s="18">
        <f t="shared" si="115"/>
        <v>0</v>
      </c>
      <c r="X351" s="18">
        <f t="shared" si="116"/>
        <v>0</v>
      </c>
    </row>
    <row r="352" spans="1:24">
      <c r="A352" s="29">
        <v>45733</v>
      </c>
      <c r="B352" s="409"/>
      <c r="C352" s="31"/>
      <c r="D352" s="295"/>
      <c r="E352" s="1"/>
      <c r="F352" s="1"/>
      <c r="G352" s="61"/>
      <c r="H352" s="61"/>
      <c r="I352" s="1"/>
      <c r="J352" s="1"/>
      <c r="K352" s="1"/>
      <c r="L352" s="1"/>
      <c r="M352" s="17"/>
      <c r="N352" s="17"/>
      <c r="O352" s="17"/>
      <c r="P352" s="17"/>
      <c r="Q352" s="22"/>
      <c r="R352" s="285"/>
      <c r="S352" s="285"/>
      <c r="T352" s="111"/>
      <c r="U352" s="111" t="str">
        <f t="shared" si="113"/>
        <v>Normal</v>
      </c>
      <c r="V352" s="111" t="str">
        <f t="shared" si="114"/>
        <v>Normal</v>
      </c>
      <c r="W352" s="18">
        <f t="shared" si="115"/>
        <v>0</v>
      </c>
      <c r="X352" s="18">
        <f t="shared" si="116"/>
        <v>0</v>
      </c>
    </row>
    <row r="353" spans="1:24">
      <c r="A353" s="29">
        <v>45734</v>
      </c>
      <c r="B353" s="409"/>
      <c r="C353" s="31"/>
      <c r="D353" s="295"/>
      <c r="E353" s="1"/>
      <c r="F353" s="1"/>
      <c r="G353" s="61"/>
      <c r="H353" s="61"/>
      <c r="I353" s="1"/>
      <c r="J353" s="1"/>
      <c r="K353" s="1"/>
      <c r="L353" s="1"/>
      <c r="M353" s="17"/>
      <c r="N353" s="17"/>
      <c r="O353" s="17"/>
      <c r="P353" s="17"/>
      <c r="Q353" s="22"/>
      <c r="R353" s="285"/>
      <c r="S353" s="285"/>
      <c r="T353" s="111"/>
      <c r="U353" s="111" t="str">
        <f t="shared" si="113"/>
        <v>Normal</v>
      </c>
      <c r="V353" s="111" t="str">
        <f t="shared" si="114"/>
        <v>Normal</v>
      </c>
      <c r="W353" s="18">
        <f t="shared" si="115"/>
        <v>0</v>
      </c>
      <c r="X353" s="18">
        <f t="shared" si="116"/>
        <v>0</v>
      </c>
    </row>
    <row r="354" spans="1:24">
      <c r="A354" s="29">
        <v>45735</v>
      </c>
      <c r="B354" s="409"/>
      <c r="C354" s="31"/>
      <c r="D354" s="295"/>
      <c r="E354" s="1"/>
      <c r="F354" s="1"/>
      <c r="G354" s="61"/>
      <c r="H354" s="61"/>
      <c r="I354" s="1"/>
      <c r="J354" s="1"/>
      <c r="K354" s="1"/>
      <c r="L354" s="1"/>
      <c r="M354" s="17"/>
      <c r="N354" s="17"/>
      <c r="O354" s="17"/>
      <c r="P354" s="17"/>
      <c r="Q354" s="22"/>
      <c r="R354" s="285"/>
      <c r="S354" s="285"/>
      <c r="T354" s="111"/>
      <c r="U354" s="111" t="str">
        <f t="shared" si="113"/>
        <v>Normal</v>
      </c>
      <c r="V354" s="111" t="str">
        <f t="shared" si="114"/>
        <v>Normal</v>
      </c>
      <c r="W354" s="18">
        <f t="shared" si="115"/>
        <v>0</v>
      </c>
      <c r="X354" s="18">
        <f t="shared" si="116"/>
        <v>0</v>
      </c>
    </row>
    <row r="355" spans="1:24">
      <c r="A355" s="29">
        <v>45736</v>
      </c>
      <c r="B355" s="409"/>
      <c r="C355" s="31"/>
      <c r="D355" s="295"/>
      <c r="E355" s="1"/>
      <c r="F355" s="1"/>
      <c r="G355" s="61"/>
      <c r="H355" s="61"/>
      <c r="I355" s="1"/>
      <c r="J355" s="1"/>
      <c r="K355" s="1"/>
      <c r="L355" s="1"/>
      <c r="M355" s="17"/>
      <c r="N355" s="17"/>
      <c r="O355" s="17"/>
      <c r="P355" s="17"/>
      <c r="Q355" s="22"/>
      <c r="R355" s="285"/>
      <c r="S355" s="285"/>
      <c r="T355" s="111"/>
      <c r="U355" s="111" t="str">
        <f t="shared" si="113"/>
        <v>Normal</v>
      </c>
      <c r="V355" s="111" t="str">
        <f t="shared" si="114"/>
        <v>Normal</v>
      </c>
      <c r="W355" s="18">
        <f t="shared" si="115"/>
        <v>0</v>
      </c>
      <c r="X355" s="18">
        <f t="shared" si="116"/>
        <v>0</v>
      </c>
    </row>
    <row r="356" spans="1:24">
      <c r="A356" s="29">
        <v>45737</v>
      </c>
      <c r="B356" s="409"/>
      <c r="C356" s="31"/>
      <c r="D356" s="295"/>
      <c r="E356" s="1"/>
      <c r="F356" s="1"/>
      <c r="G356" s="61"/>
      <c r="H356" s="61"/>
      <c r="I356" s="1"/>
      <c r="J356" s="1"/>
      <c r="K356" s="1"/>
      <c r="L356" s="1"/>
      <c r="M356" s="17"/>
      <c r="N356" s="17"/>
      <c r="O356" s="17"/>
      <c r="P356" s="17"/>
      <c r="Q356" s="22"/>
      <c r="R356" s="285"/>
      <c r="S356" s="285"/>
      <c r="T356" s="111"/>
      <c r="U356" s="111" t="str">
        <f t="shared" si="113"/>
        <v>Normal</v>
      </c>
      <c r="V356" s="111" t="str">
        <f t="shared" si="114"/>
        <v>Normal</v>
      </c>
      <c r="W356" s="18">
        <f t="shared" si="115"/>
        <v>0</v>
      </c>
      <c r="X356" s="18">
        <f t="shared" si="116"/>
        <v>0</v>
      </c>
    </row>
    <row r="357" spans="1:24">
      <c r="A357" s="29">
        <v>45738</v>
      </c>
      <c r="B357" s="409"/>
      <c r="C357" s="31"/>
      <c r="D357" s="295"/>
      <c r="E357" s="1"/>
      <c r="F357" s="1"/>
      <c r="G357" s="61"/>
      <c r="H357" s="61"/>
      <c r="I357" s="1"/>
      <c r="J357" s="1"/>
      <c r="K357" s="1"/>
      <c r="L357" s="1"/>
      <c r="M357" s="17"/>
      <c r="N357" s="17"/>
      <c r="O357" s="17"/>
      <c r="P357" s="17"/>
      <c r="Q357" s="22"/>
      <c r="R357" s="285"/>
      <c r="S357" s="285"/>
      <c r="T357" s="111"/>
      <c r="U357" s="111" t="str">
        <f t="shared" si="113"/>
        <v>Normal</v>
      </c>
      <c r="V357" s="111" t="str">
        <f t="shared" si="114"/>
        <v>Normal</v>
      </c>
      <c r="W357" s="18">
        <f t="shared" si="115"/>
        <v>0</v>
      </c>
      <c r="X357" s="18">
        <f t="shared" si="116"/>
        <v>0</v>
      </c>
    </row>
    <row r="358" spans="1:24">
      <c r="A358" s="29">
        <v>45739</v>
      </c>
      <c r="B358" s="409"/>
      <c r="C358" s="31"/>
      <c r="D358" s="295"/>
      <c r="E358" s="1"/>
      <c r="F358" s="1"/>
      <c r="G358" s="61"/>
      <c r="H358" s="61"/>
      <c r="I358" s="1"/>
      <c r="J358" s="1"/>
      <c r="K358" s="1"/>
      <c r="L358" s="1"/>
      <c r="M358" s="17"/>
      <c r="N358" s="17"/>
      <c r="O358" s="17"/>
      <c r="P358" s="17"/>
      <c r="Q358" s="22"/>
      <c r="R358" s="285"/>
      <c r="S358" s="285"/>
      <c r="T358" s="111"/>
      <c r="U358" s="111" t="str">
        <f t="shared" si="113"/>
        <v>Normal</v>
      </c>
      <c r="V358" s="111" t="str">
        <f t="shared" si="114"/>
        <v>Normal</v>
      </c>
      <c r="W358" s="18">
        <f t="shared" si="115"/>
        <v>0</v>
      </c>
      <c r="X358" s="18">
        <f t="shared" si="116"/>
        <v>0</v>
      </c>
    </row>
    <row r="359" spans="1:24">
      <c r="A359" s="29">
        <v>45740</v>
      </c>
      <c r="B359" s="409"/>
      <c r="C359" s="31"/>
      <c r="D359" s="295"/>
      <c r="E359" s="1"/>
      <c r="F359" s="1"/>
      <c r="G359" s="61"/>
      <c r="H359" s="61"/>
      <c r="I359" s="1"/>
      <c r="J359" s="1"/>
      <c r="K359" s="1"/>
      <c r="L359" s="1"/>
      <c r="M359" s="17"/>
      <c r="N359" s="17"/>
      <c r="O359" s="17"/>
      <c r="P359" s="17"/>
      <c r="Q359" s="22"/>
      <c r="R359" s="285"/>
      <c r="S359" s="285"/>
      <c r="T359" s="111"/>
      <c r="U359" s="111" t="str">
        <f t="shared" si="113"/>
        <v>Normal</v>
      </c>
      <c r="V359" s="111" t="str">
        <f t="shared" si="114"/>
        <v>Normal</v>
      </c>
      <c r="W359" s="18">
        <f t="shared" si="115"/>
        <v>0</v>
      </c>
      <c r="X359" s="18">
        <f t="shared" si="116"/>
        <v>0</v>
      </c>
    </row>
    <row r="360" spans="1:24">
      <c r="A360" s="29">
        <v>45741</v>
      </c>
      <c r="B360" s="409"/>
      <c r="C360" s="31"/>
      <c r="D360" s="295"/>
      <c r="E360" s="1"/>
      <c r="F360" s="1"/>
      <c r="G360" s="61"/>
      <c r="H360" s="61"/>
      <c r="I360" s="1"/>
      <c r="J360" s="1"/>
      <c r="K360" s="1"/>
      <c r="L360" s="1"/>
      <c r="M360" s="17"/>
      <c r="N360" s="17"/>
      <c r="O360" s="17"/>
      <c r="P360" s="17"/>
      <c r="Q360" s="22"/>
      <c r="R360" s="285"/>
      <c r="S360" s="285"/>
      <c r="T360" s="111"/>
      <c r="U360" s="111" t="str">
        <f t="shared" si="113"/>
        <v>Normal</v>
      </c>
      <c r="V360" s="111" t="str">
        <f t="shared" si="114"/>
        <v>Normal</v>
      </c>
      <c r="W360" s="18">
        <f t="shared" si="115"/>
        <v>0</v>
      </c>
      <c r="X360" s="18">
        <f t="shared" si="116"/>
        <v>0</v>
      </c>
    </row>
    <row r="361" spans="1:24">
      <c r="A361" s="29">
        <v>45742</v>
      </c>
      <c r="B361" s="409"/>
      <c r="C361" s="31"/>
      <c r="D361" s="295"/>
      <c r="E361" s="1"/>
      <c r="F361" s="1"/>
      <c r="G361" s="61"/>
      <c r="H361" s="61"/>
      <c r="I361" s="1"/>
      <c r="J361" s="1"/>
      <c r="K361" s="1"/>
      <c r="L361" s="1"/>
      <c r="M361" s="17"/>
      <c r="N361" s="17"/>
      <c r="O361" s="17"/>
      <c r="P361" s="17"/>
      <c r="Q361" s="22"/>
      <c r="R361" s="285"/>
      <c r="S361" s="285"/>
      <c r="T361" s="111"/>
      <c r="U361" s="111" t="str">
        <f t="shared" si="113"/>
        <v>Normal</v>
      </c>
      <c r="V361" s="111" t="str">
        <f t="shared" si="114"/>
        <v>Normal</v>
      </c>
      <c r="W361" s="18">
        <f t="shared" si="115"/>
        <v>0</v>
      </c>
      <c r="X361" s="18">
        <f t="shared" si="116"/>
        <v>0</v>
      </c>
    </row>
    <row r="362" spans="1:24">
      <c r="A362" s="29">
        <v>45743</v>
      </c>
      <c r="B362" s="409"/>
      <c r="C362" s="31"/>
      <c r="D362" s="295"/>
      <c r="E362" s="1"/>
      <c r="F362" s="1"/>
      <c r="G362" s="61"/>
      <c r="H362" s="61"/>
      <c r="I362" s="1"/>
      <c r="J362" s="1"/>
      <c r="K362" s="1"/>
      <c r="L362" s="1"/>
      <c r="M362" s="17"/>
      <c r="N362" s="17"/>
      <c r="O362" s="17"/>
      <c r="P362" s="17"/>
      <c r="Q362" s="22"/>
      <c r="R362" s="285"/>
      <c r="S362" s="285"/>
      <c r="T362" s="111"/>
      <c r="U362" s="111" t="str">
        <f t="shared" si="113"/>
        <v>Normal</v>
      </c>
      <c r="V362" s="111" t="str">
        <f t="shared" si="114"/>
        <v>Normal</v>
      </c>
      <c r="W362" s="18">
        <f t="shared" si="115"/>
        <v>0</v>
      </c>
      <c r="X362" s="18">
        <f t="shared" si="116"/>
        <v>0</v>
      </c>
    </row>
    <row r="363" spans="1:24">
      <c r="A363" s="29">
        <v>45744</v>
      </c>
      <c r="B363" s="409"/>
      <c r="C363" s="31"/>
      <c r="D363" s="295"/>
      <c r="E363" s="1"/>
      <c r="F363" s="1"/>
      <c r="G363" s="61"/>
      <c r="H363" s="61"/>
      <c r="I363" s="1"/>
      <c r="J363" s="1"/>
      <c r="K363" s="1"/>
      <c r="L363" s="1"/>
      <c r="M363" s="17"/>
      <c r="N363" s="17"/>
      <c r="O363" s="17"/>
      <c r="P363" s="17"/>
      <c r="Q363" s="22"/>
      <c r="R363" s="285"/>
      <c r="S363" s="285"/>
      <c r="T363" s="111"/>
      <c r="U363" s="111" t="str">
        <f t="shared" si="113"/>
        <v>Normal</v>
      </c>
      <c r="V363" s="111" t="str">
        <f t="shared" si="114"/>
        <v>Normal</v>
      </c>
      <c r="W363" s="18">
        <f t="shared" si="115"/>
        <v>0</v>
      </c>
      <c r="X363" s="18">
        <f t="shared" si="116"/>
        <v>0</v>
      </c>
    </row>
    <row r="364" spans="1:24">
      <c r="A364" s="29">
        <v>45745</v>
      </c>
      <c r="B364" s="409"/>
      <c r="C364" s="31"/>
      <c r="D364" s="295"/>
      <c r="E364" s="1"/>
      <c r="F364" s="1"/>
      <c r="G364" s="61"/>
      <c r="H364" s="61"/>
      <c r="I364" s="1"/>
      <c r="J364" s="1"/>
      <c r="K364" s="1"/>
      <c r="L364" s="1"/>
      <c r="M364" s="17"/>
      <c r="N364" s="17"/>
      <c r="O364" s="17"/>
      <c r="P364" s="17"/>
      <c r="Q364" s="22"/>
      <c r="R364" s="285"/>
      <c r="S364" s="285"/>
      <c r="T364" s="111"/>
      <c r="U364" s="111" t="str">
        <f t="shared" si="113"/>
        <v>Normal</v>
      </c>
      <c r="V364" s="111" t="str">
        <f t="shared" si="114"/>
        <v>Normal</v>
      </c>
      <c r="W364" s="18">
        <f t="shared" si="115"/>
        <v>0</v>
      </c>
      <c r="X364" s="18">
        <f t="shared" si="116"/>
        <v>0</v>
      </c>
    </row>
    <row r="365" spans="1:24">
      <c r="A365" s="29">
        <v>45746</v>
      </c>
      <c r="B365" s="409"/>
      <c r="C365" s="31"/>
      <c r="D365" s="295"/>
      <c r="E365" s="1"/>
      <c r="F365" s="1"/>
      <c r="G365" s="61"/>
      <c r="H365" s="61"/>
      <c r="I365" s="1"/>
      <c r="J365" s="1"/>
      <c r="K365" s="1"/>
      <c r="L365" s="1"/>
      <c r="M365" s="17"/>
      <c r="N365" s="17"/>
      <c r="O365" s="17"/>
      <c r="P365" s="17"/>
      <c r="Q365" s="22"/>
      <c r="R365" s="285"/>
      <c r="S365" s="285"/>
      <c r="T365" s="111"/>
      <c r="U365" s="111" t="str">
        <f t="shared" si="113"/>
        <v>Normal</v>
      </c>
      <c r="V365" s="111" t="str">
        <f t="shared" si="114"/>
        <v>Normal</v>
      </c>
      <c r="W365" s="18">
        <f t="shared" si="115"/>
        <v>0</v>
      </c>
      <c r="X365" s="18">
        <f t="shared" si="116"/>
        <v>0</v>
      </c>
    </row>
    <row r="366" spans="1:24">
      <c r="A366" s="29">
        <v>45747</v>
      </c>
      <c r="B366" s="409"/>
      <c r="C366" s="31"/>
      <c r="D366" s="295"/>
      <c r="E366" s="1"/>
      <c r="F366" s="1"/>
      <c r="G366" s="61"/>
      <c r="H366" s="61"/>
      <c r="I366" s="1"/>
      <c r="J366" s="1"/>
      <c r="K366" s="1"/>
      <c r="L366" s="1"/>
      <c r="M366" s="17"/>
      <c r="N366" s="17"/>
      <c r="O366" s="17"/>
      <c r="P366" s="17"/>
      <c r="Q366" s="22"/>
      <c r="R366" s="285"/>
      <c r="S366" s="285"/>
      <c r="T366" s="111"/>
      <c r="U366" s="111" t="str">
        <f t="shared" si="113"/>
        <v>Normal</v>
      </c>
      <c r="V366" s="111" t="str">
        <f t="shared" si="114"/>
        <v>Normal</v>
      </c>
      <c r="W366" s="18">
        <f t="shared" si="115"/>
        <v>0</v>
      </c>
      <c r="X366" s="18">
        <f t="shared" si="116"/>
        <v>0</v>
      </c>
    </row>
  </sheetData>
  <mergeCells count="5">
    <mergeCell ref="AB3:AD3"/>
    <mergeCell ref="AF3:AG3"/>
    <mergeCell ref="AI3:AJ3"/>
    <mergeCell ref="AB8:AC8"/>
    <mergeCell ref="AF8:AG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1:I223"/>
  <sheetViews>
    <sheetView topLeftCell="A200" workbookViewId="0">
      <selection activeCell="B214" sqref="B214:I223"/>
    </sheetView>
  </sheetViews>
  <sheetFormatPr defaultRowHeight="14.5"/>
  <cols>
    <col min="9" max="9" width="8.36328125" customWidth="1"/>
  </cols>
  <sheetData>
    <row r="1" spans="2:9">
      <c r="B1" s="432" t="s">
        <v>73</v>
      </c>
      <c r="C1" s="435"/>
      <c r="D1" s="435"/>
      <c r="E1" s="435"/>
      <c r="F1" s="435"/>
      <c r="G1" s="435"/>
      <c r="H1" s="435"/>
      <c r="I1" s="433"/>
    </row>
    <row r="2" spans="2:9">
      <c r="B2" s="13" t="s">
        <v>74</v>
      </c>
      <c r="C2" s="14" t="s">
        <v>75</v>
      </c>
      <c r="D2" s="14" t="s">
        <v>76</v>
      </c>
      <c r="E2" s="14" t="s">
        <v>71</v>
      </c>
      <c r="F2" s="14" t="s">
        <v>41</v>
      </c>
      <c r="G2" s="14" t="s">
        <v>40</v>
      </c>
      <c r="H2" s="14" t="s">
        <v>77</v>
      </c>
      <c r="I2" s="8" t="s">
        <v>43</v>
      </c>
    </row>
    <row r="3" spans="2:9">
      <c r="B3" s="4" t="s">
        <v>78</v>
      </c>
      <c r="C3" s="1"/>
      <c r="D3" s="1"/>
      <c r="E3" s="2">
        <v>0.85</v>
      </c>
      <c r="F3" s="2">
        <v>0.94</v>
      </c>
      <c r="G3" s="2">
        <v>0.06</v>
      </c>
      <c r="H3" s="2">
        <v>0.65</v>
      </c>
      <c r="I3" s="12">
        <v>0.95</v>
      </c>
    </row>
    <row r="4" spans="2:9">
      <c r="B4" s="4" t="s">
        <v>2</v>
      </c>
      <c r="C4" s="1">
        <v>2737</v>
      </c>
      <c r="D4" s="1">
        <v>2585</v>
      </c>
      <c r="E4" s="52">
        <v>0.79</v>
      </c>
      <c r="F4" s="57">
        <f>Table1182126179[[#This Row],[Calls Handled]]/Table1182126179[[#This Row],[Calls Presented]]</f>
        <v>0.94446474241870659</v>
      </c>
      <c r="G4" s="57">
        <f>1-Table1182126179[[#This Row],[ANS]]</f>
        <v>5.5535257581293407E-2</v>
      </c>
      <c r="H4" s="52">
        <v>0.28000000000000003</v>
      </c>
      <c r="I4" s="57">
        <v>1</v>
      </c>
    </row>
    <row r="5" spans="2:9">
      <c r="B5" s="4" t="s">
        <v>6</v>
      </c>
      <c r="C5" s="180">
        <v>2721</v>
      </c>
      <c r="D5" s="180">
        <v>2282</v>
      </c>
      <c r="E5" s="187">
        <v>0.7</v>
      </c>
      <c r="F5" s="185">
        <f>Table1182126179[[#This Row],[Calls Handled]]/Table1182126179[[#This Row],[Calls Presented]]</f>
        <v>0.83866225652333704</v>
      </c>
      <c r="G5" s="185">
        <f>1-Table1182126179[[#This Row],[ANS]]</f>
        <v>0.16133774347666296</v>
      </c>
      <c r="H5" s="182">
        <v>0.68</v>
      </c>
      <c r="I5" s="182">
        <v>1</v>
      </c>
    </row>
    <row r="6" spans="2:9">
      <c r="B6" s="4" t="s">
        <v>5</v>
      </c>
      <c r="C6" s="58">
        <v>1786</v>
      </c>
      <c r="D6" s="58">
        <v>1655</v>
      </c>
      <c r="E6" s="40">
        <v>0.84</v>
      </c>
      <c r="F6" s="57">
        <f>Table1182126179[[#This Row],[Calls Handled]]/Table1182126179[[#This Row],[Calls Presented]]</f>
        <v>0.92665173572228443</v>
      </c>
      <c r="G6" s="57">
        <f>1-Table1182126179[[#This Row],[ANS]]</f>
        <v>7.3348264277715569E-2</v>
      </c>
      <c r="H6" s="41">
        <v>0.62</v>
      </c>
      <c r="I6" s="57">
        <v>1</v>
      </c>
    </row>
    <row r="7" spans="2:9">
      <c r="B7" s="4" t="s">
        <v>3</v>
      </c>
      <c r="C7" s="56">
        <v>5183</v>
      </c>
      <c r="D7" s="56">
        <v>3833</v>
      </c>
      <c r="E7" s="49">
        <v>0.37</v>
      </c>
      <c r="F7" s="52">
        <f>Table1182126179[[#This Row],[Calls Handled]]/Table1182126179[[#This Row],[Calls Presented]]</f>
        <v>0.73953308894462666</v>
      </c>
      <c r="G7" s="52">
        <f>1-Table1182126179[[#This Row],[ANS]]</f>
        <v>0.26046691105537334</v>
      </c>
      <c r="H7" s="41">
        <v>0.83</v>
      </c>
      <c r="I7" s="107" t="s">
        <v>20</v>
      </c>
    </row>
    <row r="8" spans="2:9">
      <c r="B8" s="4" t="s">
        <v>4</v>
      </c>
      <c r="C8" s="180">
        <v>1964</v>
      </c>
      <c r="D8" s="181">
        <v>1788</v>
      </c>
      <c r="E8" s="184">
        <v>0.7</v>
      </c>
      <c r="F8" s="186">
        <f>Table1182126179[[#This Row],[Calls Handled]]/Table1182126179[[#This Row],[Calls Presented]]</f>
        <v>0.9103869653767821</v>
      </c>
      <c r="G8" s="186">
        <f>1-Table1182126179[[#This Row],[ANS]]</f>
        <v>8.9613034623217902E-2</v>
      </c>
      <c r="H8" s="183">
        <v>0.52</v>
      </c>
      <c r="I8" s="184">
        <v>1</v>
      </c>
    </row>
    <row r="9" spans="2:9">
      <c r="B9" s="4" t="s">
        <v>7</v>
      </c>
      <c r="C9" s="180">
        <v>472</v>
      </c>
      <c r="D9" s="180">
        <v>448</v>
      </c>
      <c r="E9" s="186">
        <v>0.95</v>
      </c>
      <c r="F9" s="57">
        <f>Table1182126179[[#This Row],[Calls Handled]]/Table1182126179[[#This Row],[Calls Presented]]</f>
        <v>0.94915254237288138</v>
      </c>
      <c r="G9" s="57">
        <f>1-Table1182126179[[#This Row],[ANS]]</f>
        <v>5.084745762711862E-2</v>
      </c>
      <c r="H9" s="185">
        <v>0.34</v>
      </c>
      <c r="I9" s="191" t="s">
        <v>20</v>
      </c>
    </row>
    <row r="10" spans="2:9">
      <c r="B10" s="67" t="s">
        <v>79</v>
      </c>
      <c r="C10" s="68">
        <f>SUM(C4:C9)</f>
        <v>14863</v>
      </c>
      <c r="D10" s="68">
        <f>SUM(D4:D9)</f>
        <v>12591</v>
      </c>
      <c r="E10" s="116">
        <f>AVERAGEIF(E4:E9,"&lt;&gt;0")</f>
        <v>0.72500000000000009</v>
      </c>
      <c r="F10" s="116">
        <f>AVERAGEIF(F4:F9,"&lt;&gt;0")</f>
        <v>0.88480855522643642</v>
      </c>
      <c r="G10" s="116">
        <f>AVERAGEIF(G4:G9,"&lt;&gt;0")</f>
        <v>0.11519144477356363</v>
      </c>
      <c r="H10" s="116">
        <f>AVERAGEIF(H4:H9,"&lt;&gt;0")</f>
        <v>0.54500000000000004</v>
      </c>
      <c r="I10" s="116">
        <f>AVERAGEIF(I4:I9,"&lt;&gt;0")</f>
        <v>1</v>
      </c>
    </row>
    <row r="12" spans="2:9">
      <c r="B12" s="432" t="s">
        <v>80</v>
      </c>
      <c r="C12" s="435"/>
      <c r="D12" s="435"/>
      <c r="E12" s="435"/>
      <c r="F12" s="435"/>
      <c r="G12" s="435"/>
      <c r="H12" s="435"/>
      <c r="I12" s="433"/>
    </row>
    <row r="13" spans="2:9">
      <c r="B13" s="13" t="s">
        <v>74</v>
      </c>
      <c r="C13" s="14" t="s">
        <v>75</v>
      </c>
      <c r="D13" s="14" t="s">
        <v>76</v>
      </c>
      <c r="E13" s="14" t="s">
        <v>71</v>
      </c>
      <c r="F13" s="14" t="s">
        <v>41</v>
      </c>
      <c r="G13" s="14" t="s">
        <v>40</v>
      </c>
      <c r="H13" s="14" t="s">
        <v>77</v>
      </c>
      <c r="I13" s="8" t="s">
        <v>43</v>
      </c>
    </row>
    <row r="14" spans="2:9">
      <c r="B14" s="4" t="s">
        <v>78</v>
      </c>
      <c r="C14" s="1"/>
      <c r="D14" s="1"/>
      <c r="E14" s="2">
        <v>0.85</v>
      </c>
      <c r="F14" s="2">
        <v>0.94</v>
      </c>
      <c r="G14" s="2">
        <v>0.06</v>
      </c>
      <c r="H14" s="2">
        <v>0.65</v>
      </c>
      <c r="I14" s="12">
        <v>0.95</v>
      </c>
    </row>
    <row r="15" spans="2:9">
      <c r="B15" s="4" t="s">
        <v>2</v>
      </c>
      <c r="C15" s="1">
        <v>2734</v>
      </c>
      <c r="D15" s="1">
        <v>2454</v>
      </c>
      <c r="E15" s="52">
        <v>0.66</v>
      </c>
      <c r="F15" s="52">
        <f>Table118212617911[[#This Row],[Calls Handled]]/Table118212617911[[#This Row],[Calls Presented]]</f>
        <v>0.89758595464520852</v>
      </c>
      <c r="G15" s="52">
        <f>1-Table118212617911[[#This Row],[ANS]]</f>
        <v>0.10241404535479148</v>
      </c>
      <c r="H15" s="52">
        <v>0.33</v>
      </c>
      <c r="I15" s="57">
        <v>0.97</v>
      </c>
    </row>
    <row r="16" spans="2:9">
      <c r="B16" s="4" t="s">
        <v>6</v>
      </c>
      <c r="C16" s="180">
        <v>3396</v>
      </c>
      <c r="D16" s="180">
        <v>2810</v>
      </c>
      <c r="E16" s="187">
        <v>0.64</v>
      </c>
      <c r="F16" s="185">
        <f>Table118212617911[[#This Row],[Calls Handled]]/Table118212617911[[#This Row],[Calls Presented]]</f>
        <v>0.82744405182567726</v>
      </c>
      <c r="G16" s="185">
        <f>1-Table118212617911[[#This Row],[ANS]]</f>
        <v>0.17255594817432274</v>
      </c>
      <c r="H16" s="187">
        <v>0.64</v>
      </c>
      <c r="I16" s="182">
        <v>1</v>
      </c>
    </row>
    <row r="17" spans="2:9">
      <c r="B17" s="4" t="s">
        <v>5</v>
      </c>
      <c r="C17" s="58">
        <v>2001</v>
      </c>
      <c r="D17" s="58">
        <v>1877</v>
      </c>
      <c r="E17" s="40">
        <v>0.88</v>
      </c>
      <c r="F17" s="57">
        <f>Table118212617911[[#This Row],[Calls Handled]]/Table118212617911[[#This Row],[Calls Presented]]</f>
        <v>0.93803098450774614</v>
      </c>
      <c r="G17" s="57">
        <f>1-Table118212617911[[#This Row],[ANS]]</f>
        <v>6.1969015492253865E-2</v>
      </c>
      <c r="H17" s="126">
        <v>0.63</v>
      </c>
      <c r="I17" s="57">
        <v>1</v>
      </c>
    </row>
    <row r="18" spans="2:9">
      <c r="B18" s="4" t="s">
        <v>3</v>
      </c>
      <c r="C18" s="56">
        <v>5433</v>
      </c>
      <c r="D18" s="56">
        <v>4632</v>
      </c>
      <c r="E18" s="49">
        <v>0.59</v>
      </c>
      <c r="F18" s="52">
        <f>Table118212617911[[#This Row],[Calls Handled]]/Table118212617911[[#This Row],[Calls Presented]]</f>
        <v>0.85256764218663716</v>
      </c>
      <c r="G18" s="52">
        <f>1-Table118212617911[[#This Row],[ANS]]</f>
        <v>0.14743235781336284</v>
      </c>
      <c r="H18" s="126">
        <v>0.64</v>
      </c>
      <c r="I18" s="107" t="s">
        <v>20</v>
      </c>
    </row>
    <row r="19" spans="2:9">
      <c r="B19" s="4" t="s">
        <v>4</v>
      </c>
      <c r="C19" s="180">
        <v>2145</v>
      </c>
      <c r="D19" s="181">
        <v>2015</v>
      </c>
      <c r="E19" s="183">
        <v>0.81</v>
      </c>
      <c r="F19" s="186">
        <f>Table118212617911[[#This Row],[Calls Handled]]/Table118212617911[[#This Row],[Calls Presented]]</f>
        <v>0.93939393939393945</v>
      </c>
      <c r="G19" s="186">
        <f>1-Table118212617911[[#This Row],[ANS]]</f>
        <v>6.0606060606060552E-2</v>
      </c>
      <c r="H19" s="183">
        <v>0.48</v>
      </c>
      <c r="I19" s="184">
        <v>1</v>
      </c>
    </row>
    <row r="20" spans="2:9">
      <c r="B20" s="4" t="s">
        <v>7</v>
      </c>
      <c r="C20" s="180">
        <v>520</v>
      </c>
      <c r="D20" s="180">
        <v>492</v>
      </c>
      <c r="E20" s="186">
        <v>0.95</v>
      </c>
      <c r="F20" s="57">
        <f>Table118212617911[[#This Row],[Calls Handled]]/Table118212617911[[#This Row],[Calls Presented]]</f>
        <v>0.94615384615384612</v>
      </c>
      <c r="G20" s="57">
        <f>1-Table118212617911[[#This Row],[ANS]]</f>
        <v>5.3846153846153877E-2</v>
      </c>
      <c r="H20" s="185">
        <v>0.33</v>
      </c>
      <c r="I20" s="191" t="s">
        <v>20</v>
      </c>
    </row>
    <row r="21" spans="2:9">
      <c r="B21" s="67" t="s">
        <v>79</v>
      </c>
      <c r="C21" s="68">
        <f>SUM(C15:C20)</f>
        <v>16229</v>
      </c>
      <c r="D21" s="68">
        <f>SUM(D15:D20)</f>
        <v>14280</v>
      </c>
      <c r="E21" s="116">
        <f>AVERAGEIF(E15:E20,"&lt;&gt;0")</f>
        <v>0.755</v>
      </c>
      <c r="F21" s="116">
        <f>AVERAGEIF(F15:F20,"&lt;&gt;0")</f>
        <v>0.90019606978550915</v>
      </c>
      <c r="G21" s="116">
        <f>AVERAGEIF(G15:G20,"&lt;&gt;0")</f>
        <v>9.9803930214490896E-2</v>
      </c>
      <c r="H21" s="116">
        <f>AVERAGEIF(H15:H20,"&lt;&gt;0")</f>
        <v>0.50833333333333341</v>
      </c>
      <c r="I21" s="116">
        <f>AVERAGEIF(I15:I20,"&lt;&gt;0")</f>
        <v>0.99249999999999994</v>
      </c>
    </row>
    <row r="23" spans="2:9">
      <c r="B23" s="432" t="s">
        <v>81</v>
      </c>
      <c r="C23" s="435"/>
      <c r="D23" s="435"/>
      <c r="E23" s="435"/>
      <c r="F23" s="435"/>
      <c r="G23" s="435"/>
      <c r="H23" s="435"/>
      <c r="I23" s="433"/>
    </row>
    <row r="24" spans="2:9">
      <c r="B24" s="13" t="s">
        <v>74</v>
      </c>
      <c r="C24" s="14" t="s">
        <v>75</v>
      </c>
      <c r="D24" s="14" t="s">
        <v>76</v>
      </c>
      <c r="E24" s="14" t="s">
        <v>71</v>
      </c>
      <c r="F24" s="14" t="s">
        <v>41</v>
      </c>
      <c r="G24" s="14" t="s">
        <v>40</v>
      </c>
      <c r="H24" s="14" t="s">
        <v>77</v>
      </c>
      <c r="I24" s="8" t="s">
        <v>43</v>
      </c>
    </row>
    <row r="25" spans="2:9">
      <c r="B25" s="4" t="s">
        <v>78</v>
      </c>
      <c r="C25" s="1"/>
      <c r="D25" s="1"/>
      <c r="E25" s="2">
        <v>0.85</v>
      </c>
      <c r="F25" s="2">
        <v>0.94</v>
      </c>
      <c r="G25" s="2">
        <v>0.06</v>
      </c>
      <c r="H25" s="2">
        <v>0.65</v>
      </c>
      <c r="I25" s="12">
        <v>0.95</v>
      </c>
    </row>
    <row r="26" spans="2:9">
      <c r="B26" s="4" t="s">
        <v>2</v>
      </c>
      <c r="C26" s="1">
        <v>4051</v>
      </c>
      <c r="D26" s="1">
        <v>3810</v>
      </c>
      <c r="E26" s="52">
        <v>0.76</v>
      </c>
      <c r="F26" s="57">
        <f>Table11821261791117[[#This Row],[Calls Handled]]/Table11821261791117[[#This Row],[Calls Presented]]</f>
        <v>0.94050851641569988</v>
      </c>
      <c r="G26" s="57">
        <f>1-Table11821261791117[[#This Row],[ANS]]</f>
        <v>5.949148358430012E-2</v>
      </c>
      <c r="H26" s="52">
        <v>0.37</v>
      </c>
      <c r="I26" s="57">
        <v>0.98</v>
      </c>
    </row>
    <row r="27" spans="2:9">
      <c r="B27" s="4" t="s">
        <v>6</v>
      </c>
      <c r="C27" s="180">
        <v>2903</v>
      </c>
      <c r="D27" s="180">
        <v>2562</v>
      </c>
      <c r="E27" s="182">
        <v>0.85</v>
      </c>
      <c r="F27" s="185">
        <f>Table11821261791117[[#This Row],[Calls Handled]]/Table11821261791117[[#This Row],[Calls Presented]]</f>
        <v>0.88253530830175675</v>
      </c>
      <c r="G27" s="185">
        <f>1-Table11821261791117[[#This Row],[ANS]]</f>
        <v>0.11746469169824325</v>
      </c>
      <c r="H27" s="182">
        <v>0.56999999999999995</v>
      </c>
      <c r="I27" s="182">
        <v>1</v>
      </c>
    </row>
    <row r="28" spans="2:9" ht="17.399999999999999" customHeight="1">
      <c r="B28" s="4" t="s">
        <v>5</v>
      </c>
      <c r="C28" s="58">
        <v>1985</v>
      </c>
      <c r="D28" s="58">
        <v>1880</v>
      </c>
      <c r="E28" s="40">
        <v>0.88</v>
      </c>
      <c r="F28" s="57">
        <f>Table11821261791117[[#This Row],[Calls Handled]]/Table11821261791117[[#This Row],[Calls Presented]]</f>
        <v>0.94710327455919396</v>
      </c>
      <c r="G28" s="57">
        <f>1-Table11821261791117[[#This Row],[ANS]]</f>
        <v>5.2896725440806036E-2</v>
      </c>
      <c r="H28" s="41">
        <v>0.57999999999999996</v>
      </c>
      <c r="I28" s="57">
        <v>1</v>
      </c>
    </row>
    <row r="29" spans="2:9">
      <c r="B29" s="4" t="s">
        <v>3</v>
      </c>
      <c r="C29" s="56">
        <v>5276</v>
      </c>
      <c r="D29" s="56">
        <v>4693</v>
      </c>
      <c r="E29" s="49">
        <v>0.68</v>
      </c>
      <c r="F29" s="52">
        <f>Table11821261791117[[#This Row],[Calls Handled]]/Table11821261791117[[#This Row],[Calls Presented]]</f>
        <v>0.88949962092494317</v>
      </c>
      <c r="G29" s="52">
        <f>1-Table11821261791117[[#This Row],[ANS]]</f>
        <v>0.11050037907505683</v>
      </c>
      <c r="H29" s="41">
        <v>0.73</v>
      </c>
      <c r="I29" s="107" t="s">
        <v>20</v>
      </c>
    </row>
    <row r="30" spans="2:9">
      <c r="B30" s="4" t="s">
        <v>4</v>
      </c>
      <c r="C30" s="180">
        <v>2290</v>
      </c>
      <c r="D30" s="181">
        <v>1871</v>
      </c>
      <c r="E30" s="184">
        <v>0.52</v>
      </c>
      <c r="F30" s="185">
        <f>Table11821261791117[[#This Row],[Calls Handled]]/Table11821261791117[[#This Row],[Calls Presented]]</f>
        <v>0.81703056768558957</v>
      </c>
      <c r="G30" s="185">
        <f>1-Table11821261791117[[#This Row],[ANS]]</f>
        <v>0.18296943231441043</v>
      </c>
      <c r="H30" s="183">
        <v>0.63</v>
      </c>
      <c r="I30" s="184">
        <v>1</v>
      </c>
    </row>
    <row r="31" spans="2:9">
      <c r="B31" s="4" t="s">
        <v>7</v>
      </c>
      <c r="C31" s="180">
        <v>572</v>
      </c>
      <c r="D31" s="180">
        <v>554</v>
      </c>
      <c r="E31" s="186">
        <v>0.96</v>
      </c>
      <c r="F31" s="57">
        <f>Table11821261791117[[#This Row],[Calls Handled]]/Table11821261791117[[#This Row],[Calls Presented]]</f>
        <v>0.96853146853146854</v>
      </c>
      <c r="G31" s="57">
        <f>1-Table11821261791117[[#This Row],[ANS]]</f>
        <v>3.1468531468531458E-2</v>
      </c>
      <c r="H31" s="186">
        <v>0.65</v>
      </c>
      <c r="I31" s="191" t="s">
        <v>20</v>
      </c>
    </row>
    <row r="32" spans="2:9">
      <c r="B32" s="67" t="s">
        <v>79</v>
      </c>
      <c r="C32" s="68">
        <f>SUM(C26:C31)</f>
        <v>17077</v>
      </c>
      <c r="D32" s="68">
        <f>SUM(D26:D31)</f>
        <v>15370</v>
      </c>
      <c r="E32" s="116">
        <f>AVERAGEIF(E26:E31,"&lt;&gt;0")</f>
        <v>0.77500000000000002</v>
      </c>
      <c r="F32" s="116">
        <f>AVERAGEIF(F26:F31,"&lt;&gt;0")</f>
        <v>0.90753479273644189</v>
      </c>
      <c r="G32" s="116">
        <f>AVERAGEIF(G26:G31,"&lt;&gt;0")</f>
        <v>9.2465207263558016E-2</v>
      </c>
      <c r="H32" s="116">
        <f>AVERAGEIF(H26:H31,"&lt;&gt;0")</f>
        <v>0.58833333333333326</v>
      </c>
      <c r="I32" s="116">
        <f>AVERAGEIF(I26:I31,"&lt;&gt;0")</f>
        <v>0.995</v>
      </c>
    </row>
    <row r="34" spans="2:9">
      <c r="B34" s="432" t="s">
        <v>82</v>
      </c>
      <c r="C34" s="435"/>
      <c r="D34" s="435"/>
      <c r="E34" s="435"/>
      <c r="F34" s="435"/>
      <c r="G34" s="435"/>
      <c r="H34" s="435"/>
      <c r="I34" s="433"/>
    </row>
    <row r="35" spans="2:9">
      <c r="B35" s="13" t="s">
        <v>74</v>
      </c>
      <c r="C35" s="14" t="s">
        <v>75</v>
      </c>
      <c r="D35" s="14" t="s">
        <v>76</v>
      </c>
      <c r="E35" s="14" t="s">
        <v>71</v>
      </c>
      <c r="F35" s="14" t="s">
        <v>41</v>
      </c>
      <c r="G35" s="14" t="s">
        <v>40</v>
      </c>
      <c r="H35" s="14" t="s">
        <v>77</v>
      </c>
      <c r="I35" s="8" t="s">
        <v>43</v>
      </c>
    </row>
    <row r="36" spans="2:9">
      <c r="B36" s="4" t="s">
        <v>78</v>
      </c>
      <c r="C36" s="1"/>
      <c r="D36" s="1"/>
      <c r="E36" s="2">
        <v>0.85</v>
      </c>
      <c r="F36" s="2">
        <v>0.94</v>
      </c>
      <c r="G36" s="2">
        <v>0.06</v>
      </c>
      <c r="H36" s="2">
        <v>0.65</v>
      </c>
      <c r="I36" s="12">
        <v>0.95</v>
      </c>
    </row>
    <row r="37" spans="2:9">
      <c r="B37" s="4" t="s">
        <v>2</v>
      </c>
      <c r="C37" s="1">
        <v>3767</v>
      </c>
      <c r="D37" s="1">
        <v>3503</v>
      </c>
      <c r="E37" s="52">
        <v>0.79</v>
      </c>
      <c r="F37" s="52">
        <f>Table118212617911175[[#This Row],[Calls Handled]]/Table118212617911175[[#This Row],[Calls Presented]]</f>
        <v>0.92991770639766391</v>
      </c>
      <c r="G37" s="52">
        <f>1-Table118212617911175[[#This Row],[ANS]]</f>
        <v>7.0082293602336088E-2</v>
      </c>
      <c r="H37" s="52">
        <v>0.37</v>
      </c>
      <c r="I37" s="57">
        <v>0.99</v>
      </c>
    </row>
    <row r="38" spans="2:9">
      <c r="B38" s="4" t="s">
        <v>6</v>
      </c>
      <c r="C38" s="180">
        <v>3116</v>
      </c>
      <c r="D38" s="180">
        <v>2758</v>
      </c>
      <c r="E38" s="187">
        <v>0.78</v>
      </c>
      <c r="F38" s="52">
        <f>Table118212617911175[[#This Row],[Calls Handled]]/Table118212617911175[[#This Row],[Calls Presented]]</f>
        <v>0.88510911424903727</v>
      </c>
      <c r="G38" s="185">
        <f>1-Table118212617911175[[#This Row],[ANS]]</f>
        <v>0.11489088575096273</v>
      </c>
      <c r="H38" s="182">
        <v>0.65</v>
      </c>
      <c r="I38" s="182">
        <v>1</v>
      </c>
    </row>
    <row r="39" spans="2:9">
      <c r="B39" s="4" t="s">
        <v>5</v>
      </c>
      <c r="C39" s="58">
        <v>1886</v>
      </c>
      <c r="D39" s="58">
        <v>1813</v>
      </c>
      <c r="E39" s="40">
        <v>0.9</v>
      </c>
      <c r="F39" s="57">
        <f>Table118212617911175[[#This Row],[Calls Handled]]/Table118212617911175[[#This Row],[Calls Presented]]</f>
        <v>0.96129374337221629</v>
      </c>
      <c r="G39" s="57">
        <f>1-Table118212617911175[[#This Row],[ANS]]</f>
        <v>3.8706256627783708E-2</v>
      </c>
      <c r="H39" s="126">
        <v>0.54</v>
      </c>
      <c r="I39" s="57">
        <v>1</v>
      </c>
    </row>
    <row r="40" spans="2:9">
      <c r="B40" s="4" t="s">
        <v>3</v>
      </c>
      <c r="C40" s="56">
        <v>5369</v>
      </c>
      <c r="D40" s="56">
        <v>4770</v>
      </c>
      <c r="E40" s="49">
        <v>0.65</v>
      </c>
      <c r="F40" s="52">
        <f>Table118212617911175[[#This Row],[Calls Handled]]/Table118212617911175[[#This Row],[Calls Presented]]</f>
        <v>0.88843360029800711</v>
      </c>
      <c r="G40" s="52">
        <f>1-Table118212617911175[[#This Row],[ANS]]</f>
        <v>0.11156639970199289</v>
      </c>
      <c r="H40" s="41">
        <v>0.74</v>
      </c>
      <c r="I40" s="107" t="s">
        <v>20</v>
      </c>
    </row>
    <row r="41" spans="2:9">
      <c r="B41" s="4" t="s">
        <v>4</v>
      </c>
      <c r="C41" s="180">
        <v>2244</v>
      </c>
      <c r="D41" s="181">
        <v>1897</v>
      </c>
      <c r="E41" s="183">
        <v>0.65</v>
      </c>
      <c r="F41" s="185">
        <f>Table118212617911175[[#This Row],[Calls Handled]]/Table118212617911175[[#This Row],[Calls Presented]]</f>
        <v>0.84536541889483063</v>
      </c>
      <c r="G41" s="185">
        <f>1-Table118212617911175[[#This Row],[ANS]]</f>
        <v>0.15463458110516937</v>
      </c>
      <c r="H41" s="183">
        <v>0.56000000000000005</v>
      </c>
      <c r="I41" s="184">
        <v>1</v>
      </c>
    </row>
    <row r="42" spans="2:9">
      <c r="B42" s="4" t="s">
        <v>7</v>
      </c>
      <c r="C42" s="180">
        <v>605</v>
      </c>
      <c r="D42" s="180">
        <v>583</v>
      </c>
      <c r="E42" s="186">
        <v>0.96</v>
      </c>
      <c r="F42" s="57">
        <f>Table118212617911175[[#This Row],[Calls Handled]]/Table118212617911175[[#This Row],[Calls Presented]]</f>
        <v>0.96363636363636362</v>
      </c>
      <c r="G42" s="57">
        <f>1-Table118212617911175[[#This Row],[ANS]]</f>
        <v>3.6363636363636376E-2</v>
      </c>
      <c r="H42" s="185">
        <v>0.63</v>
      </c>
      <c r="I42" s="191" t="s">
        <v>20</v>
      </c>
    </row>
    <row r="43" spans="2:9">
      <c r="B43" s="67" t="s">
        <v>79</v>
      </c>
      <c r="C43" s="68">
        <f>SUM(C37:C42)</f>
        <v>16987</v>
      </c>
      <c r="D43" s="68">
        <f>SUM(D37:D42)</f>
        <v>15324</v>
      </c>
      <c r="E43" s="116">
        <f>AVERAGEIF(E37:E42,"&lt;&gt;0")</f>
        <v>0.78833333333333344</v>
      </c>
      <c r="F43" s="116">
        <f>AVERAGEIF(F37:F42,"&lt;&gt;0")</f>
        <v>0.91229265780801994</v>
      </c>
      <c r="G43" s="116">
        <f>AVERAGEIF(G37:G42,"&lt;&gt;0")</f>
        <v>8.7707342191980189E-2</v>
      </c>
      <c r="H43" s="116">
        <f>AVERAGEIF(H37:H42,"&lt;&gt;0")</f>
        <v>0.58166666666666667</v>
      </c>
      <c r="I43" s="116">
        <f>AVERAGEIF(I37:I42,"&lt;&gt;0")</f>
        <v>0.99750000000000005</v>
      </c>
    </row>
    <row r="46" spans="2:9">
      <c r="B46" s="432" t="s">
        <v>125</v>
      </c>
      <c r="C46" s="435"/>
      <c r="D46" s="435"/>
      <c r="E46" s="435"/>
      <c r="F46" s="435"/>
      <c r="G46" s="435"/>
      <c r="H46" s="435"/>
      <c r="I46" s="433"/>
    </row>
    <row r="47" spans="2:9">
      <c r="B47" s="13" t="s">
        <v>74</v>
      </c>
      <c r="C47" s="14" t="s">
        <v>75</v>
      </c>
      <c r="D47" s="14" t="s">
        <v>76</v>
      </c>
      <c r="E47" s="14" t="s">
        <v>71</v>
      </c>
      <c r="F47" s="14" t="s">
        <v>41</v>
      </c>
      <c r="G47" s="14" t="s">
        <v>40</v>
      </c>
      <c r="H47" s="14" t="s">
        <v>77</v>
      </c>
      <c r="I47" s="8" t="s">
        <v>43</v>
      </c>
    </row>
    <row r="48" spans="2:9">
      <c r="B48" s="4" t="s">
        <v>78</v>
      </c>
      <c r="C48" s="1"/>
      <c r="D48" s="1"/>
      <c r="E48" s="2">
        <v>0.85</v>
      </c>
      <c r="F48" s="2">
        <v>0.94</v>
      </c>
      <c r="G48" s="2">
        <v>0.06</v>
      </c>
      <c r="H48" s="2">
        <v>0.65</v>
      </c>
      <c r="I48" s="12">
        <v>0.95</v>
      </c>
    </row>
    <row r="49" spans="2:9">
      <c r="B49" s="4" t="s">
        <v>2</v>
      </c>
      <c r="C49" s="1">
        <v>3446</v>
      </c>
      <c r="D49" s="1">
        <v>3062</v>
      </c>
      <c r="E49" s="52">
        <v>0.7</v>
      </c>
      <c r="F49" s="52">
        <f>Table11821261791117514[[#This Row],[Calls Handled]]/Table11821261791117514[[#This Row],[Calls Presented]]</f>
        <v>0.88856645385954736</v>
      </c>
      <c r="G49" s="52">
        <f>1-Table11821261791117514[[#This Row],[ANS]]</f>
        <v>0.11143354614045264</v>
      </c>
      <c r="H49" s="52">
        <v>0.42</v>
      </c>
      <c r="I49" s="57">
        <v>0.99</v>
      </c>
    </row>
    <row r="50" spans="2:9">
      <c r="B50" s="4" t="s">
        <v>6</v>
      </c>
      <c r="C50" s="180">
        <v>3248</v>
      </c>
      <c r="D50" s="180">
        <v>2492</v>
      </c>
      <c r="E50" s="187">
        <v>0.41</v>
      </c>
      <c r="F50" s="185">
        <f>Table11821261791117514[[#This Row],[Calls Handled]]/Table11821261791117514[[#This Row],[Calls Presented]]</f>
        <v>0.76724137931034486</v>
      </c>
      <c r="G50" s="185">
        <f>1-Table11821261791117514[[#This Row],[ANS]]</f>
        <v>0.23275862068965514</v>
      </c>
      <c r="H50" s="182">
        <v>0.64</v>
      </c>
      <c r="I50" s="182">
        <v>0.99</v>
      </c>
    </row>
    <row r="51" spans="2:9">
      <c r="B51" s="4" t="s">
        <v>5</v>
      </c>
      <c r="C51" s="58">
        <v>2081</v>
      </c>
      <c r="D51" s="58">
        <v>1950</v>
      </c>
      <c r="E51" s="40">
        <v>0.85</v>
      </c>
      <c r="F51" s="57">
        <f>Table11821261791117514[[#This Row],[Calls Handled]]/Table11821261791117514[[#This Row],[Calls Presented]]</f>
        <v>0.93704949543488703</v>
      </c>
      <c r="G51" s="57">
        <f>1-Table11821261791117514[[#This Row],[ANS]]</f>
        <v>6.2950504565112975E-2</v>
      </c>
      <c r="H51" s="126">
        <v>0.56999999999999995</v>
      </c>
      <c r="I51" s="57">
        <v>1</v>
      </c>
    </row>
    <row r="52" spans="2:9">
      <c r="B52" s="4" t="s">
        <v>3</v>
      </c>
      <c r="C52" s="56">
        <v>5525</v>
      </c>
      <c r="D52" s="56">
        <v>4588</v>
      </c>
      <c r="E52" s="49">
        <v>0.54</v>
      </c>
      <c r="F52" s="52">
        <f>Table11821261791117514[[#This Row],[Calls Handled]]/Table11821261791117514[[#This Row],[Calls Presented]]</f>
        <v>0.83040723981900455</v>
      </c>
      <c r="G52" s="52">
        <f>1-Table11821261791117514[[#This Row],[ANS]]</f>
        <v>0.16959276018099545</v>
      </c>
      <c r="H52" s="41">
        <v>0.74</v>
      </c>
      <c r="I52" s="107" t="s">
        <v>20</v>
      </c>
    </row>
    <row r="53" spans="2:9">
      <c r="B53" s="4" t="s">
        <v>4</v>
      </c>
      <c r="C53" s="180">
        <v>1760</v>
      </c>
      <c r="D53" s="181">
        <v>1228</v>
      </c>
      <c r="E53" s="183">
        <v>0.45</v>
      </c>
      <c r="F53" s="185">
        <f>Table11821261791117514[[#This Row],[Calls Handled]]/Table11821261791117514[[#This Row],[Calls Presented]]</f>
        <v>0.69772727272727275</v>
      </c>
      <c r="G53" s="185">
        <f>1-Table11821261791117514[[#This Row],[ANS]]</f>
        <v>0.30227272727272725</v>
      </c>
      <c r="H53" s="183">
        <v>0.63</v>
      </c>
      <c r="I53" s="184">
        <v>1</v>
      </c>
    </row>
    <row r="54" spans="2:9">
      <c r="B54" s="4" t="s">
        <v>7</v>
      </c>
      <c r="C54" s="304"/>
      <c r="D54" s="304"/>
      <c r="E54" s="305"/>
      <c r="F54" s="306">
        <v>0</v>
      </c>
      <c r="G54" s="306">
        <v>0</v>
      </c>
      <c r="H54" s="305"/>
      <c r="I54" s="307" t="s">
        <v>20</v>
      </c>
    </row>
    <row r="55" spans="2:9">
      <c r="B55" s="67" t="s">
        <v>79</v>
      </c>
      <c r="C55" s="68">
        <f>SUM(C49:C54)</f>
        <v>16060</v>
      </c>
      <c r="D55" s="68">
        <f>SUM(D49:D54)</f>
        <v>13320</v>
      </c>
      <c r="E55" s="116">
        <f>AVERAGEIF(E49:E54,"&lt;&gt;0")</f>
        <v>0.59000000000000008</v>
      </c>
      <c r="F55" s="116">
        <f>AVERAGEIF(F49:F54,"&lt;&gt;0")</f>
        <v>0.82419836823021131</v>
      </c>
      <c r="G55" s="116">
        <f>AVERAGEIF(G49:G54,"&lt;&gt;0")</f>
        <v>0.17580163176978869</v>
      </c>
      <c r="H55" s="116">
        <f>AVERAGEIF(H49:H54,"&lt;&gt;0")</f>
        <v>0.6</v>
      </c>
      <c r="I55" s="116">
        <f>AVERAGEIF(I49:I54,"&lt;&gt;0")</f>
        <v>0.995</v>
      </c>
    </row>
    <row r="58" spans="2:9">
      <c r="B58" s="432" t="s">
        <v>126</v>
      </c>
      <c r="C58" s="435"/>
      <c r="D58" s="435"/>
      <c r="E58" s="435"/>
      <c r="F58" s="435"/>
      <c r="G58" s="435"/>
      <c r="H58" s="435"/>
      <c r="I58" s="433"/>
    </row>
    <row r="59" spans="2:9">
      <c r="B59" s="13" t="s">
        <v>74</v>
      </c>
      <c r="C59" s="14" t="s">
        <v>75</v>
      </c>
      <c r="D59" s="14" t="s">
        <v>76</v>
      </c>
      <c r="E59" s="14" t="s">
        <v>71</v>
      </c>
      <c r="F59" s="14" t="s">
        <v>41</v>
      </c>
      <c r="G59" s="14" t="s">
        <v>40</v>
      </c>
      <c r="H59" s="14" t="s">
        <v>77</v>
      </c>
      <c r="I59" s="8" t="s">
        <v>43</v>
      </c>
    </row>
    <row r="60" spans="2:9">
      <c r="B60" s="4" t="s">
        <v>78</v>
      </c>
      <c r="C60" s="1"/>
      <c r="D60" s="1"/>
      <c r="E60" s="2">
        <v>0.85</v>
      </c>
      <c r="F60" s="2">
        <v>0.94</v>
      </c>
      <c r="G60" s="2">
        <v>0.06</v>
      </c>
      <c r="H60" s="2">
        <v>0.65</v>
      </c>
      <c r="I60" s="12">
        <v>0.95</v>
      </c>
    </row>
    <row r="61" spans="2:9">
      <c r="B61" s="4" t="s">
        <v>2</v>
      </c>
      <c r="C61" s="1">
        <v>4096</v>
      </c>
      <c r="D61" s="1">
        <v>3834</v>
      </c>
      <c r="E61" s="52">
        <v>0.78</v>
      </c>
      <c r="F61" s="57">
        <f>Table1182126179111751415[[#This Row],[Calls Handled]]/Table1182126179111751415[[#This Row],[Calls Presented]]</f>
        <v>0.93603515625</v>
      </c>
      <c r="G61" s="57">
        <f>1-Table1182126179111751415[[#This Row],[ANS]]</f>
        <v>6.396484375E-2</v>
      </c>
      <c r="H61" s="52">
        <v>0.41</v>
      </c>
      <c r="I61" s="57">
        <v>0.99</v>
      </c>
    </row>
    <row r="62" spans="2:9">
      <c r="B62" s="4" t="s">
        <v>6</v>
      </c>
      <c r="C62" s="180">
        <v>3590</v>
      </c>
      <c r="D62" s="180">
        <v>2659</v>
      </c>
      <c r="E62" s="187">
        <v>0.53</v>
      </c>
      <c r="F62" s="185">
        <f>Table1182126179111751415[[#This Row],[Calls Handled]]/Table1182126179111751415[[#This Row],[Calls Presented]]</f>
        <v>0.74066852367688019</v>
      </c>
      <c r="G62" s="185">
        <f>1-Table1182126179111751415[[#This Row],[ANS]]</f>
        <v>0.25933147632311981</v>
      </c>
      <c r="H62" s="182">
        <v>0.72</v>
      </c>
      <c r="I62" s="182">
        <v>1</v>
      </c>
    </row>
    <row r="63" spans="2:9">
      <c r="B63" s="4" t="s">
        <v>5</v>
      </c>
      <c r="C63" s="58">
        <v>1976</v>
      </c>
      <c r="D63" s="58">
        <v>1690</v>
      </c>
      <c r="E63" s="49">
        <v>0.76</v>
      </c>
      <c r="F63" s="52">
        <f>Table1182126179111751415[[#This Row],[Calls Handled]]/Table1182126179111751415[[#This Row],[Calls Presented]]</f>
        <v>0.85526315789473684</v>
      </c>
      <c r="G63" s="52">
        <f>1-Table1182126179111751415[[#This Row],[ANS]]</f>
        <v>0.14473684210526316</v>
      </c>
      <c r="H63" s="126">
        <v>0.63</v>
      </c>
      <c r="I63" s="57">
        <v>1</v>
      </c>
    </row>
    <row r="64" spans="2:9">
      <c r="B64" s="4" t="s">
        <v>3</v>
      </c>
      <c r="C64" s="56">
        <v>5389</v>
      </c>
      <c r="D64" s="56">
        <v>4915</v>
      </c>
      <c r="E64" s="49">
        <v>0.75</v>
      </c>
      <c r="F64" s="52">
        <f>Table1182126179111751415[[#This Row],[Calls Handled]]/Table1182126179111751415[[#This Row],[Calls Presented]]</f>
        <v>0.91204305065874935</v>
      </c>
      <c r="G64" s="52">
        <f>1-Table1182126179111751415[[#This Row],[ANS]]</f>
        <v>8.7956949341250645E-2</v>
      </c>
      <c r="H64" s="41">
        <v>0.71</v>
      </c>
      <c r="I64" s="107" t="s">
        <v>20</v>
      </c>
    </row>
    <row r="65" spans="2:9">
      <c r="B65" s="4" t="s">
        <v>4</v>
      </c>
      <c r="C65" s="180">
        <v>2030</v>
      </c>
      <c r="D65" s="181">
        <v>1753</v>
      </c>
      <c r="E65" s="183">
        <v>0.65</v>
      </c>
      <c r="F65" s="185">
        <f>Table1182126179111751415[[#This Row],[Calls Handled]]/Table1182126179111751415[[#This Row],[Calls Presented]]</f>
        <v>0.86354679802955669</v>
      </c>
      <c r="G65" s="185">
        <f>1-Table1182126179111751415[[#This Row],[ANS]]</f>
        <v>0.13645320197044331</v>
      </c>
      <c r="H65" s="183">
        <v>0.61</v>
      </c>
      <c r="I65" s="184">
        <v>1</v>
      </c>
    </row>
    <row r="66" spans="2:9">
      <c r="B66" s="4" t="s">
        <v>7</v>
      </c>
      <c r="C66" s="304"/>
      <c r="D66" s="304"/>
      <c r="E66" s="305"/>
      <c r="F66" s="306">
        <v>0</v>
      </c>
      <c r="G66" s="306">
        <v>0</v>
      </c>
      <c r="H66" s="305"/>
      <c r="I66" s="307" t="s">
        <v>20</v>
      </c>
    </row>
    <row r="67" spans="2:9">
      <c r="B67" s="67" t="s">
        <v>79</v>
      </c>
      <c r="C67" s="68">
        <f>SUM(C61:C66)</f>
        <v>17081</v>
      </c>
      <c r="D67" s="68">
        <f>SUM(D61:D66)</f>
        <v>14851</v>
      </c>
      <c r="E67" s="116">
        <f>AVERAGEIF(E61:E66,"&lt;&gt;0")</f>
        <v>0.69400000000000006</v>
      </c>
      <c r="F67" s="116">
        <f>AVERAGEIF(F61:F66,"&lt;&gt;0")</f>
        <v>0.8615113373019847</v>
      </c>
      <c r="G67" s="116">
        <f>AVERAGEIF(G61:G66,"&lt;&gt;0")</f>
        <v>0.13848866269801538</v>
      </c>
      <c r="H67" s="116">
        <f>AVERAGEIF(H61:H66,"&lt;&gt;0")</f>
        <v>0.61599999999999988</v>
      </c>
      <c r="I67" s="116">
        <f>AVERAGEIF(I61:I66,"&lt;&gt;0")</f>
        <v>0.99750000000000005</v>
      </c>
    </row>
    <row r="70" spans="2:9">
      <c r="B70" s="432" t="s">
        <v>128</v>
      </c>
      <c r="C70" s="435"/>
      <c r="D70" s="435"/>
      <c r="E70" s="435"/>
      <c r="F70" s="435"/>
      <c r="G70" s="435"/>
      <c r="H70" s="435"/>
      <c r="I70" s="433"/>
    </row>
    <row r="71" spans="2:9">
      <c r="B71" s="13" t="s">
        <v>74</v>
      </c>
      <c r="C71" s="14" t="s">
        <v>75</v>
      </c>
      <c r="D71" s="14" t="s">
        <v>76</v>
      </c>
      <c r="E71" s="14" t="s">
        <v>71</v>
      </c>
      <c r="F71" s="14" t="s">
        <v>41</v>
      </c>
      <c r="G71" s="14" t="s">
        <v>40</v>
      </c>
      <c r="H71" s="14" t="s">
        <v>77</v>
      </c>
      <c r="I71" s="8" t="s">
        <v>43</v>
      </c>
    </row>
    <row r="72" spans="2:9">
      <c r="B72" s="4" t="s">
        <v>78</v>
      </c>
      <c r="C72" s="1"/>
      <c r="D72" s="1"/>
      <c r="E72" s="2">
        <v>0.85</v>
      </c>
      <c r="F72" s="2">
        <v>0.94</v>
      </c>
      <c r="G72" s="2">
        <v>0.06</v>
      </c>
      <c r="H72" s="2">
        <v>0.65</v>
      </c>
      <c r="I72" s="12">
        <v>0.95</v>
      </c>
    </row>
    <row r="73" spans="2:9">
      <c r="B73" s="4" t="s">
        <v>2</v>
      </c>
      <c r="C73" s="1">
        <v>4011</v>
      </c>
      <c r="D73" s="1">
        <v>3753</v>
      </c>
      <c r="E73" s="52">
        <v>0.79</v>
      </c>
      <c r="F73" s="57">
        <f>Table118212617911175141521[[#This Row],[Calls Handled]]/Table118212617911175141521[[#This Row],[Calls Presented]]</f>
        <v>0.93567688855646969</v>
      </c>
      <c r="G73" s="57">
        <f>1-Table118212617911175141521[[#This Row],[ANS]]</f>
        <v>6.4323111443530312E-2</v>
      </c>
      <c r="H73" s="52">
        <v>0.38</v>
      </c>
      <c r="I73" s="57">
        <v>0.98</v>
      </c>
    </row>
    <row r="74" spans="2:9">
      <c r="B74" s="4" t="s">
        <v>6</v>
      </c>
      <c r="C74" s="180">
        <v>4228</v>
      </c>
      <c r="D74" s="180">
        <v>3176</v>
      </c>
      <c r="E74" s="187">
        <v>0.42</v>
      </c>
      <c r="F74" s="185">
        <f>Table118212617911175141521[[#This Row],[Calls Handled]]/Table118212617911175141521[[#This Row],[Calls Presented]]</f>
        <v>0.75118259224219486</v>
      </c>
      <c r="G74" s="185">
        <f>1-Table118212617911175141521[[#This Row],[ANS]]</f>
        <v>0.24881740775780514</v>
      </c>
      <c r="H74" s="182">
        <v>0.71</v>
      </c>
      <c r="I74" s="182">
        <v>0.99</v>
      </c>
    </row>
    <row r="75" spans="2:9">
      <c r="B75" s="4" t="s">
        <v>5</v>
      </c>
      <c r="C75" s="58">
        <v>2056</v>
      </c>
      <c r="D75" s="58">
        <v>1857</v>
      </c>
      <c r="E75" s="49">
        <v>0.81</v>
      </c>
      <c r="F75" s="52">
        <f>Table118212617911175141521[[#This Row],[Calls Handled]]/Table118212617911175141521[[#This Row],[Calls Presented]]</f>
        <v>0.90321011673151752</v>
      </c>
      <c r="G75" s="52">
        <f>1-Table118212617911175141521[[#This Row],[ANS]]</f>
        <v>9.6789883268482479E-2</v>
      </c>
      <c r="H75" s="126">
        <v>0.6</v>
      </c>
      <c r="I75" s="57">
        <v>1</v>
      </c>
    </row>
    <row r="76" spans="2:9">
      <c r="B76" s="4" t="s">
        <v>3</v>
      </c>
      <c r="C76" s="56">
        <v>5710</v>
      </c>
      <c r="D76" s="56">
        <v>5080</v>
      </c>
      <c r="E76" s="49">
        <v>0.7</v>
      </c>
      <c r="F76" s="52">
        <f>Table118212617911175141521[[#This Row],[Calls Handled]]/Table118212617911175141521[[#This Row],[Calls Presented]]</f>
        <v>0.88966725043782835</v>
      </c>
      <c r="G76" s="52">
        <f>1-Table118212617911175141521[[#This Row],[ANS]]</f>
        <v>0.11033274956217165</v>
      </c>
      <c r="H76" s="41">
        <v>0.73</v>
      </c>
      <c r="I76" s="107" t="s">
        <v>20</v>
      </c>
    </row>
    <row r="77" spans="2:9">
      <c r="B77" s="4" t="s">
        <v>4</v>
      </c>
      <c r="C77" s="180">
        <v>2120</v>
      </c>
      <c r="D77" s="181">
        <v>1711</v>
      </c>
      <c r="E77" s="183">
        <v>0.66</v>
      </c>
      <c r="F77" s="185">
        <f>Table118212617911175141521[[#This Row],[Calls Handled]]/Table118212617911175141521[[#This Row],[Calls Presented]]</f>
        <v>0.80707547169811322</v>
      </c>
      <c r="G77" s="185">
        <f>1-Table118212617911175141521[[#This Row],[ANS]]</f>
        <v>0.19292452830188678</v>
      </c>
      <c r="H77" s="183">
        <v>0.48</v>
      </c>
      <c r="I77" s="184">
        <v>1</v>
      </c>
    </row>
    <row r="78" spans="2:9">
      <c r="B78" s="4" t="s">
        <v>7</v>
      </c>
      <c r="C78" s="304"/>
      <c r="D78" s="304"/>
      <c r="E78" s="305"/>
      <c r="F78" s="306">
        <v>0</v>
      </c>
      <c r="G78" s="306">
        <v>0</v>
      </c>
      <c r="H78" s="305"/>
      <c r="I78" s="307" t="s">
        <v>20</v>
      </c>
    </row>
    <row r="79" spans="2:9">
      <c r="B79" s="67" t="s">
        <v>79</v>
      </c>
      <c r="C79" s="68">
        <f>SUM(C73:C78)</f>
        <v>18125</v>
      </c>
      <c r="D79" s="68">
        <f>SUM(D73:D78)</f>
        <v>15577</v>
      </c>
      <c r="E79" s="116">
        <f>AVERAGEIF(E73:E78,"&lt;&gt;0")</f>
        <v>0.67599999999999993</v>
      </c>
      <c r="F79" s="116">
        <f>AVERAGEIF(F73:F78,"&lt;&gt;0")</f>
        <v>0.85736246393322479</v>
      </c>
      <c r="G79" s="116">
        <f>AVERAGEIF(G73:G78,"&lt;&gt;0")</f>
        <v>0.14263753606677526</v>
      </c>
      <c r="H79" s="116">
        <f>AVERAGEIF(H73:H78,"&lt;&gt;0")</f>
        <v>0.57999999999999996</v>
      </c>
      <c r="I79" s="116">
        <f>AVERAGEIF(I73:I78,"&lt;&gt;0")</f>
        <v>0.99249999999999994</v>
      </c>
    </row>
    <row r="82" spans="2:9">
      <c r="B82" s="432" t="s">
        <v>129</v>
      </c>
      <c r="C82" s="435"/>
      <c r="D82" s="435"/>
      <c r="E82" s="435"/>
      <c r="F82" s="435"/>
      <c r="G82" s="435"/>
      <c r="H82" s="435"/>
      <c r="I82" s="433"/>
    </row>
    <row r="83" spans="2:9">
      <c r="B83" s="13" t="s">
        <v>74</v>
      </c>
      <c r="C83" s="14" t="s">
        <v>75</v>
      </c>
      <c r="D83" s="14" t="s">
        <v>76</v>
      </c>
      <c r="E83" s="14" t="s">
        <v>71</v>
      </c>
      <c r="F83" s="14" t="s">
        <v>41</v>
      </c>
      <c r="G83" s="14" t="s">
        <v>40</v>
      </c>
      <c r="H83" s="14" t="s">
        <v>77</v>
      </c>
      <c r="I83" s="8" t="s">
        <v>43</v>
      </c>
    </row>
    <row r="84" spans="2:9">
      <c r="B84" s="4" t="s">
        <v>78</v>
      </c>
      <c r="C84" s="1"/>
      <c r="D84" s="1"/>
      <c r="E84" s="2">
        <v>0.85</v>
      </c>
      <c r="F84" s="2">
        <v>0.94</v>
      </c>
      <c r="G84" s="2">
        <v>0.06</v>
      </c>
      <c r="H84" s="2">
        <v>0.65</v>
      </c>
      <c r="I84" s="12">
        <v>0.95</v>
      </c>
    </row>
    <row r="85" spans="2:9">
      <c r="B85" s="4" t="s">
        <v>2</v>
      </c>
      <c r="C85" s="1">
        <v>3099</v>
      </c>
      <c r="D85" s="1">
        <v>2895</v>
      </c>
      <c r="E85" s="52">
        <v>0.87</v>
      </c>
      <c r="F85" s="57">
        <f>Table11821261791117514152125[[#This Row],[Calls Handled]]/Table11821261791117514152125[[#This Row],[Calls Presented]]</f>
        <v>0.93417231364956432</v>
      </c>
      <c r="G85" s="57">
        <f>1-Table11821261791117514152125[[#This Row],[ANS]]</f>
        <v>6.5827686350435677E-2</v>
      </c>
      <c r="H85" s="52">
        <v>0.26</v>
      </c>
      <c r="I85" s="57">
        <v>1</v>
      </c>
    </row>
    <row r="86" spans="2:9">
      <c r="B86" s="4" t="s">
        <v>6</v>
      </c>
      <c r="C86" s="180">
        <v>3867</v>
      </c>
      <c r="D86" s="180">
        <v>2641</v>
      </c>
      <c r="E86" s="187">
        <v>0.33</v>
      </c>
      <c r="F86" s="185">
        <f>Table11821261791117514152125[[#This Row],[Calls Handled]]/Table11821261791117514152125[[#This Row],[Calls Presented]]</f>
        <v>0.68295836565813295</v>
      </c>
      <c r="G86" s="185">
        <f>1-Table11821261791117514152125[[#This Row],[ANS]]</f>
        <v>0.31704163434186705</v>
      </c>
      <c r="H86" s="182">
        <v>0.64</v>
      </c>
      <c r="I86" s="182">
        <v>1</v>
      </c>
    </row>
    <row r="87" spans="2:9">
      <c r="B87" s="4" t="s">
        <v>5</v>
      </c>
      <c r="C87" s="58">
        <v>1591</v>
      </c>
      <c r="D87" s="58">
        <v>1356</v>
      </c>
      <c r="E87" s="49">
        <v>0.71</v>
      </c>
      <c r="F87" s="52">
        <f>Table11821261791117514152125[[#This Row],[Calls Handled]]/Table11821261791117514152125[[#This Row],[Calls Presented]]</f>
        <v>0.85229415461973601</v>
      </c>
      <c r="G87" s="52">
        <f>1-Table11821261791117514152125[[#This Row],[ANS]]</f>
        <v>0.14770584538026399</v>
      </c>
      <c r="H87" s="126">
        <v>0.62</v>
      </c>
      <c r="I87" s="57">
        <v>1</v>
      </c>
    </row>
    <row r="88" spans="2:9">
      <c r="B88" s="4" t="s">
        <v>3</v>
      </c>
      <c r="C88" s="56">
        <v>5179</v>
      </c>
      <c r="D88" s="56">
        <v>3530</v>
      </c>
      <c r="E88" s="49">
        <v>0.56000000000000005</v>
      </c>
      <c r="F88" s="52">
        <f>Table11821261791117514152125[[#This Row],[Calls Handled]]/Table11821261791117514152125[[#This Row],[Calls Presented]]</f>
        <v>0.68159876424020083</v>
      </c>
      <c r="G88" s="52">
        <f>1-Table11821261791117514152125[[#This Row],[ANS]]</f>
        <v>0.31840123575979917</v>
      </c>
      <c r="H88" s="41">
        <v>0.7</v>
      </c>
      <c r="I88" s="107" t="s">
        <v>20</v>
      </c>
    </row>
    <row r="89" spans="2:9">
      <c r="B89" s="4" t="s">
        <v>4</v>
      </c>
      <c r="C89" s="180">
        <v>1800</v>
      </c>
      <c r="D89" s="181">
        <v>1641</v>
      </c>
      <c r="E89" s="183">
        <v>0.79</v>
      </c>
      <c r="F89" s="185">
        <f>Table11821261791117514152125[[#This Row],[Calls Handled]]/Table11821261791117514152125[[#This Row],[Calls Presented]]</f>
        <v>0.91166666666666663</v>
      </c>
      <c r="G89" s="185">
        <f>1-Table11821261791117514152125[[#This Row],[ANS]]</f>
        <v>8.8333333333333375E-2</v>
      </c>
      <c r="H89" s="183">
        <v>0.51</v>
      </c>
      <c r="I89" s="184">
        <v>1</v>
      </c>
    </row>
    <row r="90" spans="2:9">
      <c r="B90" s="4" t="s">
        <v>7</v>
      </c>
      <c r="C90" s="304"/>
      <c r="D90" s="304"/>
      <c r="E90" s="305"/>
      <c r="F90" s="306">
        <v>0</v>
      </c>
      <c r="G90" s="306">
        <v>0</v>
      </c>
      <c r="H90" s="305"/>
      <c r="I90" s="307" t="s">
        <v>20</v>
      </c>
    </row>
    <row r="91" spans="2:9">
      <c r="B91" s="67" t="s">
        <v>79</v>
      </c>
      <c r="C91" s="68">
        <f>SUM(C85:C90)</f>
        <v>15536</v>
      </c>
      <c r="D91" s="68">
        <f>SUM(D85:D90)</f>
        <v>12063</v>
      </c>
      <c r="E91" s="116">
        <f>AVERAGEIF(E85:E90,"&lt;&gt;0")</f>
        <v>0.65199999999999991</v>
      </c>
      <c r="F91" s="116">
        <f>AVERAGEIF(F85:F90,"&lt;&gt;0")</f>
        <v>0.81253805296685999</v>
      </c>
      <c r="G91" s="116">
        <f>AVERAGEIF(G85:G90,"&lt;&gt;0")</f>
        <v>0.18746194703313984</v>
      </c>
      <c r="H91" s="116">
        <f>AVERAGEIF(H85:H90,"&lt;&gt;0")</f>
        <v>0.54599999999999993</v>
      </c>
      <c r="I91" s="116">
        <f>AVERAGEIF(I85:I90,"&lt;&gt;0")</f>
        <v>1</v>
      </c>
    </row>
    <row r="94" spans="2:9">
      <c r="B94" s="432" t="s">
        <v>131</v>
      </c>
      <c r="C94" s="435"/>
      <c r="D94" s="435"/>
      <c r="E94" s="435"/>
      <c r="F94" s="435"/>
      <c r="G94" s="435"/>
      <c r="H94" s="435"/>
      <c r="I94" s="433"/>
    </row>
    <row r="95" spans="2:9">
      <c r="B95" s="13" t="s">
        <v>74</v>
      </c>
      <c r="C95" s="14" t="s">
        <v>75</v>
      </c>
      <c r="D95" s="14" t="s">
        <v>76</v>
      </c>
      <c r="E95" s="14" t="s">
        <v>71</v>
      </c>
      <c r="F95" s="14" t="s">
        <v>41</v>
      </c>
      <c r="G95" s="14" t="s">
        <v>40</v>
      </c>
      <c r="H95" s="14" t="s">
        <v>77</v>
      </c>
      <c r="I95" s="8" t="s">
        <v>43</v>
      </c>
    </row>
    <row r="96" spans="2:9">
      <c r="B96" s="4" t="s">
        <v>78</v>
      </c>
      <c r="C96" s="1"/>
      <c r="D96" s="1"/>
      <c r="E96" s="2">
        <v>0.85</v>
      </c>
      <c r="F96" s="2">
        <v>0.94</v>
      </c>
      <c r="G96" s="2">
        <v>0.06</v>
      </c>
      <c r="H96" s="2">
        <v>0.65</v>
      </c>
      <c r="I96" s="12">
        <v>0.95</v>
      </c>
    </row>
    <row r="97" spans="2:9">
      <c r="B97" s="4" t="s">
        <v>2</v>
      </c>
      <c r="C97" s="1">
        <v>2171</v>
      </c>
      <c r="D97" s="1">
        <v>1918</v>
      </c>
      <c r="E97" s="52">
        <v>0.7</v>
      </c>
      <c r="F97" s="52">
        <f>Table1182126179111751415212526[[#This Row],[Calls Handled]]/Table1182126179111751415212526[[#This Row],[Calls Presented]]</f>
        <v>0.88346384154767388</v>
      </c>
      <c r="G97" s="57">
        <f>1-Table1182126179111751415212526[[#This Row],[ANS]]</f>
        <v>0.11653615845232612</v>
      </c>
      <c r="H97" s="52">
        <v>0.45</v>
      </c>
      <c r="I97" s="57">
        <v>0.99</v>
      </c>
    </row>
    <row r="98" spans="2:9">
      <c r="B98" s="4" t="s">
        <v>6</v>
      </c>
      <c r="C98" s="180">
        <v>3052</v>
      </c>
      <c r="D98" s="180">
        <v>1990</v>
      </c>
      <c r="E98" s="187">
        <v>0.35</v>
      </c>
      <c r="F98" s="185">
        <f>Table1182126179111751415212526[[#This Row],[Calls Handled]]/Table1182126179111751415212526[[#This Row],[Calls Presented]]</f>
        <v>0.65203145478374835</v>
      </c>
      <c r="G98" s="185">
        <f>1-Table1182126179111751415212526[[#This Row],[ANS]]</f>
        <v>0.34796854521625165</v>
      </c>
      <c r="H98" s="182">
        <v>0.75</v>
      </c>
      <c r="I98" s="182">
        <v>1</v>
      </c>
    </row>
    <row r="99" spans="2:9">
      <c r="B99" s="4" t="s">
        <v>5</v>
      </c>
      <c r="C99" s="58">
        <v>1707</v>
      </c>
      <c r="D99" s="58">
        <v>1586</v>
      </c>
      <c r="E99" s="308">
        <v>0.85</v>
      </c>
      <c r="F99" s="52">
        <f>Table1182126179111751415212526[[#This Row],[Calls Handled]]/Table1182126179111751415212526[[#This Row],[Calls Presented]]</f>
        <v>0.92911540714704155</v>
      </c>
      <c r="G99" s="52">
        <f>1-Table1182126179111751415212526[[#This Row],[ANS]]</f>
        <v>7.088459285295845E-2</v>
      </c>
      <c r="H99" s="126">
        <v>0.53</v>
      </c>
      <c r="I99" s="57">
        <v>1</v>
      </c>
    </row>
    <row r="100" spans="2:9">
      <c r="B100" s="4" t="s">
        <v>3</v>
      </c>
      <c r="C100" s="56">
        <v>5277</v>
      </c>
      <c r="D100" s="56">
        <v>4356</v>
      </c>
      <c r="E100" s="49">
        <v>0.56000000000000005</v>
      </c>
      <c r="F100" s="52">
        <f>Table1182126179111751415212526[[#This Row],[Calls Handled]]/Table1182126179111751415212526[[#This Row],[Calls Presented]]</f>
        <v>0.82546901648664017</v>
      </c>
      <c r="G100" s="52">
        <f>1-Table1182126179111751415212526[[#This Row],[ANS]]</f>
        <v>0.17453098351335983</v>
      </c>
      <c r="H100" s="41">
        <v>0.75</v>
      </c>
      <c r="I100" s="107" t="s">
        <v>20</v>
      </c>
    </row>
    <row r="101" spans="2:9">
      <c r="B101" s="4" t="s">
        <v>4</v>
      </c>
      <c r="C101" s="180">
        <v>2186</v>
      </c>
      <c r="D101" s="181">
        <v>1859</v>
      </c>
      <c r="E101" s="183">
        <v>0.78</v>
      </c>
      <c r="F101" s="185">
        <f>Table1182126179111751415212526[[#This Row],[Calls Handled]]/Table1182126179111751415212526[[#This Row],[Calls Presented]]</f>
        <v>0.8504117108874657</v>
      </c>
      <c r="G101" s="185">
        <f>1-Table1182126179111751415212526[[#This Row],[ANS]]</f>
        <v>0.1495882891125343</v>
      </c>
      <c r="H101" s="183">
        <v>0.47</v>
      </c>
      <c r="I101" s="184">
        <v>1</v>
      </c>
    </row>
    <row r="102" spans="2:9">
      <c r="B102" s="4" t="s">
        <v>7</v>
      </c>
      <c r="C102" s="304"/>
      <c r="D102" s="304"/>
      <c r="E102" s="305"/>
      <c r="F102" s="306">
        <v>0</v>
      </c>
      <c r="G102" s="306">
        <v>0</v>
      </c>
      <c r="H102" s="305"/>
      <c r="I102" s="307" t="s">
        <v>20</v>
      </c>
    </row>
    <row r="103" spans="2:9">
      <c r="B103" s="67" t="s">
        <v>79</v>
      </c>
      <c r="C103" s="68">
        <f>SUM(C97:C102)</f>
        <v>14393</v>
      </c>
      <c r="D103" s="68">
        <f>SUM(D97:D102)</f>
        <v>11709</v>
      </c>
      <c r="E103" s="116">
        <f>AVERAGEIF(E97:E102,"&lt;&gt;0")</f>
        <v>0.64800000000000002</v>
      </c>
      <c r="F103" s="116">
        <f>AVERAGEIF(F97:F102,"&lt;&gt;0")</f>
        <v>0.82809828617051395</v>
      </c>
      <c r="G103" s="116">
        <f>AVERAGEIF(G97:G102,"&lt;&gt;0")</f>
        <v>0.17190171382948607</v>
      </c>
      <c r="H103" s="116">
        <f>AVERAGEIF(H97:H102,"&lt;&gt;0")</f>
        <v>0.59000000000000008</v>
      </c>
      <c r="I103" s="69">
        <f>AVERAGEIF(I97:I102,"&lt;&gt;0")</f>
        <v>0.99750000000000005</v>
      </c>
    </row>
    <row r="106" spans="2:9">
      <c r="B106" s="432" t="s">
        <v>134</v>
      </c>
      <c r="C106" s="435"/>
      <c r="D106" s="435"/>
      <c r="E106" s="435"/>
      <c r="F106" s="435"/>
      <c r="G106" s="435"/>
      <c r="H106" s="435"/>
      <c r="I106" s="433"/>
    </row>
    <row r="107" spans="2:9">
      <c r="B107" s="13" t="s">
        <v>74</v>
      </c>
      <c r="C107" s="14" t="s">
        <v>75</v>
      </c>
      <c r="D107" s="14" t="s">
        <v>76</v>
      </c>
      <c r="E107" s="14" t="s">
        <v>71</v>
      </c>
      <c r="F107" s="14" t="s">
        <v>41</v>
      </c>
      <c r="G107" s="14" t="s">
        <v>40</v>
      </c>
      <c r="H107" s="14" t="s">
        <v>77</v>
      </c>
      <c r="I107" s="8" t="s">
        <v>43</v>
      </c>
    </row>
    <row r="108" spans="2:9">
      <c r="B108" s="4" t="s">
        <v>78</v>
      </c>
      <c r="C108" s="1"/>
      <c r="D108" s="1"/>
      <c r="E108" s="2">
        <v>0.85</v>
      </c>
      <c r="F108" s="2">
        <v>0.94</v>
      </c>
      <c r="G108" s="2">
        <v>0.06</v>
      </c>
      <c r="H108" s="2">
        <v>0.65</v>
      </c>
      <c r="I108" s="12">
        <v>0.95</v>
      </c>
    </row>
    <row r="109" spans="2:9">
      <c r="B109" s="4" t="s">
        <v>2</v>
      </c>
      <c r="C109" s="1">
        <v>3799</v>
      </c>
      <c r="D109" s="1">
        <v>3214</v>
      </c>
      <c r="E109" s="52">
        <v>0.68</v>
      </c>
      <c r="F109" s="52">
        <f>Table118212617911175141521252630[[#This Row],[Calls Handled]]/Table118212617911175141521252630[[#This Row],[Calls Presented]]</f>
        <v>0.84601210844959196</v>
      </c>
      <c r="G109" s="52">
        <f>1-Table118212617911175141521252630[[#This Row],[ANS]]</f>
        <v>0.15398789155040804</v>
      </c>
      <c r="H109" s="57">
        <v>0.39</v>
      </c>
      <c r="I109" s="57">
        <v>0.98</v>
      </c>
    </row>
    <row r="110" spans="2:9">
      <c r="B110" s="4" t="s">
        <v>6</v>
      </c>
      <c r="C110" s="180">
        <v>2829</v>
      </c>
      <c r="D110" s="180">
        <v>2156</v>
      </c>
      <c r="E110" s="187">
        <v>0.52</v>
      </c>
      <c r="F110" s="185">
        <f>Table118212617911175141521252630[[#This Row],[Calls Handled]]/Table118212617911175141521252630[[#This Row],[Calls Presented]]</f>
        <v>0.76210675150229767</v>
      </c>
      <c r="G110" s="185">
        <f>1-Table118212617911175141521252630[[#This Row],[ANS]]</f>
        <v>0.23789324849770233</v>
      </c>
      <c r="H110" s="182">
        <v>0.57999999999999996</v>
      </c>
      <c r="I110" s="182">
        <v>0.99</v>
      </c>
    </row>
    <row r="111" spans="2:9">
      <c r="B111" s="4" t="s">
        <v>5</v>
      </c>
      <c r="C111" s="58">
        <v>1449</v>
      </c>
      <c r="D111" s="58">
        <v>1301</v>
      </c>
      <c r="E111" s="308">
        <v>0.78</v>
      </c>
      <c r="F111" s="52">
        <f>Table118212617911175141521252630[[#This Row],[Calls Handled]]/Table118212617911175141521252630[[#This Row],[Calls Presented]]</f>
        <v>0.89786059351276748</v>
      </c>
      <c r="G111" s="52">
        <f>1-Table118212617911175141521252630[[#This Row],[ANS]]</f>
        <v>0.10213940648723252</v>
      </c>
      <c r="H111" s="126">
        <v>0.66</v>
      </c>
      <c r="I111" s="57">
        <v>1</v>
      </c>
    </row>
    <row r="112" spans="2:9">
      <c r="B112" s="4" t="s">
        <v>3</v>
      </c>
      <c r="C112" s="56">
        <v>5446</v>
      </c>
      <c r="D112" s="56">
        <v>4966</v>
      </c>
      <c r="E112" s="49">
        <v>0.75</v>
      </c>
      <c r="F112" s="52">
        <f>Table118212617911175141521252630[[#This Row],[Calls Handled]]/Table118212617911175141521252630[[#This Row],[Calls Presented]]</f>
        <v>0.91186191700330521</v>
      </c>
      <c r="G112" s="52">
        <f>1-Table118212617911175141521252630[[#This Row],[ANS]]</f>
        <v>8.8138082996694789E-2</v>
      </c>
      <c r="H112" s="126">
        <v>0.68</v>
      </c>
      <c r="I112" s="107" t="s">
        <v>20</v>
      </c>
    </row>
    <row r="113" spans="2:9">
      <c r="B113" s="4" t="s">
        <v>4</v>
      </c>
      <c r="C113" s="180">
        <v>1856</v>
      </c>
      <c r="D113" s="181">
        <v>1547</v>
      </c>
      <c r="E113" s="183">
        <v>0.63</v>
      </c>
      <c r="F113" s="185">
        <f>Table118212617911175141521252630[[#This Row],[Calls Handled]]/Table118212617911175141521252630[[#This Row],[Calls Presented]]</f>
        <v>0.83351293103448276</v>
      </c>
      <c r="G113" s="185">
        <f>1-Table118212617911175141521252630[[#This Row],[ANS]]</f>
        <v>0.16648706896551724</v>
      </c>
      <c r="H113" s="183">
        <v>0.48</v>
      </c>
      <c r="I113" s="184">
        <v>1</v>
      </c>
    </row>
    <row r="114" spans="2:9">
      <c r="B114" s="4" t="s">
        <v>7</v>
      </c>
      <c r="C114" s="304"/>
      <c r="D114" s="304"/>
      <c r="E114" s="305"/>
      <c r="F114" s="306">
        <v>0</v>
      </c>
      <c r="G114" s="306">
        <v>0</v>
      </c>
      <c r="H114" s="305"/>
      <c r="I114" s="307" t="s">
        <v>20</v>
      </c>
    </row>
    <row r="115" spans="2:9">
      <c r="B115" s="67" t="s">
        <v>79</v>
      </c>
      <c r="C115" s="68">
        <f>SUM(C109:C114)</f>
        <v>15379</v>
      </c>
      <c r="D115" s="68">
        <f>SUM(D109:D114)</f>
        <v>13184</v>
      </c>
      <c r="E115" s="116">
        <f>AVERAGEIF(E109:E114,"&lt;&gt;0")</f>
        <v>0.67200000000000004</v>
      </c>
      <c r="F115" s="116">
        <f>AVERAGEIF(F109:F114,"&lt;&gt;0")</f>
        <v>0.85027086030048904</v>
      </c>
      <c r="G115" s="116">
        <f>AVERAGEIF(G109:G114,"&lt;&gt;0")</f>
        <v>0.14972913969951099</v>
      </c>
      <c r="H115" s="116">
        <f>AVERAGEIF(H109:H114,"&lt;&gt;0")</f>
        <v>0.55800000000000005</v>
      </c>
      <c r="I115" s="69">
        <f>AVERAGEIF(I109:I114,"&lt;&gt;0")</f>
        <v>0.99249999999999994</v>
      </c>
    </row>
    <row r="118" spans="2:9">
      <c r="B118" s="432" t="s">
        <v>135</v>
      </c>
      <c r="C118" s="435"/>
      <c r="D118" s="435"/>
      <c r="E118" s="435"/>
      <c r="F118" s="435"/>
      <c r="G118" s="435"/>
      <c r="H118" s="435"/>
      <c r="I118" s="433"/>
    </row>
    <row r="119" spans="2:9">
      <c r="B119" s="13" t="s">
        <v>74</v>
      </c>
      <c r="C119" s="14" t="s">
        <v>75</v>
      </c>
      <c r="D119" s="14" t="s">
        <v>76</v>
      </c>
      <c r="E119" s="14" t="s">
        <v>71</v>
      </c>
      <c r="F119" s="14" t="s">
        <v>41</v>
      </c>
      <c r="G119" s="14" t="s">
        <v>40</v>
      </c>
      <c r="H119" s="14" t="s">
        <v>77</v>
      </c>
      <c r="I119" s="8" t="s">
        <v>43</v>
      </c>
    </row>
    <row r="120" spans="2:9">
      <c r="B120" s="4" t="s">
        <v>78</v>
      </c>
      <c r="C120" s="1"/>
      <c r="D120" s="1"/>
      <c r="E120" s="2">
        <v>0.85</v>
      </c>
      <c r="F120" s="2">
        <v>0.94</v>
      </c>
      <c r="G120" s="2">
        <v>0.06</v>
      </c>
      <c r="H120" s="2">
        <v>0.65</v>
      </c>
      <c r="I120" s="12">
        <v>0.95</v>
      </c>
    </row>
    <row r="121" spans="2:9">
      <c r="B121" s="4" t="s">
        <v>2</v>
      </c>
      <c r="C121" s="1">
        <v>3172</v>
      </c>
      <c r="D121" s="1">
        <v>2987</v>
      </c>
      <c r="E121" s="52">
        <v>0.83</v>
      </c>
      <c r="F121" s="57">
        <f>Table11821261791117514152125263032[[#This Row],[Calls Handled]]/Table11821261791117514152125263032[[#This Row],[Calls Presented]]</f>
        <v>0.94167717528373263</v>
      </c>
      <c r="G121" s="57">
        <f>1-Table11821261791117514152125263032[[#This Row],[ANS]]</f>
        <v>5.8322824716267374E-2</v>
      </c>
      <c r="H121" s="57">
        <v>0.37</v>
      </c>
      <c r="I121" s="57">
        <v>1</v>
      </c>
    </row>
    <row r="122" spans="2:9">
      <c r="B122" s="4" t="s">
        <v>6</v>
      </c>
      <c r="C122" s="180">
        <v>3282</v>
      </c>
      <c r="D122" s="180">
        <v>2827</v>
      </c>
      <c r="E122" s="187">
        <v>0.63</v>
      </c>
      <c r="F122" s="185">
        <f>Table11821261791117514152125263032[[#This Row],[Calls Handled]]/Table11821261791117514152125263032[[#This Row],[Calls Presented]]</f>
        <v>0.86136502132845827</v>
      </c>
      <c r="G122" s="185">
        <f>1-Table11821261791117514152125263032[[#This Row],[ANS]]</f>
        <v>0.13863497867154173</v>
      </c>
      <c r="H122" s="182">
        <v>0.62</v>
      </c>
      <c r="I122" s="182">
        <v>0.99</v>
      </c>
    </row>
    <row r="123" spans="2:9">
      <c r="B123" s="4" t="s">
        <v>5</v>
      </c>
      <c r="C123" s="58">
        <v>1638</v>
      </c>
      <c r="D123" s="58">
        <v>1510</v>
      </c>
      <c r="E123" s="308">
        <v>0.85</v>
      </c>
      <c r="F123" s="52">
        <f>Table11821261791117514152125263032[[#This Row],[Calls Handled]]/Table11821261791117514152125263032[[#This Row],[Calls Presented]]</f>
        <v>0.9218559218559218</v>
      </c>
      <c r="G123" s="52">
        <f>1-Table11821261791117514152125263032[[#This Row],[ANS]]</f>
        <v>7.81440781440782E-2</v>
      </c>
      <c r="H123" s="41">
        <v>0.5</v>
      </c>
      <c r="I123" s="57">
        <v>1</v>
      </c>
    </row>
    <row r="124" spans="2:9">
      <c r="B124" s="4" t="s">
        <v>3</v>
      </c>
      <c r="C124" s="56">
        <v>5401</v>
      </c>
      <c r="D124" s="56">
        <v>4894</v>
      </c>
      <c r="E124" s="49">
        <v>0.74</v>
      </c>
      <c r="F124" s="52">
        <f>Table11821261791117514152125263032[[#This Row],[Calls Handled]]/Table11821261791117514152125263032[[#This Row],[Calls Presented]]</f>
        <v>0.90612849472319945</v>
      </c>
      <c r="G124" s="52">
        <f>1-Table11821261791117514152125263032[[#This Row],[ANS]]</f>
        <v>9.3871505276800549E-2</v>
      </c>
      <c r="H124" s="126">
        <v>0.67</v>
      </c>
      <c r="I124" s="107" t="s">
        <v>20</v>
      </c>
    </row>
    <row r="125" spans="2:9">
      <c r="B125" s="4" t="s">
        <v>4</v>
      </c>
      <c r="C125" s="180">
        <v>2190</v>
      </c>
      <c r="D125" s="181">
        <v>1782</v>
      </c>
      <c r="E125" s="183">
        <v>0.61</v>
      </c>
      <c r="F125" s="185">
        <f>Table11821261791117514152125263032[[#This Row],[Calls Handled]]/Table11821261791117514152125263032[[#This Row],[Calls Presented]]</f>
        <v>0.81369863013698629</v>
      </c>
      <c r="G125" s="185">
        <f>1-Table11821261791117514152125263032[[#This Row],[ANS]]</f>
        <v>0.18630136986301371</v>
      </c>
      <c r="H125" s="183">
        <v>0.67</v>
      </c>
      <c r="I125" s="184">
        <v>1</v>
      </c>
    </row>
    <row r="126" spans="2:9">
      <c r="B126" s="4" t="s">
        <v>7</v>
      </c>
      <c r="C126" s="313">
        <v>615</v>
      </c>
      <c r="D126" s="313">
        <v>563</v>
      </c>
      <c r="E126" s="316">
        <v>0.74</v>
      </c>
      <c r="F126" s="185">
        <f>Table11821261791117514152125263032[[#This Row],[Calls Handled]]/Table11821261791117514152125263032[[#This Row],[Calls Presented]]</f>
        <v>0.91544715447154468</v>
      </c>
      <c r="G126" s="185">
        <f>1-Table11821261791117514152125263032[[#This Row],[ANS]]</f>
        <v>8.4552845528455323E-2</v>
      </c>
      <c r="H126" s="314">
        <v>0.55000000000000004</v>
      </c>
      <c r="I126" s="315" t="s">
        <v>20</v>
      </c>
    </row>
    <row r="127" spans="2:9">
      <c r="B127" s="67" t="s">
        <v>79</v>
      </c>
      <c r="C127" s="68">
        <f>SUM(C121:C126)</f>
        <v>16298</v>
      </c>
      <c r="D127" s="68">
        <f>SUM(D121:D126)</f>
        <v>14563</v>
      </c>
      <c r="E127" s="116">
        <f>AVERAGEIF(E121:E126,"&lt;&gt;0")</f>
        <v>0.73333333333333328</v>
      </c>
      <c r="F127" s="116">
        <f>AVERAGEIF(F121:F126,"&lt;&gt;0")</f>
        <v>0.89336206629997383</v>
      </c>
      <c r="G127" s="116">
        <f>AVERAGEIF(G121:G126,"&lt;&gt;0")</f>
        <v>0.10663793370002615</v>
      </c>
      <c r="H127" s="116">
        <f>AVERAGEIF(H121:H126,"&lt;&gt;0")</f>
        <v>0.56333333333333335</v>
      </c>
      <c r="I127" s="69">
        <f>AVERAGEIF(I121:I126,"&lt;&gt;0")</f>
        <v>0.99750000000000005</v>
      </c>
    </row>
    <row r="130" spans="2:9">
      <c r="B130" s="432" t="s">
        <v>138</v>
      </c>
      <c r="C130" s="435"/>
      <c r="D130" s="435"/>
      <c r="E130" s="435"/>
      <c r="F130" s="435"/>
      <c r="G130" s="435"/>
      <c r="H130" s="435"/>
      <c r="I130" s="433"/>
    </row>
    <row r="131" spans="2:9">
      <c r="B131" s="13" t="s">
        <v>74</v>
      </c>
      <c r="C131" s="14" t="s">
        <v>75</v>
      </c>
      <c r="D131" s="14" t="s">
        <v>76</v>
      </c>
      <c r="E131" s="14" t="s">
        <v>71</v>
      </c>
      <c r="F131" s="14" t="s">
        <v>41</v>
      </c>
      <c r="G131" s="14" t="s">
        <v>40</v>
      </c>
      <c r="H131" s="14" t="s">
        <v>77</v>
      </c>
      <c r="I131" s="8" t="s">
        <v>43</v>
      </c>
    </row>
    <row r="132" spans="2:9">
      <c r="B132" s="4" t="s">
        <v>78</v>
      </c>
      <c r="C132" s="1"/>
      <c r="D132" s="1"/>
      <c r="E132" s="2">
        <v>0.85</v>
      </c>
      <c r="F132" s="2">
        <v>0.94</v>
      </c>
      <c r="G132" s="2">
        <v>0.06</v>
      </c>
      <c r="H132" s="2">
        <v>0.65</v>
      </c>
      <c r="I132" s="12">
        <v>0.95</v>
      </c>
    </row>
    <row r="133" spans="2:9">
      <c r="B133" s="4" t="s">
        <v>2</v>
      </c>
      <c r="C133" s="1">
        <v>2976</v>
      </c>
      <c r="D133" s="1">
        <v>2373</v>
      </c>
      <c r="E133" s="52">
        <v>0.62</v>
      </c>
      <c r="F133" s="52">
        <f>Table1182126179111751415212526303233[[#This Row],[Calls Handled]]/Table1182126179111751415212526303233[[#This Row],[Calls Presented]]</f>
        <v>0.7973790322580645</v>
      </c>
      <c r="G133" s="52">
        <f>1-Table1182126179111751415212526303233[[#This Row],[ANS]]</f>
        <v>0.2026209677419355</v>
      </c>
      <c r="H133" s="57">
        <v>0.42</v>
      </c>
      <c r="I133" s="57">
        <v>0.99</v>
      </c>
    </row>
    <row r="134" spans="2:9">
      <c r="B134" s="4" t="s">
        <v>6</v>
      </c>
      <c r="C134" s="180">
        <v>3089</v>
      </c>
      <c r="D134" s="180">
        <v>2540</v>
      </c>
      <c r="E134" s="187">
        <v>0.65</v>
      </c>
      <c r="F134" s="185">
        <f>Table1182126179111751415212526303233[[#This Row],[Calls Handled]]/Table1182126179111751415212526303233[[#This Row],[Calls Presented]]</f>
        <v>0.82227258012301718</v>
      </c>
      <c r="G134" s="185">
        <f>1-Table1182126179111751415212526303233[[#This Row],[ANS]]</f>
        <v>0.17772741987698282</v>
      </c>
      <c r="H134" s="187">
        <v>0.72</v>
      </c>
      <c r="I134" s="182">
        <v>1</v>
      </c>
    </row>
    <row r="135" spans="2:9">
      <c r="B135" s="4" t="s">
        <v>5</v>
      </c>
      <c r="C135" s="58">
        <v>1240</v>
      </c>
      <c r="D135" s="58">
        <v>1132</v>
      </c>
      <c r="E135" s="49">
        <v>0.78</v>
      </c>
      <c r="F135" s="52">
        <f>Table1182126179111751415212526303233[[#This Row],[Calls Handled]]/Table1182126179111751415212526303233[[#This Row],[Calls Presented]]</f>
        <v>0.91290322580645167</v>
      </c>
      <c r="G135" s="52">
        <f>1-Table1182126179111751415212526303233[[#This Row],[ANS]]</f>
        <v>8.7096774193548332E-2</v>
      </c>
      <c r="H135" s="41">
        <v>0.54</v>
      </c>
      <c r="I135" s="57">
        <v>1</v>
      </c>
    </row>
    <row r="136" spans="2:9">
      <c r="B136" s="4" t="s">
        <v>3</v>
      </c>
      <c r="C136" s="56">
        <v>5354</v>
      </c>
      <c r="D136" s="56">
        <v>4988</v>
      </c>
      <c r="E136" s="49">
        <v>0.81</v>
      </c>
      <c r="F136" s="52">
        <f>Table1182126179111751415212526303233[[#This Row],[Calls Handled]]/Table1182126179111751415212526303233[[#This Row],[Calls Presented]]</f>
        <v>0.93163989540530445</v>
      </c>
      <c r="G136" s="52">
        <f>1-Table1182126179111751415212526303233[[#This Row],[ANS]]</f>
        <v>6.8360104594695548E-2</v>
      </c>
      <c r="H136" s="41">
        <v>0.61</v>
      </c>
      <c r="I136" s="107" t="s">
        <v>20</v>
      </c>
    </row>
    <row r="137" spans="2:9">
      <c r="B137" s="4" t="s">
        <v>4</v>
      </c>
      <c r="C137" s="180">
        <v>1976</v>
      </c>
      <c r="D137" s="181">
        <v>1629</v>
      </c>
      <c r="E137" s="183">
        <v>0.66</v>
      </c>
      <c r="F137" s="185">
        <f>Table1182126179111751415212526303233[[#This Row],[Calls Handled]]/Table1182126179111751415212526303233[[#This Row],[Calls Presented]]</f>
        <v>0.82439271255060731</v>
      </c>
      <c r="G137" s="185">
        <f>1-Table1182126179111751415212526303233[[#This Row],[ANS]]</f>
        <v>0.17560728744939269</v>
      </c>
      <c r="H137" s="184">
        <v>0.49</v>
      </c>
      <c r="I137" s="184">
        <v>1</v>
      </c>
    </row>
    <row r="138" spans="2:9">
      <c r="B138" s="4" t="s">
        <v>7</v>
      </c>
      <c r="C138" s="180">
        <v>589</v>
      </c>
      <c r="D138" s="180">
        <v>512</v>
      </c>
      <c r="E138" s="314">
        <v>0.88</v>
      </c>
      <c r="F138" s="185">
        <f>Table1182126179111751415212526303233[[#This Row],[Calls Handled]]/Table1182126179111751415212526303233[[#This Row],[Calls Presented]]</f>
        <v>0.86926994906621391</v>
      </c>
      <c r="G138" s="185">
        <f>1-Table1182126179111751415212526303233[[#This Row],[ANS]]</f>
        <v>0.13073005093378609</v>
      </c>
      <c r="H138" s="314">
        <v>0.61</v>
      </c>
      <c r="I138" s="315" t="s">
        <v>20</v>
      </c>
    </row>
    <row r="139" spans="2:9">
      <c r="B139" s="67" t="s">
        <v>79</v>
      </c>
      <c r="C139" s="68">
        <f>SUM(C133:C138)</f>
        <v>15224</v>
      </c>
      <c r="D139" s="68">
        <f>SUM(D133:D138)</f>
        <v>13174</v>
      </c>
      <c r="E139" s="116">
        <f>AVERAGEIF(E133:E138,"&lt;&gt;0")</f>
        <v>0.73333333333333339</v>
      </c>
      <c r="F139" s="116">
        <f>AVERAGEIF(F133:F138,"&lt;&gt;0")</f>
        <v>0.85964289920160997</v>
      </c>
      <c r="G139" s="116">
        <f>AVERAGEIF(G133:G138,"&lt;&gt;0")</f>
        <v>0.14035710079839017</v>
      </c>
      <c r="H139" s="116">
        <f>AVERAGEIF(H133:H138,"&lt;&gt;0")</f>
        <v>0.56500000000000006</v>
      </c>
      <c r="I139" s="69">
        <f>AVERAGEIF(I133:I138,"&lt;&gt;0")</f>
        <v>0.99750000000000005</v>
      </c>
    </row>
    <row r="142" spans="2:9">
      <c r="B142" s="432" t="s">
        <v>139</v>
      </c>
      <c r="C142" s="435"/>
      <c r="D142" s="435"/>
      <c r="E142" s="435"/>
      <c r="F142" s="435"/>
      <c r="G142" s="435"/>
      <c r="H142" s="435"/>
      <c r="I142" s="433"/>
    </row>
    <row r="143" spans="2:9">
      <c r="B143" s="13" t="s">
        <v>74</v>
      </c>
      <c r="C143" s="14" t="s">
        <v>75</v>
      </c>
      <c r="D143" s="14" t="s">
        <v>76</v>
      </c>
      <c r="E143" s="14" t="s">
        <v>71</v>
      </c>
      <c r="F143" s="14" t="s">
        <v>41</v>
      </c>
      <c r="G143" s="14" t="s">
        <v>40</v>
      </c>
      <c r="H143" s="14" t="s">
        <v>77</v>
      </c>
      <c r="I143" s="8" t="s">
        <v>43</v>
      </c>
    </row>
    <row r="144" spans="2:9">
      <c r="B144" s="4" t="s">
        <v>78</v>
      </c>
      <c r="C144" s="1"/>
      <c r="D144" s="1"/>
      <c r="E144" s="2">
        <v>0.85</v>
      </c>
      <c r="F144" s="2">
        <v>0.94</v>
      </c>
      <c r="G144" s="2">
        <v>0.06</v>
      </c>
      <c r="H144" s="2">
        <v>0.65</v>
      </c>
      <c r="I144" s="12">
        <v>0.95</v>
      </c>
    </row>
    <row r="145" spans="2:9">
      <c r="B145" s="4" t="s">
        <v>2</v>
      </c>
      <c r="C145" s="1">
        <v>3050</v>
      </c>
      <c r="D145" s="1">
        <v>2811</v>
      </c>
      <c r="E145" s="52">
        <v>0.8</v>
      </c>
      <c r="F145" s="52">
        <f>Table118212617911175141521252630323334[[#This Row],[Calls Handled]]/Table118212617911175141521252630323334[[#This Row],[Calls Presented]]</f>
        <v>0.9216393442622951</v>
      </c>
      <c r="G145" s="52">
        <f>1-Table118212617911175141521252630323334[[#This Row],[ANS]]</f>
        <v>7.8360655737704898E-2</v>
      </c>
      <c r="H145" s="57">
        <v>0.35</v>
      </c>
      <c r="I145" s="57">
        <v>1</v>
      </c>
    </row>
    <row r="146" spans="2:9">
      <c r="B146" s="4" t="s">
        <v>6</v>
      </c>
      <c r="C146" s="317"/>
      <c r="D146" s="317"/>
      <c r="E146" s="318"/>
      <c r="F146" s="319"/>
      <c r="G146" s="319"/>
      <c r="H146" s="318"/>
      <c r="I146" s="320"/>
    </row>
    <row r="147" spans="2:9">
      <c r="B147" s="4" t="s">
        <v>5</v>
      </c>
      <c r="C147" s="58">
        <v>1773</v>
      </c>
      <c r="D147" s="58">
        <v>1645</v>
      </c>
      <c r="E147" s="49">
        <v>0.88</v>
      </c>
      <c r="F147" s="52">
        <f>Table118212617911175141521252630323334[[#This Row],[Calls Handled]]/Table118212617911175141521252630323334[[#This Row],[Calls Presented]]</f>
        <v>0.92780597856739988</v>
      </c>
      <c r="G147" s="52">
        <f>1-Table118212617911175141521252630323334[[#This Row],[ANS]]</f>
        <v>7.219402143260012E-2</v>
      </c>
      <c r="H147" s="41">
        <v>0.57999999999999996</v>
      </c>
      <c r="I147" s="57">
        <v>1</v>
      </c>
    </row>
    <row r="148" spans="2:9">
      <c r="B148" s="4" t="s">
        <v>3</v>
      </c>
      <c r="C148" s="56">
        <v>5733</v>
      </c>
      <c r="D148" s="56">
        <v>5080</v>
      </c>
      <c r="E148" s="49">
        <v>0.66</v>
      </c>
      <c r="F148" s="52">
        <f>Table118212617911175141521252630323334[[#This Row],[Calls Handled]]/Table118212617911175141521252630323334[[#This Row],[Calls Presented]]</f>
        <v>0.88609802895517176</v>
      </c>
      <c r="G148" s="52">
        <f>1-Table118212617911175141521252630323334[[#This Row],[ANS]]</f>
        <v>0.11390197104482824</v>
      </c>
      <c r="H148" s="41">
        <v>0.72</v>
      </c>
      <c r="I148" s="107" t="s">
        <v>20</v>
      </c>
    </row>
    <row r="149" spans="2:9">
      <c r="B149" s="4" t="s">
        <v>4</v>
      </c>
      <c r="C149" s="180">
        <v>2250</v>
      </c>
      <c r="D149" s="181">
        <v>1947</v>
      </c>
      <c r="E149" s="183">
        <v>0.67</v>
      </c>
      <c r="F149" s="185">
        <f>Table118212617911175141521252630323334[[#This Row],[Calls Handled]]/Table118212617911175141521252630323334[[#This Row],[Calls Presented]]</f>
        <v>0.86533333333333329</v>
      </c>
      <c r="G149" s="185">
        <f>1-Table118212617911175141521252630323334[[#This Row],[ANS]]</f>
        <v>0.13466666666666671</v>
      </c>
      <c r="H149" s="184">
        <v>0.51</v>
      </c>
      <c r="I149" s="184">
        <v>1</v>
      </c>
    </row>
    <row r="150" spans="2:9">
      <c r="B150" s="4" t="s">
        <v>7</v>
      </c>
      <c r="C150" s="180">
        <v>395</v>
      </c>
      <c r="D150" s="180">
        <v>345</v>
      </c>
      <c r="E150" s="314">
        <v>0.87</v>
      </c>
      <c r="F150" s="185">
        <f>Table118212617911175141521252630323334[[#This Row],[Calls Handled]]/Table118212617911175141521252630323334[[#This Row],[Calls Presented]]</f>
        <v>0.87341772151898733</v>
      </c>
      <c r="G150" s="185">
        <f>1-Table118212617911175141521252630323334[[#This Row],[ANS]]</f>
        <v>0.12658227848101267</v>
      </c>
      <c r="H150" s="314">
        <v>0.16</v>
      </c>
      <c r="I150" s="315" t="s">
        <v>20</v>
      </c>
    </row>
    <row r="151" spans="2:9">
      <c r="B151" s="67" t="s">
        <v>79</v>
      </c>
      <c r="C151" s="68">
        <f>SUM(C145:C150)</f>
        <v>13201</v>
      </c>
      <c r="D151" s="68">
        <f>SUM(D145:D150)</f>
        <v>11828</v>
      </c>
      <c r="E151" s="116">
        <f>AVERAGEIF(E145:E150,"&lt;&gt;0")</f>
        <v>0.77600000000000002</v>
      </c>
      <c r="F151" s="116">
        <f>AVERAGEIF(F145:F150,"&lt;&gt;0")</f>
        <v>0.89485888132743752</v>
      </c>
      <c r="G151" s="116">
        <f>AVERAGEIF(G145:G150,"&lt;&gt;0")</f>
        <v>0.10514111867256253</v>
      </c>
      <c r="H151" s="144">
        <f>AVERAGEIF(H145:H150,"&lt;&gt;0")</f>
        <v>0.46400000000000008</v>
      </c>
      <c r="I151" s="69">
        <f>AVERAGEIF(I145:I150,"&lt;&gt;0")</f>
        <v>1</v>
      </c>
    </row>
    <row r="154" spans="2:9">
      <c r="B154" s="432" t="s">
        <v>148</v>
      </c>
      <c r="C154" s="435"/>
      <c r="D154" s="435"/>
      <c r="E154" s="435"/>
      <c r="F154" s="435"/>
      <c r="G154" s="435"/>
      <c r="H154" s="435"/>
      <c r="I154" s="433"/>
    </row>
    <row r="155" spans="2:9">
      <c r="B155" s="13" t="s">
        <v>74</v>
      </c>
      <c r="C155" s="14" t="s">
        <v>75</v>
      </c>
      <c r="D155" s="14" t="s">
        <v>76</v>
      </c>
      <c r="E155" s="14" t="s">
        <v>71</v>
      </c>
      <c r="F155" s="14" t="s">
        <v>41</v>
      </c>
      <c r="G155" s="14" t="s">
        <v>40</v>
      </c>
      <c r="H155" s="14" t="s">
        <v>77</v>
      </c>
      <c r="I155" s="8" t="s">
        <v>43</v>
      </c>
    </row>
    <row r="156" spans="2:9">
      <c r="B156" s="4" t="s">
        <v>78</v>
      </c>
      <c r="C156" s="1"/>
      <c r="D156" s="1"/>
      <c r="E156" s="2">
        <v>0.85</v>
      </c>
      <c r="F156" s="2">
        <v>0.94</v>
      </c>
      <c r="G156" s="2">
        <v>0.06</v>
      </c>
      <c r="H156" s="2">
        <v>0.65</v>
      </c>
      <c r="I156" s="12">
        <v>0.95</v>
      </c>
    </row>
    <row r="157" spans="2:9">
      <c r="B157" s="4" t="s">
        <v>2</v>
      </c>
      <c r="C157" s="1">
        <v>2931</v>
      </c>
      <c r="D157" s="1">
        <v>2758</v>
      </c>
      <c r="E157" s="337">
        <v>0.86</v>
      </c>
      <c r="F157" s="337">
        <f>Table11821261791117514152125263032333437[[#This Row],[Calls Handled]]/Table11821261791117514152125263032333437[[#This Row],[Calls Presented]]</f>
        <v>0.94097577618560213</v>
      </c>
      <c r="G157" s="337">
        <f>1-Table11821261791117514152125263032333437[[#This Row],[ANS]]</f>
        <v>5.9024223814397869E-2</v>
      </c>
      <c r="H157" s="52">
        <v>0.33</v>
      </c>
      <c r="I157" s="337">
        <v>1</v>
      </c>
    </row>
    <row r="158" spans="2:9">
      <c r="B158" s="4" t="s">
        <v>6</v>
      </c>
      <c r="C158" s="313">
        <v>3159</v>
      </c>
      <c r="D158" s="313">
        <v>2467</v>
      </c>
      <c r="E158" s="336">
        <v>0.44</v>
      </c>
      <c r="F158" s="52">
        <f>Table11821261791117514152125263032333437[[#This Row],[Calls Handled]]/Table11821261791117514152125263032333437[[#This Row],[Calls Presented]]</f>
        <v>0.78094333649889203</v>
      </c>
      <c r="G158" s="52">
        <f>1-Table11821261791117514152125263032333437[[#This Row],[ANS]]</f>
        <v>0.21905666350110797</v>
      </c>
      <c r="H158" s="336">
        <v>0.62</v>
      </c>
      <c r="I158" s="338">
        <v>1</v>
      </c>
    </row>
    <row r="159" spans="2:9">
      <c r="B159" s="4" t="s">
        <v>5</v>
      </c>
      <c r="C159" s="58">
        <v>1340</v>
      </c>
      <c r="D159" s="58">
        <v>1269</v>
      </c>
      <c r="E159" s="339">
        <v>0.88</v>
      </c>
      <c r="F159" s="337">
        <f>Table11821261791117514152125263032333437[[#This Row],[Calls Handled]]/Table11821261791117514152125263032333437[[#This Row],[Calls Presented]]</f>
        <v>0.94701492537313436</v>
      </c>
      <c r="G159" s="337">
        <f>1-Table11821261791117514152125263032333437[[#This Row],[ANS]]</f>
        <v>5.2985074626865636E-2</v>
      </c>
      <c r="H159" s="126">
        <v>0.49</v>
      </c>
      <c r="I159" s="337">
        <v>1</v>
      </c>
    </row>
    <row r="160" spans="2:9">
      <c r="B160" s="4" t="s">
        <v>3</v>
      </c>
      <c r="C160" s="56">
        <v>3276</v>
      </c>
      <c r="D160" s="56">
        <v>2157</v>
      </c>
      <c r="E160" s="49">
        <v>0.37</v>
      </c>
      <c r="F160" s="52">
        <f>Table11821261791117514152125263032333437[[#This Row],[Calls Handled]]/Table11821261791117514152125263032333437[[#This Row],[Calls Presented]]</f>
        <v>0.65842490842490842</v>
      </c>
      <c r="G160" s="52">
        <f>1-Table11821261791117514152125263032333437[[#This Row],[ANS]]</f>
        <v>0.34157509157509158</v>
      </c>
      <c r="H160" s="340">
        <v>0.52</v>
      </c>
      <c r="I160" s="107" t="s">
        <v>20</v>
      </c>
    </row>
    <row r="161" spans="2:9">
      <c r="B161" s="4" t="s">
        <v>4</v>
      </c>
      <c r="C161" s="180">
        <v>1404</v>
      </c>
      <c r="D161" s="181">
        <v>1201</v>
      </c>
      <c r="E161" s="183">
        <v>0.7</v>
      </c>
      <c r="F161" s="185">
        <f>Table11821261791117514152125263032333437[[#This Row],[Calls Handled]]/Table11821261791117514152125263032333437[[#This Row],[Calls Presented]]</f>
        <v>0.85541310541310545</v>
      </c>
      <c r="G161" s="185">
        <f>1-Table11821261791117514152125263032333437[[#This Row],[ANS]]</f>
        <v>0.14458689458689455</v>
      </c>
      <c r="H161" s="341">
        <v>0.48</v>
      </c>
      <c r="I161" s="341">
        <v>1</v>
      </c>
    </row>
    <row r="162" spans="2:9">
      <c r="B162" s="4" t="s">
        <v>7</v>
      </c>
      <c r="C162" s="180">
        <v>279</v>
      </c>
      <c r="D162" s="180">
        <v>216</v>
      </c>
      <c r="E162" s="314">
        <v>0.82</v>
      </c>
      <c r="F162" s="185">
        <f>Table11821261791117514152125263032333437[[#This Row],[Calls Handled]]/Table11821261791117514152125263032333437[[#This Row],[Calls Presented]]</f>
        <v>0.77419354838709675</v>
      </c>
      <c r="G162" s="185">
        <f>1-Table11821261791117514152125263032333437[[#This Row],[ANS]]</f>
        <v>0.22580645161290325</v>
      </c>
      <c r="H162" s="342">
        <v>0.13</v>
      </c>
      <c r="I162" s="315" t="s">
        <v>20</v>
      </c>
    </row>
    <row r="163" spans="2:9">
      <c r="B163" s="67" t="s">
        <v>79</v>
      </c>
      <c r="C163" s="68">
        <f>SUM(C157:C162)</f>
        <v>12389</v>
      </c>
      <c r="D163" s="68">
        <f>SUM(D157:D162)</f>
        <v>10068</v>
      </c>
      <c r="E163" s="116">
        <f>AVERAGEIF(E157:E162,"&lt;&gt;0")</f>
        <v>0.67833333333333334</v>
      </c>
      <c r="F163" s="116">
        <f>AVERAGEIF(F157:F162,"&lt;&gt;0")</f>
        <v>0.8261609333804566</v>
      </c>
      <c r="G163" s="116">
        <f>AVERAGEIF(G157:G162,"&lt;&gt;0")</f>
        <v>0.17383906661954349</v>
      </c>
      <c r="H163" s="343">
        <f>AVERAGEIF(H157:H162,"&lt;&gt;0")</f>
        <v>0.42833333333333329</v>
      </c>
      <c r="I163" s="343">
        <f>AVERAGEIF(I157:I162,"&lt;&gt;0")</f>
        <v>1</v>
      </c>
    </row>
    <row r="166" spans="2:9">
      <c r="B166" s="432" t="s">
        <v>149</v>
      </c>
      <c r="C166" s="435"/>
      <c r="D166" s="435"/>
      <c r="E166" s="435"/>
      <c r="F166" s="435"/>
      <c r="G166" s="435"/>
      <c r="H166" s="435"/>
      <c r="I166" s="433"/>
    </row>
    <row r="167" spans="2:9">
      <c r="B167" s="13" t="s">
        <v>74</v>
      </c>
      <c r="C167" s="14" t="s">
        <v>75</v>
      </c>
      <c r="D167" s="14" t="s">
        <v>76</v>
      </c>
      <c r="E167" s="14" t="s">
        <v>71</v>
      </c>
      <c r="F167" s="14" t="s">
        <v>41</v>
      </c>
      <c r="G167" s="14" t="s">
        <v>40</v>
      </c>
      <c r="H167" s="14" t="s">
        <v>77</v>
      </c>
      <c r="I167" s="8" t="s">
        <v>43</v>
      </c>
    </row>
    <row r="168" spans="2:9">
      <c r="B168" s="4" t="s">
        <v>78</v>
      </c>
      <c r="C168" s="1"/>
      <c r="D168" s="1"/>
      <c r="E168" s="2">
        <v>0.85</v>
      </c>
      <c r="F168" s="2">
        <v>0.94</v>
      </c>
      <c r="G168" s="2">
        <v>0.06</v>
      </c>
      <c r="H168" s="2">
        <v>0.65</v>
      </c>
      <c r="I168" s="12">
        <v>0.95</v>
      </c>
    </row>
    <row r="169" spans="2:9">
      <c r="B169" s="4" t="s">
        <v>2</v>
      </c>
      <c r="C169" s="1">
        <v>2941</v>
      </c>
      <c r="D169" s="1">
        <v>2597</v>
      </c>
      <c r="E169" s="52">
        <v>0.73</v>
      </c>
      <c r="F169" s="52">
        <f>Table1182126179111751415212526303233343738[[#This Row],[Calls Handled]]/Table1182126179111751415212526303233343738[[#This Row],[Calls Presented]]</f>
        <v>0.88303298197891877</v>
      </c>
      <c r="G169" s="52">
        <f>1-Table1182126179111751415212526303233343738[[#This Row],[ANS]]</f>
        <v>0.11696701802108123</v>
      </c>
      <c r="H169" s="52">
        <v>0.34</v>
      </c>
      <c r="I169" s="345">
        <v>1</v>
      </c>
    </row>
    <row r="170" spans="2:9">
      <c r="B170" s="4" t="s">
        <v>6</v>
      </c>
      <c r="C170" s="313">
        <v>3559</v>
      </c>
      <c r="D170" s="313">
        <v>2904</v>
      </c>
      <c r="E170" s="336">
        <v>0.67</v>
      </c>
      <c r="F170" s="52">
        <f>Table1182126179111751415212526303233343738[[#This Row],[Calls Handled]]/Table1182126179111751415212526303233343738[[#This Row],[Calls Presented]]</f>
        <v>0.81595953919640352</v>
      </c>
      <c r="G170" s="52">
        <f>1-Table1182126179111751415212526303233343738[[#This Row],[ANS]]</f>
        <v>0.18404046080359648</v>
      </c>
      <c r="H170" s="336">
        <v>0.59</v>
      </c>
      <c r="I170" s="347">
        <v>1</v>
      </c>
    </row>
    <row r="171" spans="2:9">
      <c r="B171" s="4" t="s">
        <v>5</v>
      </c>
      <c r="C171" s="58">
        <v>1603</v>
      </c>
      <c r="D171" s="58">
        <v>1525</v>
      </c>
      <c r="E171" s="344">
        <v>0.9</v>
      </c>
      <c r="F171" s="345">
        <f>Table1182126179111751415212526303233343738[[#This Row],[Calls Handled]]/Table1182126179111751415212526303233343738[[#This Row],[Calls Presented]]</f>
        <v>0.95134123518402991</v>
      </c>
      <c r="G171" s="345">
        <f>1-Table1182126179111751415212526303233343738[[#This Row],[ANS]]</f>
        <v>4.865876481597009E-2</v>
      </c>
      <c r="H171" s="126">
        <v>0.53</v>
      </c>
      <c r="I171" s="345">
        <v>1</v>
      </c>
    </row>
    <row r="172" spans="2:9">
      <c r="B172" s="4" t="s">
        <v>3</v>
      </c>
      <c r="C172" s="56">
        <v>5135</v>
      </c>
      <c r="D172" s="56">
        <v>4026</v>
      </c>
      <c r="E172" s="49">
        <v>0.52</v>
      </c>
      <c r="F172" s="52">
        <f>Table1182126179111751415212526303233343738[[#This Row],[Calls Handled]]/Table1182126179111751415212526303233343738[[#This Row],[Calls Presented]]</f>
        <v>0.78403115871470297</v>
      </c>
      <c r="G172" s="52">
        <f>1-Table1182126179111751415212526303233343738[[#This Row],[ANS]]</f>
        <v>0.21596884128529703</v>
      </c>
      <c r="H172" s="352">
        <v>0.65</v>
      </c>
      <c r="I172" s="348" t="s">
        <v>20</v>
      </c>
    </row>
    <row r="173" spans="2:9">
      <c r="B173" s="4" t="s">
        <v>4</v>
      </c>
      <c r="C173" s="180">
        <v>2198</v>
      </c>
      <c r="D173" s="181">
        <v>1708</v>
      </c>
      <c r="E173" s="183">
        <v>0.53</v>
      </c>
      <c r="F173" s="185">
        <f>Table1182126179111751415212526303233343738[[#This Row],[Calls Handled]]/Table1182126179111751415212526303233343738[[#This Row],[Calls Presented]]</f>
        <v>0.77707006369426757</v>
      </c>
      <c r="G173" s="185">
        <f>1-Table1182126179111751415212526303233343738[[#This Row],[ANS]]</f>
        <v>0.22292993630573243</v>
      </c>
      <c r="H173" s="349">
        <v>0.68</v>
      </c>
      <c r="I173" s="349">
        <v>1</v>
      </c>
    </row>
    <row r="174" spans="2:9">
      <c r="B174" s="4" t="s">
        <v>7</v>
      </c>
      <c r="C174" s="180">
        <v>751</v>
      </c>
      <c r="D174" s="180">
        <v>660</v>
      </c>
      <c r="E174" s="346">
        <v>0.89</v>
      </c>
      <c r="F174" s="185">
        <f>Table1182126179111751415212526303233343738[[#This Row],[Calls Handled]]/Table1182126179111751415212526303233343738[[#This Row],[Calls Presented]]</f>
        <v>0.87882822902796276</v>
      </c>
      <c r="G174" s="185">
        <f>1-Table1182126179111751415212526303233343738[[#This Row],[ANS]]</f>
        <v>0.12117177097203724</v>
      </c>
      <c r="H174" s="346">
        <v>0.34</v>
      </c>
      <c r="I174" s="350" t="s">
        <v>20</v>
      </c>
    </row>
    <row r="175" spans="2:9">
      <c r="B175" s="67" t="s">
        <v>79</v>
      </c>
      <c r="C175" s="68">
        <f>SUM(C169:C174)</f>
        <v>16187</v>
      </c>
      <c r="D175" s="68">
        <f>SUM(D169:D174)</f>
        <v>13420</v>
      </c>
      <c r="E175" s="116">
        <f>AVERAGEIF(E169:E174,"&lt;&gt;0")</f>
        <v>0.70666666666666655</v>
      </c>
      <c r="F175" s="116">
        <f>AVERAGEIF(F169:F174,"&lt;&gt;0")</f>
        <v>0.84837720129938088</v>
      </c>
      <c r="G175" s="116">
        <f>AVERAGEIF(G169:G174,"&lt;&gt;0")</f>
        <v>0.15162279870061909</v>
      </c>
      <c r="H175" s="351">
        <f>AVERAGEIF(H169:H174,"&lt;&gt;0")</f>
        <v>0.52166666666666661</v>
      </c>
      <c r="I175" s="351">
        <f>AVERAGEIF(I169:I174,"&lt;&gt;0")</f>
        <v>1</v>
      </c>
    </row>
    <row r="178" spans="2:9">
      <c r="B178" s="432" t="s">
        <v>150</v>
      </c>
      <c r="C178" s="435"/>
      <c r="D178" s="435"/>
      <c r="E178" s="435"/>
      <c r="F178" s="435"/>
      <c r="G178" s="435"/>
      <c r="H178" s="435"/>
      <c r="I178" s="433"/>
    </row>
    <row r="179" spans="2:9">
      <c r="B179" s="13" t="s">
        <v>74</v>
      </c>
      <c r="C179" s="14" t="s">
        <v>75</v>
      </c>
      <c r="D179" s="14" t="s">
        <v>76</v>
      </c>
      <c r="E179" s="14" t="s">
        <v>71</v>
      </c>
      <c r="F179" s="14" t="s">
        <v>41</v>
      </c>
      <c r="G179" s="14" t="s">
        <v>40</v>
      </c>
      <c r="H179" s="14" t="s">
        <v>77</v>
      </c>
      <c r="I179" s="8" t="s">
        <v>43</v>
      </c>
    </row>
    <row r="180" spans="2:9">
      <c r="B180" s="4" t="s">
        <v>78</v>
      </c>
      <c r="C180" s="1"/>
      <c r="D180" s="1"/>
      <c r="E180" s="2">
        <v>0.85</v>
      </c>
      <c r="F180" s="2">
        <v>0.94</v>
      </c>
      <c r="G180" s="2">
        <v>0.06</v>
      </c>
      <c r="H180" s="2">
        <v>0.65</v>
      </c>
      <c r="I180" s="12">
        <v>0.95</v>
      </c>
    </row>
    <row r="181" spans="2:9">
      <c r="B181" s="4" t="s">
        <v>2</v>
      </c>
      <c r="C181" s="1">
        <v>3334</v>
      </c>
      <c r="D181" s="1">
        <v>2961</v>
      </c>
      <c r="E181" s="52">
        <v>0.72</v>
      </c>
      <c r="F181" s="52">
        <f>Table118212617911175141521252630323334373841[[#This Row],[Calls Handled]]/Table118212617911175141521252630323334373841[[#This Row],[Calls Presented]]</f>
        <v>0.88812237552489504</v>
      </c>
      <c r="G181" s="52">
        <f>1-Table118212617911175141521252630323334373841[[#This Row],[ANS]]</f>
        <v>0.11187762447510496</v>
      </c>
      <c r="H181" s="52">
        <v>0.36</v>
      </c>
      <c r="I181" s="345">
        <v>1</v>
      </c>
    </row>
    <row r="182" spans="2:9">
      <c r="B182" s="4" t="s">
        <v>6</v>
      </c>
      <c r="C182" s="313">
        <v>3429</v>
      </c>
      <c r="D182" s="313">
        <v>2899</v>
      </c>
      <c r="E182" s="336">
        <v>0.72</v>
      </c>
      <c r="F182" s="52">
        <f>Table118212617911175141521252630323334373841[[#This Row],[Calls Handled]]/Table118212617911175141521252630323334373841[[#This Row],[Calls Presented]]</f>
        <v>0.84543598716827062</v>
      </c>
      <c r="G182" s="52">
        <f>1-Table118212617911175141521252630323334373841[[#This Row],[ANS]]</f>
        <v>0.15456401283172938</v>
      </c>
      <c r="H182" s="336">
        <v>0.51</v>
      </c>
      <c r="I182" s="347">
        <v>0.99</v>
      </c>
    </row>
    <row r="183" spans="2:9">
      <c r="B183" s="4" t="s">
        <v>5</v>
      </c>
      <c r="C183" s="58">
        <v>1711</v>
      </c>
      <c r="D183" s="58">
        <v>1566</v>
      </c>
      <c r="E183" s="49">
        <v>0.84</v>
      </c>
      <c r="F183" s="345">
        <f>Table118212617911175141521252630323334373841[[#This Row],[Calls Handled]]/Table118212617911175141521252630323334373841[[#This Row],[Calls Presented]]</f>
        <v>0.9152542372881356</v>
      </c>
      <c r="G183" s="345">
        <f>1-Table118212617911175141521252630323334373841[[#This Row],[ANS]]</f>
        <v>8.4745762711864403E-2</v>
      </c>
      <c r="H183" s="352">
        <v>0.61</v>
      </c>
      <c r="I183" s="345">
        <v>1</v>
      </c>
    </row>
    <row r="184" spans="2:9">
      <c r="B184" s="4" t="s">
        <v>3</v>
      </c>
      <c r="C184" s="56">
        <v>5826</v>
      </c>
      <c r="D184" s="56">
        <v>4689</v>
      </c>
      <c r="E184" s="49">
        <v>0.54</v>
      </c>
      <c r="F184" s="52">
        <f>Table118212617911175141521252630323334373841[[#This Row],[Calls Handled]]/Table118212617911175141521252630323334373841[[#This Row],[Calls Presented]]</f>
        <v>0.80484037075180226</v>
      </c>
      <c r="G184" s="52">
        <f>1-Table118212617911175141521252630323334373841[[#This Row],[ANS]]</f>
        <v>0.19515962924819774</v>
      </c>
      <c r="H184" s="352">
        <v>0.64</v>
      </c>
      <c r="I184" s="348" t="s">
        <v>20</v>
      </c>
    </row>
    <row r="185" spans="2:9">
      <c r="B185" s="4" t="s">
        <v>4</v>
      </c>
      <c r="C185" s="180">
        <v>2091</v>
      </c>
      <c r="D185" s="181">
        <v>1699</v>
      </c>
      <c r="E185" s="183">
        <v>0.64</v>
      </c>
      <c r="F185" s="185">
        <f>Table118212617911175141521252630323334373841[[#This Row],[Calls Handled]]/Table118212617911175141521252630323334373841[[#This Row],[Calls Presented]]</f>
        <v>0.81252989000478237</v>
      </c>
      <c r="G185" s="185">
        <f>1-Table118212617911175141521252630323334373841[[#This Row],[ANS]]</f>
        <v>0.18747010999521763</v>
      </c>
      <c r="H185" s="349">
        <v>0.55000000000000004</v>
      </c>
      <c r="I185" s="349">
        <v>1</v>
      </c>
    </row>
    <row r="186" spans="2:9">
      <c r="B186" s="4" t="s">
        <v>7</v>
      </c>
      <c r="C186" s="180">
        <v>670</v>
      </c>
      <c r="D186" s="180">
        <v>598</v>
      </c>
      <c r="E186" s="346">
        <v>0.9</v>
      </c>
      <c r="F186" s="185">
        <f>Table118212617911175141521252630323334373841[[#This Row],[Calls Handled]]/Table118212617911175141521252630323334373841[[#This Row],[Calls Presented]]</f>
        <v>0.89253731343283582</v>
      </c>
      <c r="G186" s="185">
        <f>1-Table118212617911175141521252630323334373841[[#This Row],[ANS]]</f>
        <v>0.10746268656716418</v>
      </c>
      <c r="H186" s="346">
        <v>0.6</v>
      </c>
      <c r="I186" s="350" t="s">
        <v>20</v>
      </c>
    </row>
    <row r="187" spans="2:9">
      <c r="B187" s="67" t="s">
        <v>79</v>
      </c>
      <c r="C187" s="68">
        <f>SUM(C181:C186)</f>
        <v>17061</v>
      </c>
      <c r="D187" s="68">
        <f>SUM(D181:D186)</f>
        <v>14412</v>
      </c>
      <c r="E187" s="116">
        <f>AVERAGEIF(E181:E186,"&lt;&gt;0")</f>
        <v>0.72666666666666668</v>
      </c>
      <c r="F187" s="116">
        <f>AVERAGEIF(F181:F186,"&lt;&gt;0")</f>
        <v>0.85978669569512034</v>
      </c>
      <c r="G187" s="116">
        <f>AVERAGEIF(G181:G186,"&lt;&gt;0")</f>
        <v>0.14021330430487972</v>
      </c>
      <c r="H187" s="351">
        <f>AVERAGEIF(H181:H186,"&lt;&gt;0")</f>
        <v>0.54500000000000004</v>
      </c>
      <c r="I187" s="351">
        <f>AVERAGEIF(I181:I186,"&lt;&gt;0")</f>
        <v>0.99750000000000005</v>
      </c>
    </row>
    <row r="189" spans="2:9" ht="15" thickBot="1"/>
    <row r="190" spans="2:9" ht="15" thickBot="1">
      <c r="B190" s="436" t="s">
        <v>179</v>
      </c>
      <c r="C190" s="437"/>
      <c r="D190" s="437"/>
      <c r="E190" s="437"/>
      <c r="F190" s="437"/>
      <c r="G190" s="437"/>
      <c r="H190" s="437"/>
      <c r="I190" s="438"/>
    </row>
    <row r="191" spans="2:9" ht="15" thickBot="1">
      <c r="B191" s="212" t="s">
        <v>74</v>
      </c>
      <c r="C191" s="213" t="s">
        <v>75</v>
      </c>
      <c r="D191" s="213" t="s">
        <v>76</v>
      </c>
      <c r="E191" s="213" t="s">
        <v>71</v>
      </c>
      <c r="F191" s="213" t="s">
        <v>41</v>
      </c>
      <c r="G191" s="213" t="s">
        <v>40</v>
      </c>
      <c r="H191" s="213" t="s">
        <v>77</v>
      </c>
      <c r="I191" s="213" t="s">
        <v>43</v>
      </c>
    </row>
    <row r="192" spans="2:9" ht="15" thickBot="1">
      <c r="B192" s="214" t="s">
        <v>78</v>
      </c>
      <c r="C192" s="215"/>
      <c r="D192" s="215"/>
      <c r="E192" s="216">
        <v>0.85</v>
      </c>
      <c r="F192" s="216">
        <v>0.94</v>
      </c>
      <c r="G192" s="216">
        <v>0.06</v>
      </c>
      <c r="H192" s="216">
        <v>0.65</v>
      </c>
      <c r="I192" s="216">
        <v>0.95</v>
      </c>
    </row>
    <row r="193" spans="2:9" ht="15" thickBot="1">
      <c r="B193" s="217" t="s">
        <v>2</v>
      </c>
      <c r="C193" s="415">
        <v>2705</v>
      </c>
      <c r="D193" s="415">
        <v>2208</v>
      </c>
      <c r="E193" s="219">
        <v>0.71</v>
      </c>
      <c r="F193" s="219">
        <v>0.82</v>
      </c>
      <c r="G193" s="219">
        <v>0.18</v>
      </c>
      <c r="H193" s="416">
        <v>0.35</v>
      </c>
      <c r="I193" s="417">
        <v>1</v>
      </c>
    </row>
    <row r="194" spans="2:9" ht="15" thickBot="1">
      <c r="B194" s="214" t="s">
        <v>6</v>
      </c>
      <c r="C194" s="225">
        <v>3809</v>
      </c>
      <c r="D194" s="225">
        <v>3084</v>
      </c>
      <c r="E194" s="222">
        <v>0.5</v>
      </c>
      <c r="F194" s="222">
        <v>0.81</v>
      </c>
      <c r="G194" s="222">
        <v>0.19</v>
      </c>
      <c r="H194" s="418">
        <v>0.51</v>
      </c>
      <c r="I194" s="419">
        <v>1</v>
      </c>
    </row>
    <row r="195" spans="2:9" ht="15" thickBot="1">
      <c r="B195" s="217" t="s">
        <v>5</v>
      </c>
      <c r="C195" s="218">
        <v>1896</v>
      </c>
      <c r="D195" s="218">
        <v>1723</v>
      </c>
      <c r="E195" s="219">
        <v>0.82</v>
      </c>
      <c r="F195" s="219">
        <v>0.91</v>
      </c>
      <c r="G195" s="219">
        <v>0.09</v>
      </c>
      <c r="H195" s="417">
        <v>0.59</v>
      </c>
      <c r="I195" s="417">
        <v>1</v>
      </c>
    </row>
    <row r="196" spans="2:9" ht="15" thickBot="1">
      <c r="B196" s="214" t="s">
        <v>3</v>
      </c>
      <c r="C196" s="225">
        <v>5422</v>
      </c>
      <c r="D196" s="225">
        <v>4038</v>
      </c>
      <c r="E196" s="222">
        <v>0.44</v>
      </c>
      <c r="F196" s="222">
        <v>0.74</v>
      </c>
      <c r="G196" s="222">
        <v>0.26</v>
      </c>
      <c r="H196" s="419">
        <v>0.65</v>
      </c>
      <c r="I196" s="420" t="s">
        <v>20</v>
      </c>
    </row>
    <row r="197" spans="2:9" ht="15" thickBot="1">
      <c r="B197" s="217" t="s">
        <v>4</v>
      </c>
      <c r="C197" s="218">
        <v>2217</v>
      </c>
      <c r="D197" s="227">
        <v>1805</v>
      </c>
      <c r="E197" s="229">
        <v>0.53</v>
      </c>
      <c r="F197" s="230">
        <v>0.81</v>
      </c>
      <c r="G197" s="219">
        <v>0.19</v>
      </c>
      <c r="H197" s="421">
        <v>0.6</v>
      </c>
      <c r="I197" s="422">
        <v>1</v>
      </c>
    </row>
    <row r="198" spans="2:9" ht="15" thickBot="1">
      <c r="B198" s="214" t="s">
        <v>7</v>
      </c>
      <c r="C198" s="225">
        <v>687</v>
      </c>
      <c r="D198" s="225">
        <v>627</v>
      </c>
      <c r="E198" s="419">
        <v>0.91</v>
      </c>
      <c r="F198" s="222">
        <v>0.91</v>
      </c>
      <c r="G198" s="222">
        <v>0.09</v>
      </c>
      <c r="H198" s="419">
        <v>0.43</v>
      </c>
      <c r="I198" s="420" t="s">
        <v>20</v>
      </c>
    </row>
    <row r="199" spans="2:9" ht="15" thickBot="1">
      <c r="B199" s="236" t="s">
        <v>79</v>
      </c>
      <c r="C199" s="237">
        <v>16736</v>
      </c>
      <c r="D199" s="237">
        <v>13485</v>
      </c>
      <c r="E199" s="238">
        <v>0.65</v>
      </c>
      <c r="F199" s="239">
        <v>0.83</v>
      </c>
      <c r="G199" s="239">
        <v>0.17</v>
      </c>
      <c r="H199" s="423">
        <v>0.52</v>
      </c>
      <c r="I199" s="424">
        <v>1</v>
      </c>
    </row>
    <row r="202" spans="2:9">
      <c r="B202" s="432" t="s">
        <v>180</v>
      </c>
      <c r="C202" s="435"/>
      <c r="D202" s="435"/>
      <c r="E202" s="435"/>
      <c r="F202" s="435"/>
      <c r="G202" s="435"/>
      <c r="H202" s="435"/>
      <c r="I202" s="433"/>
    </row>
    <row r="203" spans="2:9">
      <c r="B203" s="13" t="s">
        <v>74</v>
      </c>
      <c r="C203" s="14" t="s">
        <v>75</v>
      </c>
      <c r="D203" s="14" t="s">
        <v>76</v>
      </c>
      <c r="E203" s="14" t="s">
        <v>71</v>
      </c>
      <c r="F203" s="14" t="s">
        <v>41</v>
      </c>
      <c r="G203" s="14" t="s">
        <v>40</v>
      </c>
      <c r="H203" s="14" t="s">
        <v>72</v>
      </c>
      <c r="I203" s="8" t="s">
        <v>43</v>
      </c>
    </row>
    <row r="204" spans="2:9">
      <c r="B204" s="4" t="s">
        <v>78</v>
      </c>
      <c r="C204" s="1"/>
      <c r="D204" s="1"/>
      <c r="E204" s="2">
        <v>0.85</v>
      </c>
      <c r="F204" s="2">
        <v>0.94</v>
      </c>
      <c r="G204" s="2">
        <v>0.06</v>
      </c>
      <c r="H204" s="2">
        <v>0.65</v>
      </c>
      <c r="I204" s="12">
        <v>0.95</v>
      </c>
    </row>
    <row r="205" spans="2:9">
      <c r="B205" s="4" t="s">
        <v>2</v>
      </c>
      <c r="C205" s="1">
        <v>3003</v>
      </c>
      <c r="D205" s="1">
        <v>2388</v>
      </c>
      <c r="E205" s="52">
        <v>0.36</v>
      </c>
      <c r="F205" s="52">
        <f>Table1182126179111751415212526303233343738413940[[#This Row],[Calls Handled]]/Table1182126179111751415212526303233343738413940[[#This Row],[Calls Presented]]</f>
        <v>0.79520479520479526</v>
      </c>
      <c r="G205" s="52">
        <f>1-Table1182126179111751415212526303233343738413940[[#This Row],[ANS]]</f>
        <v>0.20479520479520474</v>
      </c>
      <c r="H205" s="353">
        <v>0.32</v>
      </c>
      <c r="I205" s="345">
        <v>1</v>
      </c>
    </row>
    <row r="206" spans="2:9">
      <c r="B206" s="4" t="s">
        <v>6</v>
      </c>
      <c r="C206" s="313">
        <v>2737</v>
      </c>
      <c r="D206" s="313">
        <v>2248</v>
      </c>
      <c r="E206" s="336">
        <v>0.43</v>
      </c>
      <c r="F206" s="52">
        <f>Table1182126179111751415212526303233343738413940[[#This Row],[Calls Handled]]/Table1182126179111751415212526303233343738413940[[#This Row],[Calls Presented]]</f>
        <v>0.82133723054439167</v>
      </c>
      <c r="G206" s="52">
        <f>1-Table1182126179111751415212526303233343738413940[[#This Row],[ANS]]</f>
        <v>0.17866276945560833</v>
      </c>
      <c r="H206" s="425">
        <v>0.44</v>
      </c>
      <c r="I206" s="347">
        <v>1</v>
      </c>
    </row>
    <row r="207" spans="2:9">
      <c r="B207" s="4" t="s">
        <v>5</v>
      </c>
      <c r="C207" s="58">
        <v>1913</v>
      </c>
      <c r="D207" s="58">
        <v>1700</v>
      </c>
      <c r="E207" s="49">
        <v>0.66</v>
      </c>
      <c r="F207" s="52">
        <f>Table1182126179111751415212526303233343738413940[[#This Row],[Calls Handled]]/Table1182126179111751415212526303233343738413940[[#This Row],[Calls Presented]]</f>
        <v>0.8886565603763722</v>
      </c>
      <c r="G207" s="345">
        <f>1-Table1182126179111751415212526303233343738413940[[#This Row],[ANS]]</f>
        <v>0.1113434396236278</v>
      </c>
      <c r="H207" s="352">
        <v>0.63</v>
      </c>
      <c r="I207" s="345">
        <v>1</v>
      </c>
    </row>
    <row r="208" spans="2:9">
      <c r="B208" s="4" t="s">
        <v>3</v>
      </c>
      <c r="C208" s="56">
        <v>5771</v>
      </c>
      <c r="D208" s="56">
        <v>3456</v>
      </c>
      <c r="E208" s="49">
        <v>0.14000000000000001</v>
      </c>
      <c r="F208" s="52">
        <f>Table1182126179111751415212526303233343738413940[[#This Row],[Calls Handled]]/Table1182126179111751415212526303233343738413940[[#This Row],[Calls Presented]]</f>
        <v>0.59885635071911281</v>
      </c>
      <c r="G208" s="52">
        <f>1-Table1182126179111751415212526303233343738413940[[#This Row],[ANS]]</f>
        <v>0.40114364928088719</v>
      </c>
      <c r="H208" s="352">
        <v>0.54</v>
      </c>
      <c r="I208" s="348" t="s">
        <v>20</v>
      </c>
    </row>
    <row r="209" spans="2:9">
      <c r="B209" s="4" t="s">
        <v>4</v>
      </c>
      <c r="C209" s="180">
        <v>2076</v>
      </c>
      <c r="D209" s="181">
        <v>1548</v>
      </c>
      <c r="E209" s="183">
        <v>0.34</v>
      </c>
      <c r="F209" s="185">
        <f>Table1182126179111751415212526303233343738413940[[#This Row],[Calls Handled]]/Table1182126179111751415212526303233343738413940[[#This Row],[Calls Presented]]</f>
        <v>0.74566473988439308</v>
      </c>
      <c r="G209" s="185">
        <f>1-Table1182126179111751415212526303233343738413940[[#This Row],[ANS]]</f>
        <v>0.25433526011560692</v>
      </c>
      <c r="H209" s="349">
        <v>0.4</v>
      </c>
      <c r="I209" s="349">
        <v>1</v>
      </c>
    </row>
    <row r="210" spans="2:9">
      <c r="B210" s="4" t="s">
        <v>7</v>
      </c>
      <c r="C210" s="180">
        <v>512</v>
      </c>
      <c r="D210" s="180">
        <v>464</v>
      </c>
      <c r="E210" s="316">
        <v>0.64</v>
      </c>
      <c r="F210" s="185">
        <f>Table1182126179111751415212526303233343738413940[[#This Row],[Calls Handled]]/Table1182126179111751415212526303233343738413940[[#This Row],[Calls Presented]]</f>
        <v>0.90625</v>
      </c>
      <c r="G210" s="185">
        <f>1-Table1182126179111751415212526303233343738413940[[#This Row],[ANS]]</f>
        <v>9.375E-2</v>
      </c>
      <c r="H210" s="346">
        <v>0.27</v>
      </c>
      <c r="I210" s="350" t="s">
        <v>20</v>
      </c>
    </row>
    <row r="211" spans="2:9">
      <c r="B211" s="67" t="s">
        <v>79</v>
      </c>
      <c r="C211" s="68">
        <f>SUM(C205:C210)</f>
        <v>16012</v>
      </c>
      <c r="D211" s="68">
        <f>SUM(D205:D210)</f>
        <v>11804</v>
      </c>
      <c r="E211" s="116">
        <f>AVERAGEIF(E205:E210,"&lt;&gt;0")</f>
        <v>0.4283333333333334</v>
      </c>
      <c r="F211" s="116">
        <f>AVERAGEIF(F205:F210,"&lt;&gt;0")</f>
        <v>0.79266161278817748</v>
      </c>
      <c r="G211" s="116">
        <f>AVERAGEIF(G205:G210,"&lt;&gt;0")</f>
        <v>0.20733838721182249</v>
      </c>
      <c r="H211" s="351">
        <f>AVERAGEIF(H205:H210,"&lt;&gt;0")</f>
        <v>0.43333333333333335</v>
      </c>
      <c r="I211" s="351">
        <f>AVERAGEIF(I205:I210,"&lt;&gt;0")</f>
        <v>1</v>
      </c>
    </row>
    <row r="214" spans="2:9">
      <c r="B214" s="432" t="s">
        <v>181</v>
      </c>
      <c r="C214" s="435"/>
      <c r="D214" s="435"/>
      <c r="E214" s="435"/>
      <c r="F214" s="435"/>
      <c r="G214" s="435"/>
      <c r="H214" s="435"/>
      <c r="I214" s="433"/>
    </row>
    <row r="215" spans="2:9">
      <c r="B215" s="13" t="s">
        <v>74</v>
      </c>
      <c r="C215" s="14" t="s">
        <v>75</v>
      </c>
      <c r="D215" s="14" t="s">
        <v>76</v>
      </c>
      <c r="E215" s="14" t="s">
        <v>71</v>
      </c>
      <c r="F215" s="14" t="s">
        <v>41</v>
      </c>
      <c r="G215" s="14" t="s">
        <v>40</v>
      </c>
      <c r="H215" s="14" t="s">
        <v>72</v>
      </c>
      <c r="I215" s="8" t="s">
        <v>43</v>
      </c>
    </row>
    <row r="216" spans="2:9">
      <c r="B216" s="4" t="s">
        <v>78</v>
      </c>
      <c r="C216" s="1"/>
      <c r="D216" s="1"/>
      <c r="E216" s="2">
        <v>0.85</v>
      </c>
      <c r="F216" s="2">
        <v>0.94</v>
      </c>
      <c r="G216" s="2">
        <v>0.06</v>
      </c>
      <c r="H216" s="2">
        <v>0.65</v>
      </c>
      <c r="I216" s="12">
        <v>0.95</v>
      </c>
    </row>
    <row r="217" spans="2:9">
      <c r="B217" s="4" t="s">
        <v>2</v>
      </c>
      <c r="C217" s="1">
        <v>3117</v>
      </c>
      <c r="D217" s="1">
        <v>2598</v>
      </c>
      <c r="E217" s="52">
        <v>0.55000000000000004</v>
      </c>
      <c r="F217" s="52">
        <f>Table118212617911175141521252630323334373841394042[[#This Row],[Calls Handled]]/Table118212617911175141521252630323334373841394042[[#This Row],[Calls Presented]]</f>
        <v>0.83349374398460063</v>
      </c>
      <c r="G217" s="52">
        <f>1-Table118212617911175141521252630323334373841394042[[#This Row],[ANS]]</f>
        <v>0.16650625601539937</v>
      </c>
      <c r="H217" s="353">
        <v>0.31</v>
      </c>
      <c r="I217" s="345">
        <v>1</v>
      </c>
    </row>
    <row r="218" spans="2:9">
      <c r="B218" s="4" t="s">
        <v>6</v>
      </c>
      <c r="C218" s="313">
        <v>3066</v>
      </c>
      <c r="D218" s="313">
        <v>2681</v>
      </c>
      <c r="E218" s="336">
        <v>0.65</v>
      </c>
      <c r="F218" s="52">
        <f>Table118212617911175141521252630323334373841394042[[#This Row],[Calls Handled]]/Table118212617911175141521252630323334373841394042[[#This Row],[Calls Presented]]</f>
        <v>0.87442922374429222</v>
      </c>
      <c r="G218" s="52">
        <f>1-Table118212617911175141521252630323334373841394042[[#This Row],[ANS]]</f>
        <v>0.12557077625570778</v>
      </c>
      <c r="H218" s="425">
        <v>0.51</v>
      </c>
      <c r="I218" s="347">
        <v>1</v>
      </c>
    </row>
    <row r="219" spans="2:9">
      <c r="B219" s="4" t="s">
        <v>5</v>
      </c>
      <c r="C219" s="58">
        <v>1621</v>
      </c>
      <c r="D219" s="58">
        <v>1446</v>
      </c>
      <c r="E219" s="49">
        <v>0.65</v>
      </c>
      <c r="F219" s="52">
        <f>Table118212617911175141521252630323334373841394042[[#This Row],[Calls Handled]]/Table118212617911175141521252630323334373841394042[[#This Row],[Calls Presented]]</f>
        <v>0.89204194941394199</v>
      </c>
      <c r="G219" s="52">
        <f>1-Table118212617911175141521252630323334373841394042[[#This Row],[ANS]]</f>
        <v>0.10795805058605801</v>
      </c>
      <c r="H219" s="352">
        <v>0.55000000000000004</v>
      </c>
      <c r="I219" s="345">
        <v>1</v>
      </c>
    </row>
    <row r="220" spans="2:9">
      <c r="B220" s="4" t="s">
        <v>3</v>
      </c>
      <c r="C220" s="56">
        <v>5166</v>
      </c>
      <c r="D220" s="56">
        <v>3343</v>
      </c>
      <c r="E220" s="49">
        <v>0.15</v>
      </c>
      <c r="F220" s="52">
        <f>Table118212617911175141521252630323334373841394042[[#This Row],[Calls Handled]]/Table118212617911175141521252630323334373841394042[[#This Row],[Calls Presented]]</f>
        <v>0.64711575687185441</v>
      </c>
      <c r="G220" s="52">
        <f>1-Table118212617911175141521252630323334373841394042[[#This Row],[ANS]]</f>
        <v>0.35288424312814559</v>
      </c>
      <c r="H220" s="352">
        <v>0.54</v>
      </c>
      <c r="I220" s="348" t="s">
        <v>20</v>
      </c>
    </row>
    <row r="221" spans="2:9">
      <c r="B221" s="4" t="s">
        <v>4</v>
      </c>
      <c r="C221" s="180">
        <v>2028</v>
      </c>
      <c r="D221" s="181">
        <v>1701</v>
      </c>
      <c r="E221" s="183">
        <v>0.44</v>
      </c>
      <c r="F221" s="185">
        <f>Table118212617911175141521252630323334373841394042[[#This Row],[Calls Handled]]/Table118212617911175141521252630323334373841394042[[#This Row],[Calls Presented]]</f>
        <v>0.83875739644970415</v>
      </c>
      <c r="G221" s="185">
        <f>1-Table118212617911175141521252630323334373841394042[[#This Row],[ANS]]</f>
        <v>0.16124260355029585</v>
      </c>
      <c r="H221" s="349">
        <v>0.41</v>
      </c>
      <c r="I221" s="349">
        <v>1</v>
      </c>
    </row>
    <row r="222" spans="2:9">
      <c r="B222" s="4" t="s">
        <v>7</v>
      </c>
      <c r="C222" s="180">
        <v>710</v>
      </c>
      <c r="D222" s="180">
        <v>610</v>
      </c>
      <c r="E222" s="316">
        <v>0.75</v>
      </c>
      <c r="F222" s="185">
        <f>Table118212617911175141521252630323334373841394042[[#This Row],[Calls Handled]]/Table118212617911175141521252630323334373841394042[[#This Row],[Calls Presented]]</f>
        <v>0.85915492957746475</v>
      </c>
      <c r="G222" s="185">
        <f>1-Table118212617911175141521252630323334373841394042[[#This Row],[ANS]]</f>
        <v>0.14084507042253525</v>
      </c>
      <c r="H222" s="346">
        <v>0.28000000000000003</v>
      </c>
      <c r="I222" s="350" t="s">
        <v>20</v>
      </c>
    </row>
    <row r="223" spans="2:9">
      <c r="B223" s="67" t="s">
        <v>79</v>
      </c>
      <c r="C223" s="68">
        <f>SUM(C217:C222)</f>
        <v>15708</v>
      </c>
      <c r="D223" s="68">
        <f>SUM(D217:D222)</f>
        <v>12379</v>
      </c>
      <c r="E223" s="116">
        <f>AVERAGEIF(E217:E222,"&lt;&gt;0")</f>
        <v>0.53166666666666662</v>
      </c>
      <c r="F223" s="116">
        <f>AVERAGEIF(F217:F222,"&lt;&gt;0")</f>
        <v>0.82416550000697641</v>
      </c>
      <c r="G223" s="116">
        <f>AVERAGEIF(G217:G222,"&lt;&gt;0")</f>
        <v>0.17583449999302361</v>
      </c>
      <c r="H223" s="351">
        <f>AVERAGEIF(H217:H222,"&lt;&gt;0")</f>
        <v>0.4333333333333334</v>
      </c>
      <c r="I223" s="351">
        <f>AVERAGEIF(I217:I222,"&lt;&gt;0")</f>
        <v>1</v>
      </c>
    </row>
  </sheetData>
  <mergeCells count="19">
    <mergeCell ref="B58:I58"/>
    <mergeCell ref="B1:I1"/>
    <mergeCell ref="B12:I12"/>
    <mergeCell ref="B23:I23"/>
    <mergeCell ref="B34:I34"/>
    <mergeCell ref="B46:I46"/>
    <mergeCell ref="B94:I94"/>
    <mergeCell ref="B82:I82"/>
    <mergeCell ref="B70:I70"/>
    <mergeCell ref="B166:I166"/>
    <mergeCell ref="B154:I154"/>
    <mergeCell ref="B142:I142"/>
    <mergeCell ref="B130:I130"/>
    <mergeCell ref="B118:I118"/>
    <mergeCell ref="B202:I202"/>
    <mergeCell ref="B214:I214"/>
    <mergeCell ref="B190:I190"/>
    <mergeCell ref="B178:I178"/>
    <mergeCell ref="B106:I106"/>
  </mergeCells>
  <phoneticPr fontId="8" type="noConversion"/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B1:AD122"/>
  <sheetViews>
    <sheetView topLeftCell="A109" zoomScale="115" zoomScaleNormal="115" workbookViewId="0">
      <selection activeCell="D117" sqref="D117"/>
    </sheetView>
  </sheetViews>
  <sheetFormatPr defaultRowHeight="14.5"/>
  <cols>
    <col min="3" max="3" width="12.54296875" customWidth="1"/>
    <col min="4" max="4" width="16" bestFit="1" customWidth="1"/>
    <col min="5" max="5" width="14.453125" bestFit="1" customWidth="1"/>
    <col min="6" max="6" width="17.453125" customWidth="1"/>
    <col min="7" max="8" width="12.54296875" customWidth="1"/>
    <col min="9" max="9" width="15.36328125" bestFit="1" customWidth="1"/>
    <col min="10" max="10" width="12.54296875" customWidth="1"/>
    <col min="11" max="11" width="14.26953125" bestFit="1" customWidth="1"/>
    <col min="20" max="22" width="14.453125" customWidth="1"/>
    <col min="23" max="23" width="37.08984375" bestFit="1" customWidth="1"/>
    <col min="24" max="25" width="39" bestFit="1" customWidth="1"/>
    <col min="26" max="29" width="14.453125" customWidth="1"/>
  </cols>
  <sheetData>
    <row r="1" spans="3:29" ht="15" thickBot="1"/>
    <row r="2" spans="3:29" ht="15" thickBot="1">
      <c r="C2" s="436" t="s">
        <v>83</v>
      </c>
      <c r="D2" s="437"/>
      <c r="E2" s="437"/>
      <c r="F2" s="437"/>
      <c r="G2" s="437"/>
      <c r="H2" s="437"/>
      <c r="I2" s="437"/>
      <c r="J2" s="439"/>
      <c r="M2" s="436" t="s">
        <v>84</v>
      </c>
      <c r="N2" s="437"/>
      <c r="O2" s="437"/>
      <c r="P2" s="437"/>
      <c r="Q2" s="437"/>
      <c r="R2" s="439"/>
      <c r="T2" s="431" t="s">
        <v>85</v>
      </c>
      <c r="U2" s="431"/>
      <c r="V2" s="431"/>
      <c r="W2" s="431"/>
      <c r="X2" s="431"/>
      <c r="Y2" s="431"/>
      <c r="Z2" s="431"/>
      <c r="AA2" s="431"/>
      <c r="AB2" s="431"/>
      <c r="AC2" s="431"/>
    </row>
    <row r="3" spans="3:29" ht="15" thickBot="1">
      <c r="C3" s="212" t="s">
        <v>74</v>
      </c>
      <c r="D3" s="213" t="s">
        <v>75</v>
      </c>
      <c r="E3" s="213" t="s">
        <v>76</v>
      </c>
      <c r="F3" s="213" t="s">
        <v>71</v>
      </c>
      <c r="G3" s="213" t="s">
        <v>41</v>
      </c>
      <c r="H3" s="213" t="s">
        <v>40</v>
      </c>
      <c r="I3" s="213" t="s">
        <v>77</v>
      </c>
      <c r="J3" s="213" t="s">
        <v>43</v>
      </c>
      <c r="M3" s="212" t="s">
        <v>74</v>
      </c>
      <c r="N3" s="213" t="s">
        <v>71</v>
      </c>
      <c r="O3" s="213" t="s">
        <v>41</v>
      </c>
      <c r="P3" s="213" t="s">
        <v>40</v>
      </c>
      <c r="Q3" s="213" t="s">
        <v>77</v>
      </c>
      <c r="R3" s="213" t="s">
        <v>43</v>
      </c>
      <c r="T3" s="13" t="s">
        <v>74</v>
      </c>
      <c r="U3" s="14" t="s">
        <v>75</v>
      </c>
      <c r="V3" s="14" t="s">
        <v>76</v>
      </c>
      <c r="W3" s="14" t="s">
        <v>86</v>
      </c>
      <c r="X3" s="14" t="s">
        <v>87</v>
      </c>
      <c r="Y3" s="14" t="s">
        <v>71</v>
      </c>
      <c r="Z3" s="14" t="s">
        <v>41</v>
      </c>
      <c r="AA3" s="14" t="s">
        <v>40</v>
      </c>
      <c r="AB3" s="14" t="s">
        <v>77</v>
      </c>
      <c r="AC3" s="8" t="s">
        <v>43</v>
      </c>
    </row>
    <row r="4" spans="3:29" ht="15" thickBot="1">
      <c r="C4" s="214" t="s">
        <v>78</v>
      </c>
      <c r="D4" s="215"/>
      <c r="E4" s="215"/>
      <c r="F4" s="216">
        <v>0.85</v>
      </c>
      <c r="G4" s="216">
        <v>0.94</v>
      </c>
      <c r="H4" s="216">
        <v>0.06</v>
      </c>
      <c r="I4" s="216">
        <v>0.65</v>
      </c>
      <c r="J4" s="216">
        <v>0.95</v>
      </c>
      <c r="M4" s="217" t="s">
        <v>88</v>
      </c>
      <c r="N4" s="250" t="s">
        <v>89</v>
      </c>
      <c r="O4" s="250" t="s">
        <v>90</v>
      </c>
      <c r="P4" s="219" t="s">
        <v>91</v>
      </c>
      <c r="Q4" s="219" t="s">
        <v>92</v>
      </c>
      <c r="R4" s="250" t="s">
        <v>93</v>
      </c>
      <c r="T4" s="4" t="s">
        <v>78</v>
      </c>
      <c r="U4" s="1"/>
      <c r="V4" s="1"/>
      <c r="W4" s="1"/>
      <c r="X4" s="1"/>
      <c r="Y4" s="2">
        <v>0.86</v>
      </c>
      <c r="Z4" s="2">
        <v>0.94</v>
      </c>
      <c r="AA4" s="2">
        <v>0.06</v>
      </c>
      <c r="AB4" s="2">
        <v>0.65</v>
      </c>
      <c r="AC4" s="12">
        <v>0.95</v>
      </c>
    </row>
    <row r="5" spans="3:29" ht="15" thickBot="1">
      <c r="C5" s="217" t="s">
        <v>88</v>
      </c>
      <c r="D5" s="218">
        <v>18394</v>
      </c>
      <c r="E5" s="218">
        <v>15776</v>
      </c>
      <c r="F5" s="219">
        <v>0.63</v>
      </c>
      <c r="G5" s="219">
        <v>0.86</v>
      </c>
      <c r="H5" s="219">
        <v>0.14000000000000001</v>
      </c>
      <c r="I5" s="219">
        <v>0.47</v>
      </c>
      <c r="J5" s="219">
        <v>0.91</v>
      </c>
      <c r="M5" s="214" t="s">
        <v>6</v>
      </c>
      <c r="N5" s="222" t="s">
        <v>94</v>
      </c>
      <c r="O5" s="222" t="s">
        <v>95</v>
      </c>
      <c r="P5" s="252" t="s">
        <v>96</v>
      </c>
      <c r="Q5" s="222" t="s">
        <v>97</v>
      </c>
      <c r="R5" s="222" t="s">
        <v>97</v>
      </c>
      <c r="T5" s="4" t="s">
        <v>88</v>
      </c>
      <c r="U5" s="56">
        <v>29848</v>
      </c>
      <c r="V5" s="56">
        <v>19894</v>
      </c>
      <c r="W5" s="127">
        <v>6.2395444029186689E-2</v>
      </c>
      <c r="X5" s="127">
        <v>0.11726384364820847</v>
      </c>
      <c r="Y5" s="52">
        <v>0.31</v>
      </c>
      <c r="Z5" s="52">
        <v>0.66651031894934332</v>
      </c>
      <c r="AA5" s="52">
        <v>0.33348968105065668</v>
      </c>
      <c r="AB5" s="57">
        <v>0.74</v>
      </c>
      <c r="AC5" s="52">
        <v>0.80359999999999998</v>
      </c>
    </row>
    <row r="6" spans="3:29" ht="15" thickBot="1">
      <c r="C6" s="214" t="s">
        <v>6</v>
      </c>
      <c r="D6" s="220">
        <v>14464</v>
      </c>
      <c r="E6" s="221">
        <v>11545</v>
      </c>
      <c r="F6" s="222">
        <v>0.66</v>
      </c>
      <c r="G6" s="222">
        <v>0.8</v>
      </c>
      <c r="H6" s="222">
        <v>0.2</v>
      </c>
      <c r="I6" s="223">
        <v>0.71</v>
      </c>
      <c r="J6" s="223">
        <v>1</v>
      </c>
      <c r="M6" s="217" t="s">
        <v>5</v>
      </c>
      <c r="N6" s="251" t="s">
        <v>98</v>
      </c>
      <c r="O6" s="219" t="s">
        <v>97</v>
      </c>
      <c r="P6" s="250" t="s">
        <v>99</v>
      </c>
      <c r="Q6" s="250" t="s">
        <v>100</v>
      </c>
      <c r="R6" s="256" t="s">
        <v>101</v>
      </c>
      <c r="T6" s="4" t="s">
        <v>6</v>
      </c>
      <c r="U6">
        <v>18585</v>
      </c>
      <c r="V6" s="1">
        <v>13968</v>
      </c>
      <c r="W6" s="127">
        <v>5.6986862310185973E-2</v>
      </c>
      <c r="X6" s="127">
        <v>-1.7790591378946629E-2</v>
      </c>
      <c r="Y6" s="40">
        <v>0.47</v>
      </c>
      <c r="Z6" s="57">
        <v>0.75157384987893461</v>
      </c>
      <c r="AA6" s="57">
        <v>0.24842615012106539</v>
      </c>
      <c r="AB6" s="41">
        <v>1.08</v>
      </c>
      <c r="AC6" s="40">
        <v>1</v>
      </c>
    </row>
    <row r="7" spans="3:29" ht="15" thickBot="1">
      <c r="C7" s="217" t="s">
        <v>5</v>
      </c>
      <c r="D7" s="218">
        <v>9179</v>
      </c>
      <c r="E7" s="218">
        <v>8760</v>
      </c>
      <c r="F7" s="224">
        <v>0.88</v>
      </c>
      <c r="G7" s="224">
        <v>0.95</v>
      </c>
      <c r="H7" s="224">
        <v>0.05</v>
      </c>
      <c r="I7" s="219">
        <v>0.57999999999999996</v>
      </c>
      <c r="J7" s="224">
        <v>1</v>
      </c>
      <c r="M7" s="214" t="s">
        <v>102</v>
      </c>
      <c r="N7" s="252" t="s">
        <v>103</v>
      </c>
      <c r="O7" s="252" t="s">
        <v>104</v>
      </c>
      <c r="P7" s="222" t="s">
        <v>105</v>
      </c>
      <c r="Q7" s="222" t="s">
        <v>106</v>
      </c>
      <c r="R7" s="248" t="s">
        <v>20</v>
      </c>
      <c r="T7" s="4" t="s">
        <v>5</v>
      </c>
      <c r="U7" s="58">
        <v>14741</v>
      </c>
      <c r="V7" s="58">
        <v>13886</v>
      </c>
      <c r="W7" s="130">
        <v>-8.2529408103566321E-2</v>
      </c>
      <c r="X7" s="130">
        <v>-9.1111402015970677E-2</v>
      </c>
      <c r="Y7" s="40">
        <v>0.86</v>
      </c>
      <c r="Z7" s="57">
        <v>0.94199850756393733</v>
      </c>
      <c r="AA7" s="57">
        <v>5.8001492436062674E-2</v>
      </c>
      <c r="AB7" s="126">
        <v>0.59</v>
      </c>
      <c r="AC7" s="40">
        <v>1</v>
      </c>
    </row>
    <row r="8" spans="3:29" ht="15" thickBot="1">
      <c r="C8" s="214" t="s">
        <v>102</v>
      </c>
      <c r="D8" s="225">
        <v>27087</v>
      </c>
      <c r="E8" s="225">
        <v>24389</v>
      </c>
      <c r="F8" s="222">
        <v>0.76</v>
      </c>
      <c r="G8" s="222">
        <v>0.9</v>
      </c>
      <c r="H8" s="222">
        <v>0.1</v>
      </c>
      <c r="I8" s="223">
        <v>0.67</v>
      </c>
      <c r="J8" s="226" t="s">
        <v>20</v>
      </c>
      <c r="M8" s="217" t="s">
        <v>4</v>
      </c>
      <c r="N8" s="253" t="s">
        <v>107</v>
      </c>
      <c r="O8" s="253" t="s">
        <v>108</v>
      </c>
      <c r="P8" s="230" t="s">
        <v>109</v>
      </c>
      <c r="Q8" s="230" t="s">
        <v>105</v>
      </c>
      <c r="R8" s="257" t="s">
        <v>101</v>
      </c>
      <c r="T8" s="4" t="s">
        <v>102</v>
      </c>
      <c r="U8" s="56">
        <v>29466</v>
      </c>
      <c r="V8" s="56">
        <v>21394</v>
      </c>
      <c r="W8" s="127">
        <v>4.8686739269698909E-2</v>
      </c>
      <c r="X8" s="127">
        <v>2.5402607361963189E-2</v>
      </c>
      <c r="Y8" s="49">
        <v>0.35</v>
      </c>
      <c r="Z8" s="52">
        <v>0.72605715061426734</v>
      </c>
      <c r="AA8" s="52">
        <v>0.27394284938573266</v>
      </c>
      <c r="AB8" s="49">
        <v>0.63</v>
      </c>
      <c r="AC8" s="107" t="s">
        <v>20</v>
      </c>
    </row>
    <row r="9" spans="3:29" ht="15" thickBot="1">
      <c r="C9" s="217" t="s">
        <v>4</v>
      </c>
      <c r="D9" s="227">
        <v>10653</v>
      </c>
      <c r="E9" s="228">
        <v>8394</v>
      </c>
      <c r="F9" s="229">
        <v>0.54</v>
      </c>
      <c r="G9" s="230">
        <v>0.79</v>
      </c>
      <c r="H9" s="219">
        <v>0.21</v>
      </c>
      <c r="I9" s="231">
        <v>0.5</v>
      </c>
      <c r="J9" s="232">
        <v>1</v>
      </c>
      <c r="M9" s="214" t="s">
        <v>7</v>
      </c>
      <c r="N9" s="254" t="s">
        <v>101</v>
      </c>
      <c r="O9" s="222" t="s">
        <v>97</v>
      </c>
      <c r="P9" s="252" t="s">
        <v>99</v>
      </c>
      <c r="Q9" s="222" t="s">
        <v>110</v>
      </c>
      <c r="R9" s="248" t="s">
        <v>20</v>
      </c>
      <c r="T9" s="4" t="s">
        <v>4</v>
      </c>
      <c r="U9" s="55">
        <v>21922</v>
      </c>
      <c r="V9" s="55">
        <v>16115</v>
      </c>
      <c r="W9" s="127">
        <v>0.3048032855187191</v>
      </c>
      <c r="X9" s="127">
        <v>0.14893768715243119</v>
      </c>
      <c r="Y9" s="54">
        <v>0.47</v>
      </c>
      <c r="Z9" s="52">
        <v>0.73510628592281724</v>
      </c>
      <c r="AA9" s="52">
        <v>0.26489371407718276</v>
      </c>
      <c r="AB9" s="54">
        <v>0.55000000000000004</v>
      </c>
      <c r="AC9" s="53">
        <v>0.96</v>
      </c>
    </row>
    <row r="10" spans="3:29" ht="15" thickBot="1">
      <c r="C10" s="214" t="s">
        <v>7</v>
      </c>
      <c r="D10" s="233">
        <v>1958</v>
      </c>
      <c r="E10" s="233">
        <v>1882</v>
      </c>
      <c r="F10" s="234">
        <v>0.96</v>
      </c>
      <c r="G10" s="223">
        <v>0.96</v>
      </c>
      <c r="H10" s="223">
        <v>0.04</v>
      </c>
      <c r="I10" s="222">
        <v>0.3</v>
      </c>
      <c r="J10" s="235" t="s">
        <v>20</v>
      </c>
      <c r="M10" s="236" t="s">
        <v>79</v>
      </c>
      <c r="N10" s="247">
        <v>5.0000000000000044E-2</v>
      </c>
      <c r="O10" s="247">
        <v>3.1557221391041224E-2</v>
      </c>
      <c r="P10" s="247">
        <v>-3.1557221391041154E-2</v>
      </c>
      <c r="Q10" s="247">
        <v>-3.8333333333333441E-2</v>
      </c>
      <c r="R10" s="255">
        <v>1.2499999999999956E-2</v>
      </c>
      <c r="T10" s="4" t="s">
        <v>7</v>
      </c>
      <c r="U10" s="10"/>
      <c r="V10" s="11"/>
      <c r="W10" s="11"/>
      <c r="X10" s="11"/>
      <c r="Y10" s="11"/>
      <c r="Z10" s="11"/>
      <c r="AA10" s="11"/>
      <c r="AB10" s="11"/>
      <c r="AC10" s="11"/>
    </row>
    <row r="11" spans="3:29" ht="15" thickBot="1">
      <c r="C11" s="236" t="s">
        <v>79</v>
      </c>
      <c r="D11" s="237">
        <v>81735</v>
      </c>
      <c r="E11" s="237">
        <v>70746</v>
      </c>
      <c r="F11" s="238">
        <v>0.74</v>
      </c>
      <c r="G11" s="239">
        <v>0.88</v>
      </c>
      <c r="H11" s="239">
        <v>0.12</v>
      </c>
      <c r="I11" s="239">
        <v>0.54</v>
      </c>
      <c r="J11" s="240">
        <v>0.98</v>
      </c>
      <c r="T11" s="67" t="s">
        <v>79</v>
      </c>
      <c r="U11" s="68">
        <v>114562</v>
      </c>
      <c r="V11" s="68">
        <v>85257</v>
      </c>
      <c r="W11" s="131">
        <v>7.4247027493342332E-2</v>
      </c>
      <c r="X11" s="131">
        <v>3.7252874262424719E-2</v>
      </c>
      <c r="Y11" s="69">
        <v>0.49199999999999999</v>
      </c>
      <c r="Z11" s="69">
        <v>0.74419964735252531</v>
      </c>
      <c r="AA11" s="69">
        <v>0.25580035264747469</v>
      </c>
      <c r="AB11" s="69">
        <v>0.71799999999999997</v>
      </c>
      <c r="AC11" s="70">
        <v>0.94089999999999996</v>
      </c>
    </row>
    <row r="12" spans="3:29">
      <c r="C12" s="207"/>
      <c r="D12" s="208"/>
      <c r="E12" s="208"/>
      <c r="F12" s="209"/>
      <c r="G12" s="209"/>
      <c r="H12" s="209"/>
      <c r="I12" s="209"/>
      <c r="J12" s="209"/>
      <c r="T12" s="207"/>
      <c r="U12" s="208"/>
      <c r="V12" s="208"/>
      <c r="W12" s="210"/>
      <c r="X12" s="210"/>
      <c r="Y12" s="209"/>
      <c r="Z12" s="209"/>
      <c r="AA12" s="209"/>
      <c r="AB12" s="209"/>
      <c r="AC12" s="211"/>
    </row>
    <row r="13" spans="3:29">
      <c r="C13" s="207"/>
      <c r="D13" s="208"/>
      <c r="E13" s="208"/>
      <c r="F13" s="209"/>
      <c r="G13" s="209"/>
      <c r="H13" s="209"/>
      <c r="I13" s="209"/>
      <c r="J13" s="209"/>
      <c r="T13" s="207"/>
      <c r="U13" s="208"/>
      <c r="V13" s="208"/>
      <c r="W13" s="210"/>
      <c r="X13" s="210"/>
      <c r="Y13" s="209"/>
      <c r="Z13" s="209"/>
      <c r="AA13" s="209"/>
      <c r="AB13" s="209"/>
      <c r="AC13" s="211"/>
    </row>
    <row r="14" spans="3:29">
      <c r="C14" s="431" t="s">
        <v>111</v>
      </c>
      <c r="D14" s="431"/>
      <c r="E14" s="431"/>
      <c r="F14" s="431"/>
      <c r="G14" s="431"/>
      <c r="H14" s="431"/>
      <c r="I14" s="431"/>
      <c r="J14" s="431"/>
      <c r="N14" s="249" t="s">
        <v>112</v>
      </c>
      <c r="O14" s="249" t="s">
        <v>113</v>
      </c>
      <c r="P14" s="249" t="s">
        <v>114</v>
      </c>
      <c r="T14" s="207"/>
      <c r="U14" s="208"/>
      <c r="V14" s="208"/>
      <c r="W14" s="210"/>
      <c r="X14" s="210"/>
      <c r="Y14" s="209"/>
      <c r="Z14" s="209"/>
      <c r="AA14" s="209"/>
      <c r="AB14" s="209"/>
      <c r="AC14" s="211"/>
    </row>
    <row r="15" spans="3:29">
      <c r="C15" s="13" t="s">
        <v>74</v>
      </c>
      <c r="D15" s="14" t="s">
        <v>75</v>
      </c>
      <c r="E15" s="14" t="s">
        <v>76</v>
      </c>
      <c r="F15" s="14" t="s">
        <v>71</v>
      </c>
      <c r="G15" s="14" t="s">
        <v>41</v>
      </c>
      <c r="H15" s="14" t="s">
        <v>40</v>
      </c>
      <c r="I15" s="14" t="s">
        <v>77</v>
      </c>
      <c r="J15" s="8" t="s">
        <v>43</v>
      </c>
      <c r="T15" s="207"/>
      <c r="U15" s="208"/>
      <c r="V15" s="208"/>
      <c r="W15" s="210"/>
      <c r="X15" s="210"/>
      <c r="Y15" s="209"/>
      <c r="Z15" s="209"/>
      <c r="AA15" s="209"/>
      <c r="AB15" s="209"/>
      <c r="AC15" s="211"/>
    </row>
    <row r="16" spans="3:29">
      <c r="C16" s="4" t="s">
        <v>78</v>
      </c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T16" s="207"/>
      <c r="U16" s="208"/>
      <c r="V16" s="208"/>
      <c r="W16" s="210"/>
      <c r="X16" s="210"/>
      <c r="Y16" s="209"/>
      <c r="Z16" s="209"/>
      <c r="AA16" s="209"/>
      <c r="AB16" s="209"/>
      <c r="AC16" s="211"/>
    </row>
    <row r="17" spans="3:29">
      <c r="C17" s="4" t="s">
        <v>88</v>
      </c>
      <c r="D17" s="56">
        <v>14026</v>
      </c>
      <c r="E17" s="56">
        <v>13300</v>
      </c>
      <c r="F17" s="52">
        <v>0.83</v>
      </c>
      <c r="G17" s="57">
        <f>(Table1161728[[#This Row],[Calls Handled]]/Table1161728[[#This Row],[Calls Presented]])</f>
        <v>0.94823898474262081</v>
      </c>
      <c r="H17" s="57">
        <f>1-Table1161728[[#This Row],[ANS]]</f>
        <v>5.1761015257379195E-2</v>
      </c>
      <c r="I17" s="57">
        <v>0.35</v>
      </c>
      <c r="J17" s="57">
        <v>0.98</v>
      </c>
      <c r="T17" s="207"/>
      <c r="U17" s="208"/>
      <c r="V17" s="208"/>
      <c r="W17" s="210"/>
      <c r="X17" s="210"/>
      <c r="Y17" s="209"/>
      <c r="Z17" s="209"/>
      <c r="AA17" s="209"/>
      <c r="AB17" s="209"/>
      <c r="AC17" s="211"/>
    </row>
    <row r="18" spans="3:29">
      <c r="C18" s="4" t="s">
        <v>6</v>
      </c>
      <c r="D18">
        <v>10658</v>
      </c>
      <c r="E18" s="1">
        <v>8286</v>
      </c>
      <c r="F18" s="40">
        <v>0.59</v>
      </c>
      <c r="G18" s="52">
        <f>(Table1161728[[#This Row],[Calls Handled]]/Table1161728[[#This Row],[Calls Presented]])</f>
        <v>0.77744417339088012</v>
      </c>
      <c r="H18" s="52">
        <f>1-Table1161728[[#This Row],[ANS]]</f>
        <v>0.22255582660911988</v>
      </c>
      <c r="I18" s="41">
        <v>0.7</v>
      </c>
      <c r="J18" s="40">
        <v>0.99</v>
      </c>
      <c r="T18" s="207"/>
      <c r="U18" s="208"/>
      <c r="V18" s="208"/>
      <c r="W18" s="210"/>
      <c r="X18" s="210"/>
      <c r="Y18" s="209"/>
      <c r="Z18" s="209"/>
      <c r="AA18" s="209"/>
      <c r="AB18" s="209"/>
      <c r="AC18" s="211"/>
    </row>
    <row r="19" spans="3:29">
      <c r="C19" s="4" t="s">
        <v>5</v>
      </c>
      <c r="D19" s="58">
        <v>8284</v>
      </c>
      <c r="E19" s="58">
        <v>7787</v>
      </c>
      <c r="F19" s="49">
        <v>0.85</v>
      </c>
      <c r="G19" s="57">
        <f>(Table1161728[[#This Row],[Calls Handled]]/Table1161728[[#This Row],[Calls Presented]])</f>
        <v>0.94000482858522449</v>
      </c>
      <c r="H19" s="57">
        <f>1-Table1161728[[#This Row],[ANS]]</f>
        <v>5.9995171414775506E-2</v>
      </c>
      <c r="I19" s="41">
        <v>0.62</v>
      </c>
      <c r="J19" s="40">
        <v>1</v>
      </c>
      <c r="T19" s="207"/>
      <c r="U19" s="208"/>
      <c r="V19" s="208"/>
      <c r="W19" s="210"/>
      <c r="X19" s="210"/>
      <c r="Y19" s="209"/>
      <c r="Z19" s="209"/>
      <c r="AA19" s="209"/>
      <c r="AB19" s="209"/>
      <c r="AC19" s="211"/>
    </row>
    <row r="20" spans="3:29">
      <c r="C20" s="4" t="s">
        <v>102</v>
      </c>
      <c r="D20" s="56">
        <v>20778</v>
      </c>
      <c r="E20" s="56">
        <v>19235</v>
      </c>
      <c r="F20" s="49">
        <v>0.81</v>
      </c>
      <c r="G20" s="52">
        <f>(Table1161728[[#This Row],[Calls Handled]]/Table1161728[[#This Row],[Calls Presented]])</f>
        <v>0.92573876215227646</v>
      </c>
      <c r="H20" s="52">
        <f>1-Table1161728[[#This Row],[ANS]]</f>
        <v>7.4261237847723538E-2</v>
      </c>
      <c r="I20" s="40">
        <v>0.61</v>
      </c>
      <c r="J20" s="107" t="s">
        <v>20</v>
      </c>
      <c r="T20" s="207"/>
      <c r="U20" s="208"/>
      <c r="V20" s="208"/>
      <c r="W20" s="210"/>
      <c r="X20" s="210"/>
      <c r="Y20" s="209"/>
      <c r="Z20" s="209"/>
      <c r="AA20" s="209"/>
      <c r="AB20" s="209"/>
      <c r="AC20" s="211"/>
    </row>
    <row r="21" spans="3:29">
      <c r="C21" s="4" t="s">
        <v>4</v>
      </c>
      <c r="D21" s="55">
        <v>8810</v>
      </c>
      <c r="E21" s="55">
        <v>8161</v>
      </c>
      <c r="F21" s="54">
        <v>0.7</v>
      </c>
      <c r="G21" s="52">
        <f>(Table1161728[[#This Row],[Calls Handled]]/Table1161728[[#This Row],[Calls Presented]])</f>
        <v>0.92633371169125989</v>
      </c>
      <c r="H21" s="52">
        <f>1-Table1161728[[#This Row],[ANS]]</f>
        <v>7.3666288308740113E-2</v>
      </c>
      <c r="I21" s="53">
        <v>0.47</v>
      </c>
      <c r="J21" s="53">
        <v>1</v>
      </c>
      <c r="T21" s="207"/>
      <c r="U21" s="208"/>
      <c r="V21" s="208"/>
      <c r="W21" s="210"/>
      <c r="X21" s="210"/>
      <c r="Y21" s="209"/>
      <c r="Z21" s="209"/>
      <c r="AA21" s="209"/>
      <c r="AB21" s="209"/>
      <c r="AC21" s="211"/>
    </row>
    <row r="22" spans="3:29">
      <c r="C22" s="4" t="s">
        <v>7</v>
      </c>
      <c r="D22" s="56">
        <v>1611</v>
      </c>
      <c r="E22" s="56">
        <v>1533</v>
      </c>
      <c r="F22" s="40">
        <v>0.96</v>
      </c>
      <c r="G22" s="57">
        <f>(Table1161728[[#This Row],[Calls Handled]]/Table1161728[[#This Row],[Calls Presented]])</f>
        <v>0.95158286778398515</v>
      </c>
      <c r="H22" s="57">
        <f>1-Table1161728[[#This Row],[ANS]]</f>
        <v>4.8417132216014847E-2</v>
      </c>
      <c r="I22" s="40">
        <v>0.26</v>
      </c>
      <c r="J22" s="107" t="s">
        <v>20</v>
      </c>
      <c r="T22" s="207"/>
      <c r="U22" s="208"/>
      <c r="V22" s="208"/>
      <c r="W22" s="210"/>
      <c r="X22" s="210"/>
      <c r="Y22" s="209"/>
      <c r="Z22" s="209"/>
      <c r="AA22" s="209"/>
      <c r="AB22" s="209"/>
      <c r="AC22" s="211"/>
    </row>
    <row r="23" spans="3:29">
      <c r="C23" s="67" t="s">
        <v>79</v>
      </c>
      <c r="D23" s="68">
        <f>SUM(D17:D22)</f>
        <v>64167</v>
      </c>
      <c r="E23" s="68">
        <f>SUM(E17:E22)</f>
        <v>58302</v>
      </c>
      <c r="F23" s="69">
        <f>AVERAGEIF(F17:F22,"&lt;&gt;0")</f>
        <v>0.79</v>
      </c>
      <c r="G23" s="69">
        <f t="shared" ref="G23:J23" si="0">AVERAGEIF(G17:G22,"&lt;&gt;0")</f>
        <v>0.91155722139104123</v>
      </c>
      <c r="H23" s="69">
        <f t="shared" si="0"/>
        <v>8.8442778608958841E-2</v>
      </c>
      <c r="I23" s="69">
        <f t="shared" si="0"/>
        <v>0.50166666666666659</v>
      </c>
      <c r="J23" s="69">
        <f t="shared" si="0"/>
        <v>0.99249999999999994</v>
      </c>
      <c r="T23" s="207"/>
      <c r="U23" s="208"/>
      <c r="V23" s="208"/>
      <c r="W23" s="210"/>
      <c r="X23" s="210"/>
      <c r="Y23" s="209"/>
      <c r="Z23" s="209"/>
      <c r="AA23" s="209"/>
      <c r="AB23" s="209"/>
      <c r="AC23" s="211"/>
    </row>
    <row r="24" spans="3:29">
      <c r="C24" s="207"/>
      <c r="D24" s="208"/>
      <c r="E24" s="208"/>
      <c r="F24" s="209"/>
      <c r="G24" s="209"/>
      <c r="H24" s="209"/>
      <c r="I24" s="209"/>
      <c r="J24" s="209"/>
      <c r="T24" s="207"/>
      <c r="U24" s="208"/>
      <c r="V24" s="208"/>
      <c r="W24" s="210"/>
      <c r="X24" s="210"/>
      <c r="Y24" s="209"/>
      <c r="Z24" s="209"/>
      <c r="AA24" s="209"/>
      <c r="AB24" s="209"/>
      <c r="AC24" s="211"/>
    </row>
    <row r="25" spans="3:29">
      <c r="C25" s="207"/>
      <c r="D25" s="208"/>
      <c r="E25" s="208"/>
      <c r="F25" s="209"/>
      <c r="G25" s="209"/>
      <c r="H25" s="209"/>
      <c r="I25" s="209"/>
      <c r="J25" s="209"/>
      <c r="T25" s="207"/>
      <c r="U25" s="208"/>
      <c r="V25" s="208"/>
      <c r="W25" s="210"/>
      <c r="X25" s="210"/>
      <c r="Y25" s="209"/>
      <c r="Z25" s="209"/>
      <c r="AA25" s="209"/>
      <c r="AB25" s="209"/>
      <c r="AC25" s="211"/>
    </row>
    <row r="26" spans="3:29">
      <c r="C26" s="207"/>
      <c r="D26" s="208"/>
      <c r="E26" s="208"/>
      <c r="F26" s="209"/>
      <c r="G26" s="209"/>
      <c r="H26" s="209"/>
      <c r="I26" s="209"/>
      <c r="J26" s="209"/>
      <c r="T26" s="207"/>
      <c r="U26" s="208"/>
      <c r="V26" s="208"/>
      <c r="W26" s="210"/>
      <c r="X26" s="210"/>
      <c r="Y26" s="209"/>
      <c r="Z26" s="209"/>
      <c r="AA26" s="209"/>
      <c r="AB26" s="209"/>
      <c r="AC26" s="211"/>
    </row>
    <row r="27" spans="3:29">
      <c r="C27" s="207"/>
      <c r="D27" s="208"/>
      <c r="E27" s="208"/>
      <c r="F27" s="209"/>
      <c r="G27" s="209"/>
      <c r="H27" s="209"/>
      <c r="I27" s="209"/>
      <c r="J27" s="209"/>
      <c r="T27" s="207"/>
      <c r="U27" s="208"/>
      <c r="V27" s="208"/>
      <c r="W27" s="210"/>
      <c r="X27" s="210"/>
      <c r="Y27" s="209"/>
      <c r="Z27" s="209"/>
      <c r="AA27" s="209"/>
      <c r="AB27" s="209"/>
      <c r="AC27" s="211"/>
    </row>
    <row r="28" spans="3:29">
      <c r="C28" s="207"/>
      <c r="D28" s="208"/>
      <c r="E28" s="208"/>
      <c r="F28" s="209"/>
      <c r="G28" s="209"/>
      <c r="H28" s="209"/>
      <c r="I28" s="209"/>
      <c r="J28" s="209"/>
      <c r="T28" s="207"/>
      <c r="U28" s="208"/>
      <c r="V28" s="208"/>
      <c r="W28" s="210"/>
      <c r="X28" s="210"/>
      <c r="Y28" s="209"/>
      <c r="Z28" s="209"/>
      <c r="AA28" s="209"/>
      <c r="AB28" s="209"/>
      <c r="AC28" s="211"/>
    </row>
    <row r="29" spans="3:29">
      <c r="C29" s="207"/>
      <c r="D29" s="208"/>
      <c r="E29" s="208"/>
      <c r="F29" s="209"/>
      <c r="G29" s="209"/>
      <c r="H29" s="209"/>
      <c r="I29" s="209"/>
      <c r="J29" s="209"/>
      <c r="T29" s="207"/>
      <c r="U29" s="208"/>
      <c r="V29" s="208"/>
      <c r="W29" s="210"/>
      <c r="X29" s="210"/>
      <c r="Y29" s="209"/>
      <c r="Z29" s="209"/>
      <c r="AA29" s="209"/>
      <c r="AB29" s="209"/>
      <c r="AC29" s="211"/>
    </row>
    <row r="30" spans="3:29">
      <c r="C30" s="207"/>
      <c r="D30" s="208"/>
      <c r="E30" s="208"/>
      <c r="F30" s="209"/>
      <c r="G30" s="209"/>
      <c r="H30" s="209"/>
      <c r="I30" s="209"/>
      <c r="J30" s="209"/>
      <c r="T30" s="207"/>
      <c r="U30" s="208"/>
      <c r="V30" s="208"/>
      <c r="W30" s="210"/>
      <c r="X30" s="210"/>
      <c r="Y30" s="209"/>
      <c r="Z30" s="209"/>
      <c r="AA30" s="209"/>
      <c r="AB30" s="209"/>
      <c r="AC30" s="211"/>
    </row>
    <row r="33" spans="2:29">
      <c r="B33" s="1" t="s">
        <v>115</v>
      </c>
      <c r="C33" s="1"/>
      <c r="D33" s="1"/>
      <c r="E33" s="1"/>
      <c r="F33" s="1"/>
      <c r="G33" s="1"/>
      <c r="H33" s="1"/>
      <c r="I33" s="1"/>
      <c r="J33" s="1"/>
      <c r="K33" s="1"/>
      <c r="M33" s="207"/>
      <c r="N33" s="207"/>
      <c r="O33" s="207"/>
      <c r="P33" s="207"/>
      <c r="Q33" s="207"/>
      <c r="R33" s="207"/>
      <c r="T33" s="431" t="s">
        <v>116</v>
      </c>
      <c r="U33" s="431"/>
      <c r="V33" s="431"/>
      <c r="W33" s="431"/>
      <c r="X33" s="431"/>
      <c r="Y33" s="431"/>
      <c r="Z33" s="431"/>
      <c r="AA33" s="431"/>
      <c r="AB33" s="431"/>
      <c r="AC33" s="431"/>
    </row>
    <row r="34" spans="2:29">
      <c r="B34" s="13" t="s">
        <v>74</v>
      </c>
      <c r="C34" s="14" t="s">
        <v>75</v>
      </c>
      <c r="D34" s="14" t="s">
        <v>76</v>
      </c>
      <c r="E34" s="14" t="s">
        <v>86</v>
      </c>
      <c r="F34" s="14" t="s">
        <v>87</v>
      </c>
      <c r="G34" s="14" t="s">
        <v>71</v>
      </c>
      <c r="H34" s="14" t="s">
        <v>41</v>
      </c>
      <c r="I34" s="14" t="s">
        <v>40</v>
      </c>
      <c r="J34" s="14" t="s">
        <v>77</v>
      </c>
      <c r="K34" s="8" t="s">
        <v>43</v>
      </c>
      <c r="L34" s="207"/>
      <c r="M34" s="241"/>
      <c r="N34" s="241"/>
      <c r="O34" s="241"/>
      <c r="P34" s="241"/>
      <c r="Q34" s="241"/>
      <c r="R34" s="241"/>
      <c r="T34" s="13" t="s">
        <v>74</v>
      </c>
      <c r="U34" s="14" t="s">
        <v>75</v>
      </c>
      <c r="V34" s="14" t="s">
        <v>76</v>
      </c>
      <c r="W34" s="14" t="s">
        <v>86</v>
      </c>
      <c r="X34" s="14" t="s">
        <v>87</v>
      </c>
      <c r="Y34" s="14" t="s">
        <v>71</v>
      </c>
      <c r="Z34" s="14" t="s">
        <v>41</v>
      </c>
      <c r="AA34" s="14" t="s">
        <v>40</v>
      </c>
      <c r="AB34" s="14" t="s">
        <v>77</v>
      </c>
      <c r="AC34" s="8" t="s">
        <v>43</v>
      </c>
    </row>
    <row r="35" spans="2:29">
      <c r="B35" s="4" t="s">
        <v>78</v>
      </c>
      <c r="C35" s="1"/>
      <c r="D35" s="1"/>
      <c r="E35" s="1"/>
      <c r="F35" s="1"/>
      <c r="G35" s="2">
        <v>0.86</v>
      </c>
      <c r="H35" s="2">
        <v>0.94</v>
      </c>
      <c r="I35" s="2">
        <v>0.06</v>
      </c>
      <c r="J35" s="2">
        <v>0.65</v>
      </c>
      <c r="K35" s="12">
        <v>0.95</v>
      </c>
      <c r="L35" s="241"/>
      <c r="M35" s="242"/>
      <c r="N35" s="242"/>
      <c r="O35" s="242"/>
      <c r="P35" s="242"/>
      <c r="Q35" s="242"/>
      <c r="R35" s="242"/>
      <c r="T35" s="4" t="s">
        <v>78</v>
      </c>
      <c r="U35" s="1"/>
      <c r="V35" s="1"/>
      <c r="W35" s="1"/>
      <c r="X35" s="1"/>
      <c r="Y35" s="2">
        <v>0.86</v>
      </c>
      <c r="Z35" s="2">
        <v>0.94</v>
      </c>
      <c r="AA35" s="2">
        <v>0.06</v>
      </c>
      <c r="AB35" s="2">
        <v>0.65</v>
      </c>
      <c r="AC35" s="12">
        <v>0.95</v>
      </c>
    </row>
    <row r="36" spans="2:29">
      <c r="B36" s="4" t="s">
        <v>88</v>
      </c>
      <c r="C36" s="56">
        <v>28095</v>
      </c>
      <c r="D36" s="56">
        <v>17806</v>
      </c>
      <c r="E36" s="127">
        <v>0.18659458546268531</v>
      </c>
      <c r="F36" s="127">
        <v>0.33508285221564071</v>
      </c>
      <c r="G36" s="52">
        <v>0.30038461538461542</v>
      </c>
      <c r="H36" s="52">
        <v>0.63377825235807084</v>
      </c>
      <c r="I36" s="52">
        <v>0.36622174764192916</v>
      </c>
      <c r="J36" s="52">
        <v>0.73653846153846159</v>
      </c>
      <c r="K36" s="52">
        <v>0.8</v>
      </c>
      <c r="L36" s="242"/>
      <c r="M36" s="243"/>
      <c r="N36" s="243"/>
      <c r="O36" s="243"/>
      <c r="P36" s="243"/>
      <c r="Q36" s="243"/>
      <c r="R36" s="243"/>
      <c r="T36" s="4" t="s">
        <v>88</v>
      </c>
      <c r="U36" s="56">
        <v>18123</v>
      </c>
      <c r="V36" s="56">
        <v>16500</v>
      </c>
      <c r="W36" s="127">
        <v>-0.39282363977485929</v>
      </c>
      <c r="X36" s="127">
        <v>-0.17060420227204182</v>
      </c>
      <c r="Y36" s="52">
        <v>0.76</v>
      </c>
      <c r="Z36" s="52">
        <v>0.91044529051481538</v>
      </c>
      <c r="AA36" s="52">
        <v>8.9554709485184625E-2</v>
      </c>
      <c r="AB36" s="57">
        <v>0.53</v>
      </c>
      <c r="AC36" s="52">
        <v>0.79</v>
      </c>
    </row>
    <row r="37" spans="2:29">
      <c r="B37" s="4" t="s">
        <v>6</v>
      </c>
      <c r="C37" s="1">
        <v>17583</v>
      </c>
      <c r="D37" s="1">
        <v>14221</v>
      </c>
      <c r="E37" s="77">
        <v>0.69752848040162196</v>
      </c>
      <c r="F37" s="77">
        <v>0.45602539162485922</v>
      </c>
      <c r="G37" s="40">
        <v>0.83</v>
      </c>
      <c r="H37" s="52">
        <v>0.80879258374566343</v>
      </c>
      <c r="I37" s="57">
        <v>0.19120741625433657</v>
      </c>
      <c r="J37" s="41">
        <v>0.65</v>
      </c>
      <c r="K37" s="40"/>
      <c r="L37" s="243"/>
      <c r="M37" s="243"/>
      <c r="N37" s="243"/>
      <c r="O37" s="243"/>
      <c r="P37" s="243"/>
      <c r="Q37" s="243"/>
      <c r="R37" s="243"/>
      <c r="T37" s="4" t="s">
        <v>6</v>
      </c>
      <c r="U37">
        <v>7663</v>
      </c>
      <c r="V37" s="1">
        <v>7042</v>
      </c>
      <c r="W37" s="127">
        <v>-0.58767823513586226</v>
      </c>
      <c r="X37" s="127">
        <v>-0.49584765177548684</v>
      </c>
      <c r="Y37" s="49">
        <v>0.81</v>
      </c>
      <c r="Z37" s="52">
        <v>0.9189612423332898</v>
      </c>
      <c r="AA37" s="52">
        <v>8.1038757666710204E-2</v>
      </c>
      <c r="AB37" s="41">
        <v>0.73</v>
      </c>
      <c r="AC37" s="40">
        <v>1</v>
      </c>
    </row>
    <row r="38" spans="2:29">
      <c r="B38" s="4" t="s">
        <v>5</v>
      </c>
      <c r="C38" s="58">
        <v>16067</v>
      </c>
      <c r="D38" s="58">
        <v>15278</v>
      </c>
      <c r="E38" s="127">
        <v>0.34677284157585919</v>
      </c>
      <c r="F38" s="127">
        <v>0.37429162543851757</v>
      </c>
      <c r="G38" s="40">
        <v>0.87655172413793125</v>
      </c>
      <c r="H38" s="57">
        <v>0.95089313499719919</v>
      </c>
      <c r="I38" s="57">
        <v>4.9106865002800815E-2</v>
      </c>
      <c r="J38" s="126">
        <v>0.55551724137931047</v>
      </c>
      <c r="K38" s="40">
        <v>1</v>
      </c>
      <c r="L38" s="243"/>
      <c r="M38" s="244"/>
      <c r="N38" s="244"/>
      <c r="O38" s="244"/>
      <c r="P38" s="244"/>
      <c r="Q38" s="244"/>
      <c r="R38" s="244"/>
      <c r="T38" s="4" t="s">
        <v>5</v>
      </c>
      <c r="U38" s="1">
        <v>10186</v>
      </c>
      <c r="V38" s="1">
        <v>9765</v>
      </c>
      <c r="W38" s="127">
        <v>-0.30900210297808833</v>
      </c>
      <c r="X38" s="127">
        <v>-0.2967737289356186</v>
      </c>
      <c r="Y38" s="40">
        <v>0.86</v>
      </c>
      <c r="Z38" s="57">
        <v>0.95866876104457099</v>
      </c>
      <c r="AA38" s="57">
        <v>4.1331238955429006E-2</v>
      </c>
      <c r="AB38" s="126">
        <v>0.57999999999999996</v>
      </c>
      <c r="AC38" s="40">
        <v>0.98</v>
      </c>
    </row>
    <row r="39" spans="2:29">
      <c r="B39" s="4" t="s">
        <v>102</v>
      </c>
      <c r="C39" s="56">
        <v>28098</v>
      </c>
      <c r="D39" s="56">
        <v>20864</v>
      </c>
      <c r="E39" s="130">
        <v>-2.3629161164778652E-2</v>
      </c>
      <c r="F39" s="127">
        <v>0.29582013539531704</v>
      </c>
      <c r="G39" s="49">
        <v>0.39333333333333337</v>
      </c>
      <c r="H39" s="52">
        <v>0.7425439533062852</v>
      </c>
      <c r="I39" s="52">
        <v>0.2574560466937148</v>
      </c>
      <c r="J39" s="40">
        <v>0.80869813656850698</v>
      </c>
      <c r="K39" s="107" t="s">
        <v>20</v>
      </c>
      <c r="L39" s="244"/>
      <c r="M39" s="245"/>
      <c r="N39" s="245"/>
      <c r="O39" s="245"/>
      <c r="P39" s="245"/>
      <c r="Q39" s="245"/>
      <c r="R39" s="245"/>
      <c r="T39" s="4" t="s">
        <v>102</v>
      </c>
      <c r="U39" s="56">
        <v>22974</v>
      </c>
      <c r="V39" s="56">
        <v>21626</v>
      </c>
      <c r="W39" s="127">
        <v>-0.220321726735899</v>
      </c>
      <c r="X39" s="127">
        <v>1.0844161914555483E-2</v>
      </c>
      <c r="Y39" s="49">
        <v>0.85</v>
      </c>
      <c r="Z39" s="57">
        <v>0.94132497605989385</v>
      </c>
      <c r="AA39" s="57">
        <v>5.8675023940106152E-2</v>
      </c>
      <c r="AB39" s="49">
        <v>0.6</v>
      </c>
      <c r="AC39" s="107" t="s">
        <v>20</v>
      </c>
    </row>
    <row r="40" spans="2:29">
      <c r="B40" s="4" t="s">
        <v>4</v>
      </c>
      <c r="C40" s="55">
        <v>16801</v>
      </c>
      <c r="D40" s="55">
        <v>14026</v>
      </c>
      <c r="E40" s="127">
        <v>9.2605839890745917E-2</v>
      </c>
      <c r="F40" s="127">
        <v>0.25929251212066801</v>
      </c>
      <c r="G40" s="54">
        <v>0.60319999999999996</v>
      </c>
      <c r="H40" s="52">
        <v>0.83483126004404495</v>
      </c>
      <c r="I40" s="52">
        <v>0.16516873995595505</v>
      </c>
      <c r="J40" s="54">
        <v>0.60160000000000002</v>
      </c>
      <c r="K40" s="53">
        <v>0.95640000000000003</v>
      </c>
      <c r="L40" s="245"/>
      <c r="M40" s="246"/>
      <c r="N40" s="246"/>
      <c r="O40" s="246"/>
      <c r="P40" s="246"/>
      <c r="Q40" s="246"/>
      <c r="R40" s="246"/>
      <c r="T40" s="4" t="s">
        <v>4</v>
      </c>
      <c r="U40" s="55">
        <v>8327</v>
      </c>
      <c r="V40" s="55">
        <v>7134</v>
      </c>
      <c r="W40" s="127">
        <v>-0.62015327068698112</v>
      </c>
      <c r="X40" s="127">
        <v>-0.55730685696556004</v>
      </c>
      <c r="Y40" s="54">
        <v>0.65</v>
      </c>
      <c r="Z40" s="52">
        <v>0.85673111564789239</v>
      </c>
      <c r="AA40" s="52">
        <v>0.14326888435210761</v>
      </c>
      <c r="AB40" s="54">
        <v>0.53</v>
      </c>
      <c r="AC40" s="53">
        <v>0.96</v>
      </c>
    </row>
    <row r="41" spans="2:29">
      <c r="B41" s="4" t="s">
        <v>7</v>
      </c>
      <c r="C41" s="10"/>
      <c r="D41" s="11"/>
      <c r="E41" s="11"/>
      <c r="F41" s="11"/>
      <c r="G41" s="11"/>
      <c r="H41" s="11"/>
      <c r="I41" s="11"/>
      <c r="J41" s="11"/>
      <c r="K41" s="11"/>
      <c r="L41" s="246"/>
      <c r="M41" s="211"/>
      <c r="N41" s="211"/>
      <c r="O41" s="211"/>
      <c r="P41" s="211"/>
      <c r="Q41" s="211"/>
      <c r="R41" s="211"/>
      <c r="T41" s="4" t="s">
        <v>7</v>
      </c>
      <c r="U41" s="10"/>
      <c r="V41" s="11"/>
      <c r="W41" s="11"/>
      <c r="X41" s="11"/>
      <c r="Y41" s="11"/>
      <c r="Z41" s="11"/>
      <c r="AA41" s="11"/>
      <c r="AB41" s="11"/>
      <c r="AC41" s="11"/>
    </row>
    <row r="42" spans="2:29">
      <c r="B42" s="67" t="s">
        <v>79</v>
      </c>
      <c r="C42" s="68">
        <v>106644</v>
      </c>
      <c r="D42" s="68">
        <v>82195</v>
      </c>
      <c r="E42" s="131">
        <v>-1.1750998668442078E-2</v>
      </c>
      <c r="F42" s="131">
        <v>0.1059876342336479</v>
      </c>
      <c r="G42" s="69">
        <v>0.60069393457117604</v>
      </c>
      <c r="H42" s="69">
        <v>0.77074190765537676</v>
      </c>
      <c r="I42" s="69">
        <v>0.22925809234462324</v>
      </c>
      <c r="J42" s="69">
        <v>0.67047076789725568</v>
      </c>
      <c r="K42" s="70">
        <v>0.91880000000000006</v>
      </c>
      <c r="L42" s="211"/>
      <c r="T42" s="67" t="s">
        <v>79</v>
      </c>
      <c r="U42" s="68">
        <v>67273</v>
      </c>
      <c r="V42" s="68">
        <v>62067</v>
      </c>
      <c r="W42" s="131">
        <v>-0.41278085228958994</v>
      </c>
      <c r="X42" s="131">
        <v>-0.27200112600724868</v>
      </c>
      <c r="Y42" s="69">
        <v>0.78600000000000003</v>
      </c>
      <c r="Z42" s="69">
        <v>0.92261382724124097</v>
      </c>
      <c r="AA42" s="69">
        <v>7.7386172758759031E-2</v>
      </c>
      <c r="AB42" s="69">
        <v>0.59399999999999997</v>
      </c>
      <c r="AC42" s="70">
        <v>0.9325</v>
      </c>
    </row>
    <row r="44" spans="2:29">
      <c r="M44" s="15"/>
      <c r="N44" s="15"/>
      <c r="O44" s="15"/>
      <c r="P44" s="15"/>
      <c r="Q44" s="15"/>
      <c r="R44" s="15"/>
    </row>
    <row r="45" spans="2:29">
      <c r="B45" s="431" t="s">
        <v>117</v>
      </c>
      <c r="C45" s="431"/>
      <c r="D45" s="431"/>
      <c r="E45" s="431"/>
      <c r="F45" s="431"/>
      <c r="G45" s="431"/>
      <c r="H45" s="431"/>
      <c r="I45" s="431"/>
      <c r="J45" s="431"/>
      <c r="K45" s="431"/>
      <c r="L45" s="15"/>
      <c r="M45" s="207"/>
      <c r="N45" s="207"/>
      <c r="O45" s="207"/>
      <c r="P45" s="207"/>
      <c r="Q45" s="207"/>
      <c r="R45" s="207"/>
    </row>
    <row r="46" spans="2:29">
      <c r="B46" s="13" t="s">
        <v>74</v>
      </c>
      <c r="C46" s="14" t="s">
        <v>75</v>
      </c>
      <c r="D46" s="14" t="s">
        <v>76</v>
      </c>
      <c r="E46" s="14" t="s">
        <v>86</v>
      </c>
      <c r="F46" s="14" t="s">
        <v>87</v>
      </c>
      <c r="G46" s="14" t="s">
        <v>71</v>
      </c>
      <c r="H46" s="14" t="s">
        <v>41</v>
      </c>
      <c r="I46" s="14" t="s">
        <v>40</v>
      </c>
      <c r="J46" s="14" t="s">
        <v>77</v>
      </c>
      <c r="K46" s="8" t="s">
        <v>43</v>
      </c>
      <c r="L46" s="207"/>
      <c r="M46" s="241"/>
      <c r="N46" s="241"/>
      <c r="O46" s="241"/>
      <c r="P46" s="241"/>
      <c r="Q46" s="241"/>
      <c r="R46" s="241"/>
    </row>
    <row r="47" spans="2:29">
      <c r="B47" s="4" t="s">
        <v>78</v>
      </c>
      <c r="C47" s="1"/>
      <c r="D47" s="1"/>
      <c r="E47" s="1"/>
      <c r="F47" s="1"/>
      <c r="G47" s="2">
        <v>0.86</v>
      </c>
      <c r="H47" s="2">
        <v>0.94</v>
      </c>
      <c r="I47" s="2">
        <v>0.06</v>
      </c>
      <c r="J47" s="2">
        <v>0.65</v>
      </c>
      <c r="K47" s="12">
        <v>0.95</v>
      </c>
      <c r="L47" s="241"/>
      <c r="M47" s="242"/>
      <c r="N47" s="242"/>
      <c r="O47" s="242"/>
      <c r="P47" s="242"/>
      <c r="Q47" s="242"/>
      <c r="R47" s="242"/>
    </row>
    <row r="48" spans="2:29">
      <c r="B48" s="4" t="s">
        <v>88</v>
      </c>
      <c r="C48" s="56">
        <v>14782</v>
      </c>
      <c r="D48" s="56">
        <v>14033</v>
      </c>
      <c r="E48" s="127">
        <v>-0.18435137670363627</v>
      </c>
      <c r="F48" s="127">
        <v>-0.14951515151515152</v>
      </c>
      <c r="G48" s="57">
        <v>0.86</v>
      </c>
      <c r="H48" s="57">
        <v>0.94933026654038699</v>
      </c>
      <c r="I48" s="57">
        <v>5.0669733459613009E-2</v>
      </c>
      <c r="J48" s="52">
        <v>0.45</v>
      </c>
      <c r="K48" s="52">
        <v>0.82</v>
      </c>
      <c r="L48" s="242"/>
      <c r="M48" s="243"/>
      <c r="N48" s="243"/>
      <c r="O48" s="243"/>
      <c r="P48" s="243"/>
      <c r="Q48" s="243"/>
      <c r="R48" s="243"/>
    </row>
    <row r="49" spans="2:29">
      <c r="B49" s="4" t="s">
        <v>6</v>
      </c>
      <c r="C49">
        <v>4560</v>
      </c>
      <c r="D49" s="1">
        <v>4362</v>
      </c>
      <c r="E49" s="127">
        <v>-0.4049327939449302</v>
      </c>
      <c r="F49" s="127">
        <v>-0.38057370065322349</v>
      </c>
      <c r="G49" s="40">
        <v>0.86</v>
      </c>
      <c r="H49" s="57">
        <v>0.95657894736842108</v>
      </c>
      <c r="I49" s="57">
        <v>4.3421052631578916E-2</v>
      </c>
      <c r="J49" s="41">
        <v>0.73</v>
      </c>
      <c r="K49" s="40">
        <v>1</v>
      </c>
      <c r="L49" s="243"/>
      <c r="M49" s="243"/>
      <c r="N49" s="243"/>
      <c r="O49" s="243"/>
      <c r="P49" s="243"/>
      <c r="Q49" s="243"/>
      <c r="R49" s="243"/>
    </row>
    <row r="50" spans="2:29">
      <c r="B50" s="4" t="s">
        <v>5</v>
      </c>
      <c r="C50" s="1">
        <v>8945</v>
      </c>
      <c r="D50" s="1">
        <v>8575</v>
      </c>
      <c r="E50" s="127">
        <v>-0.12183388965246417</v>
      </c>
      <c r="F50" s="127">
        <v>-0.12186379928315412</v>
      </c>
      <c r="G50" s="40">
        <v>0.9</v>
      </c>
      <c r="H50" s="57">
        <v>0.9586361095584125</v>
      </c>
      <c r="I50" s="57">
        <v>4.1363890441587503E-2</v>
      </c>
      <c r="J50" s="126">
        <v>0.55000000000000004</v>
      </c>
      <c r="K50" s="40">
        <v>1</v>
      </c>
      <c r="L50" s="243"/>
      <c r="M50" s="244"/>
      <c r="N50" s="244"/>
      <c r="O50" s="244"/>
      <c r="P50" s="244"/>
      <c r="Q50" s="244"/>
      <c r="R50" s="244"/>
    </row>
    <row r="51" spans="2:29">
      <c r="B51" s="4" t="s">
        <v>102</v>
      </c>
      <c r="C51" s="56">
        <v>18729</v>
      </c>
      <c r="D51" s="56">
        <v>17737</v>
      </c>
      <c r="E51" s="127">
        <v>-0.18477409245233742</v>
      </c>
      <c r="F51" s="127">
        <v>-0.17982983445852216</v>
      </c>
      <c r="G51" s="40">
        <v>0.88</v>
      </c>
      <c r="H51" s="57">
        <v>0.94703401142613064</v>
      </c>
      <c r="I51" s="57">
        <v>5.296598857386936E-2</v>
      </c>
      <c r="J51" s="49">
        <v>0.52</v>
      </c>
      <c r="K51" s="107" t="s">
        <v>20</v>
      </c>
      <c r="L51" s="244"/>
      <c r="M51" s="245"/>
      <c r="N51" s="245"/>
      <c r="O51" s="245"/>
      <c r="P51" s="245"/>
      <c r="Q51" s="245"/>
      <c r="R51" s="245"/>
    </row>
    <row r="52" spans="2:29">
      <c r="B52" s="4" t="s">
        <v>4</v>
      </c>
      <c r="C52" s="55">
        <v>4497</v>
      </c>
      <c r="D52" s="55">
        <v>4104</v>
      </c>
      <c r="E52" s="127">
        <v>-0.45994956166686685</v>
      </c>
      <c r="F52" s="127">
        <v>-0.42472666105971407</v>
      </c>
      <c r="G52" s="54">
        <v>0.7</v>
      </c>
      <c r="H52" s="52">
        <v>0.91260840560373579</v>
      </c>
      <c r="I52" s="52">
        <v>8.7391594396264205E-2</v>
      </c>
      <c r="J52" s="54">
        <v>0.54</v>
      </c>
      <c r="K52" s="53">
        <v>0.96</v>
      </c>
      <c r="L52" s="245"/>
      <c r="M52" s="246"/>
      <c r="N52" s="246"/>
      <c r="O52" s="246"/>
      <c r="P52" s="246"/>
      <c r="Q52" s="246"/>
      <c r="R52" s="246"/>
    </row>
    <row r="53" spans="2:29">
      <c r="B53" s="4" t="s">
        <v>7</v>
      </c>
      <c r="C53" s="10"/>
      <c r="D53" s="11"/>
      <c r="E53" s="11"/>
      <c r="F53" s="11"/>
      <c r="G53" s="11"/>
      <c r="H53" s="11"/>
      <c r="I53" s="11"/>
      <c r="J53" s="11"/>
      <c r="K53" s="11"/>
      <c r="L53" s="246"/>
      <c r="M53" s="211"/>
      <c r="N53" s="211"/>
      <c r="O53" s="211"/>
      <c r="P53" s="211"/>
      <c r="Q53" s="211"/>
      <c r="R53" s="211"/>
    </row>
    <row r="54" spans="2:29">
      <c r="B54" s="67" t="s">
        <v>79</v>
      </c>
      <c r="C54" s="68">
        <v>51513</v>
      </c>
      <c r="D54" s="68">
        <v>48811</v>
      </c>
      <c r="E54" s="131">
        <v>-0.23426932052978164</v>
      </c>
      <c r="F54" s="131">
        <v>-0.21357565211787263</v>
      </c>
      <c r="G54" s="69">
        <v>0.84000000000000008</v>
      </c>
      <c r="H54" s="69">
        <v>0.94754722108982203</v>
      </c>
      <c r="I54" s="69">
        <v>5.2452778910177966E-2</v>
      </c>
      <c r="J54" s="69">
        <v>0.55800000000000005</v>
      </c>
      <c r="K54" s="70">
        <v>0.94499999999999995</v>
      </c>
      <c r="L54" s="211"/>
    </row>
    <row r="57" spans="2:29">
      <c r="T57" s="431" t="s">
        <v>118</v>
      </c>
      <c r="U57" s="431"/>
      <c r="V57" s="431"/>
      <c r="W57" s="431"/>
      <c r="X57" s="431"/>
      <c r="Y57" s="431"/>
      <c r="Z57" s="431"/>
      <c r="AA57" s="431"/>
      <c r="AB57" s="431"/>
      <c r="AC57" s="431"/>
    </row>
    <row r="58" spans="2:29">
      <c r="T58" s="13" t="s">
        <v>74</v>
      </c>
      <c r="U58" s="14" t="s">
        <v>75</v>
      </c>
      <c r="V58" s="14" t="s">
        <v>76</v>
      </c>
      <c r="W58" s="14" t="s">
        <v>86</v>
      </c>
      <c r="X58" s="14" t="s">
        <v>87</v>
      </c>
      <c r="Y58" s="14" t="s">
        <v>71</v>
      </c>
      <c r="Z58" s="14" t="s">
        <v>41</v>
      </c>
      <c r="AA58" s="14" t="s">
        <v>40</v>
      </c>
      <c r="AB58" s="14" t="s">
        <v>77</v>
      </c>
      <c r="AC58" s="8" t="s">
        <v>43</v>
      </c>
    </row>
    <row r="59" spans="2:29">
      <c r="T59" s="4" t="s">
        <v>78</v>
      </c>
      <c r="U59" s="1"/>
      <c r="V59" s="1"/>
      <c r="W59" s="1"/>
      <c r="X59" s="1"/>
      <c r="Y59" s="2">
        <v>0.86</v>
      </c>
      <c r="Z59" s="2">
        <v>0.94</v>
      </c>
      <c r="AA59" s="2">
        <v>0.06</v>
      </c>
      <c r="AB59" s="2">
        <v>0.65</v>
      </c>
      <c r="AC59" s="12">
        <v>0.95</v>
      </c>
    </row>
    <row r="60" spans="2:29">
      <c r="T60" s="4" t="s">
        <v>88</v>
      </c>
      <c r="U60" s="56">
        <v>16404</v>
      </c>
      <c r="V60" s="56">
        <v>15390</v>
      </c>
      <c r="W60" s="127">
        <v>0.10972804762549046</v>
      </c>
      <c r="X60" s="127">
        <v>9.6700634219340123E-2</v>
      </c>
      <c r="Y60" s="57">
        <v>0.83</v>
      </c>
      <c r="Z60" s="57">
        <v>0.93818580833942944</v>
      </c>
      <c r="AA60" s="57">
        <v>6.1814191660570561E-2</v>
      </c>
      <c r="AB60" s="52">
        <v>0.46</v>
      </c>
      <c r="AC60" s="52">
        <v>0.81</v>
      </c>
    </row>
    <row r="61" spans="2:29">
      <c r="T61" s="4" t="s">
        <v>6</v>
      </c>
      <c r="U61">
        <v>4194</v>
      </c>
      <c r="V61" s="1">
        <v>4040</v>
      </c>
      <c r="W61" s="127">
        <v>-8.0263157894736842E-2</v>
      </c>
      <c r="X61" s="127">
        <v>-7.3819348922512615E-2</v>
      </c>
      <c r="Y61" s="40">
        <v>0.89</v>
      </c>
      <c r="Z61" s="57">
        <v>0.96328087744396762</v>
      </c>
      <c r="AA61" s="57">
        <v>3.671912255603238E-2</v>
      </c>
      <c r="AB61" s="41">
        <v>0.72</v>
      </c>
      <c r="AC61" s="40">
        <v>1</v>
      </c>
    </row>
    <row r="62" spans="2:29">
      <c r="T62" s="4" t="s">
        <v>5</v>
      </c>
      <c r="U62" s="1">
        <v>10535</v>
      </c>
      <c r="V62" s="1">
        <v>10047</v>
      </c>
      <c r="W62" s="127">
        <v>0.17775293460033539</v>
      </c>
      <c r="X62" s="127">
        <v>0.17166180758017494</v>
      </c>
      <c r="Y62" s="40">
        <v>0.83</v>
      </c>
      <c r="Z62" s="57">
        <v>0.95367821547223541</v>
      </c>
      <c r="AA62" s="57">
        <v>4.6321784527764587E-2</v>
      </c>
      <c r="AB62" s="126">
        <v>0.64</v>
      </c>
      <c r="AC62" s="40">
        <v>1</v>
      </c>
    </row>
    <row r="63" spans="2:29">
      <c r="T63" s="4" t="s">
        <v>102</v>
      </c>
      <c r="U63" s="56">
        <v>23825</v>
      </c>
      <c r="V63" s="56">
        <v>22655</v>
      </c>
      <c r="W63" s="127">
        <v>0.27209140904479684</v>
      </c>
      <c r="X63" s="127">
        <v>0.27727349608163726</v>
      </c>
      <c r="Y63" s="40">
        <v>0.87</v>
      </c>
      <c r="Z63" s="57">
        <v>0.95089192025183633</v>
      </c>
      <c r="AA63" s="57">
        <v>4.9108079748163669E-2</v>
      </c>
      <c r="AB63" s="49">
        <v>0.64</v>
      </c>
      <c r="AC63" s="107" t="s">
        <v>20</v>
      </c>
    </row>
    <row r="64" spans="2:29">
      <c r="T64" s="4" t="s">
        <v>4</v>
      </c>
      <c r="U64" s="55">
        <v>8792</v>
      </c>
      <c r="V64" s="55">
        <v>8104</v>
      </c>
      <c r="W64" s="127">
        <v>0.95508116522125863</v>
      </c>
      <c r="X64" s="127">
        <v>0.97465886939571145</v>
      </c>
      <c r="Y64" s="54">
        <v>0.81</v>
      </c>
      <c r="Z64" s="57">
        <v>0.92174704276615105</v>
      </c>
      <c r="AA64" s="57">
        <v>7.8252957233848952E-2</v>
      </c>
      <c r="AB64" s="54">
        <v>0.54</v>
      </c>
      <c r="AC64" s="53">
        <v>0.95</v>
      </c>
    </row>
    <row r="65" spans="2:29">
      <c r="T65" s="4" t="s">
        <v>7</v>
      </c>
      <c r="U65" s="10"/>
      <c r="V65" s="11"/>
      <c r="W65" s="11"/>
      <c r="X65" s="11"/>
      <c r="Y65" s="11"/>
      <c r="Z65" s="11"/>
      <c r="AA65" s="11"/>
      <c r="AB65" s="11"/>
      <c r="AC65" s="11"/>
    </row>
    <row r="66" spans="2:29">
      <c r="T66" s="67" t="s">
        <v>79</v>
      </c>
      <c r="U66" s="68">
        <v>63750</v>
      </c>
      <c r="V66" s="68">
        <v>60236</v>
      </c>
      <c r="W66" s="131">
        <v>0.23755168598217927</v>
      </c>
      <c r="X66" s="131">
        <v>0.23406609165966688</v>
      </c>
      <c r="Y66" s="69">
        <v>0.84600000000000009</v>
      </c>
      <c r="Z66" s="69">
        <v>0.94487843137254901</v>
      </c>
      <c r="AA66" s="69">
        <v>5.512156862745099E-2</v>
      </c>
      <c r="AB66" s="69">
        <v>0.6</v>
      </c>
      <c r="AC66" s="70">
        <v>0.94</v>
      </c>
    </row>
    <row r="69" spans="2:29">
      <c r="T69" s="431" t="s">
        <v>119</v>
      </c>
      <c r="U69" s="431"/>
      <c r="V69" s="431"/>
      <c r="W69" s="431"/>
      <c r="X69" s="431"/>
      <c r="Y69" s="431"/>
      <c r="Z69" s="431"/>
      <c r="AA69" s="431"/>
      <c r="AB69" s="431"/>
      <c r="AC69" s="431"/>
    </row>
    <row r="70" spans="2:29">
      <c r="T70" s="13" t="s">
        <v>74</v>
      </c>
      <c r="U70" s="14" t="s">
        <v>75</v>
      </c>
      <c r="V70" s="14" t="s">
        <v>76</v>
      </c>
      <c r="W70" s="14" t="s">
        <v>86</v>
      </c>
      <c r="X70" s="14" t="s">
        <v>87</v>
      </c>
      <c r="Y70" s="14" t="s">
        <v>71</v>
      </c>
      <c r="Z70" s="14" t="s">
        <v>41</v>
      </c>
      <c r="AA70" s="14" t="s">
        <v>40</v>
      </c>
      <c r="AB70" s="14" t="s">
        <v>77</v>
      </c>
      <c r="AC70" s="8" t="s">
        <v>43</v>
      </c>
    </row>
    <row r="71" spans="2:29">
      <c r="T71" s="4" t="s">
        <v>78</v>
      </c>
      <c r="U71" s="1"/>
      <c r="V71" s="1"/>
      <c r="W71" s="1"/>
      <c r="X71" s="1"/>
      <c r="Y71" s="2">
        <v>0.86</v>
      </c>
      <c r="Z71" s="2">
        <v>0.94</v>
      </c>
      <c r="AA71" s="2">
        <v>0.06</v>
      </c>
      <c r="AB71" s="2">
        <v>0.65</v>
      </c>
      <c r="AC71" s="12">
        <v>0.95</v>
      </c>
    </row>
    <row r="72" spans="2:29">
      <c r="T72" s="4" t="s">
        <v>88</v>
      </c>
      <c r="U72" s="56">
        <v>14430</v>
      </c>
      <c r="V72" s="56">
        <v>13200</v>
      </c>
      <c r="W72" s="127">
        <v>-0.12033650329188003</v>
      </c>
      <c r="X72" s="127">
        <v>-0.14230019493177387</v>
      </c>
      <c r="Y72" s="52">
        <v>0.76</v>
      </c>
      <c r="Z72" s="57">
        <v>0.91476091476091481</v>
      </c>
      <c r="AA72" s="57">
        <v>8.5239085239085188E-2</v>
      </c>
      <c r="AB72" s="52">
        <v>0.51</v>
      </c>
      <c r="AC72" s="52">
        <v>0.8</v>
      </c>
    </row>
    <row r="73" spans="2:29">
      <c r="T73" s="4" t="s">
        <v>6</v>
      </c>
      <c r="U73">
        <v>5170</v>
      </c>
      <c r="V73" s="1">
        <v>4953</v>
      </c>
      <c r="W73" s="127">
        <v>0.23271340009537433</v>
      </c>
      <c r="X73" s="127">
        <v>0.225990099009901</v>
      </c>
      <c r="Y73" s="40">
        <v>0.9</v>
      </c>
      <c r="Z73" s="57">
        <v>0.95802707930367503</v>
      </c>
      <c r="AA73" s="57">
        <v>4.1972920696324967E-2</v>
      </c>
      <c r="AB73" s="41">
        <v>0.73</v>
      </c>
      <c r="AC73" s="40">
        <v>1</v>
      </c>
    </row>
    <row r="74" spans="2:29">
      <c r="T74" s="4" t="s">
        <v>5</v>
      </c>
      <c r="U74" s="1">
        <v>8527</v>
      </c>
      <c r="V74" s="1">
        <v>8175</v>
      </c>
      <c r="W74" s="127">
        <v>-0.19060275272899857</v>
      </c>
      <c r="X74" s="127">
        <v>-0.1863242759032547</v>
      </c>
      <c r="Y74" s="40">
        <v>0.9</v>
      </c>
      <c r="Z74" s="57">
        <v>0.9587193620265041</v>
      </c>
      <c r="AA74" s="57">
        <v>4.1280637973495904E-2</v>
      </c>
      <c r="AB74" s="126">
        <v>0.56000000000000005</v>
      </c>
      <c r="AC74" s="40">
        <v>1</v>
      </c>
    </row>
    <row r="75" spans="2:29">
      <c r="T75" s="4" t="s">
        <v>102</v>
      </c>
      <c r="U75" s="56">
        <v>20172</v>
      </c>
      <c r="V75" s="56">
        <v>18302</v>
      </c>
      <c r="W75" s="127">
        <v>-0.15332633788037775</v>
      </c>
      <c r="X75" s="127">
        <v>-0.19214301478702273</v>
      </c>
      <c r="Y75" s="49">
        <v>0.74</v>
      </c>
      <c r="Z75" s="57">
        <v>0.90729724370414433</v>
      </c>
      <c r="AA75" s="57">
        <v>9.2702756295855671E-2</v>
      </c>
      <c r="AB75" s="40">
        <v>0.7</v>
      </c>
      <c r="AC75" s="107" t="s">
        <v>20</v>
      </c>
    </row>
    <row r="76" spans="2:29">
      <c r="T76" s="4" t="s">
        <v>4</v>
      </c>
      <c r="U76" s="55">
        <v>4794</v>
      </c>
      <c r="V76" s="55">
        <v>4531</v>
      </c>
      <c r="W76" s="127">
        <v>-0.45473157415832577</v>
      </c>
      <c r="X76" s="127">
        <v>-0.44089338598223099</v>
      </c>
      <c r="Y76" s="53">
        <v>0.87</v>
      </c>
      <c r="Z76" s="57">
        <v>0.94513975803087191</v>
      </c>
      <c r="AA76" s="57">
        <v>5.4860241969128087E-2</v>
      </c>
      <c r="AB76" s="54">
        <v>0.5</v>
      </c>
      <c r="AC76" s="53">
        <v>0.96</v>
      </c>
    </row>
    <row r="77" spans="2:29">
      <c r="B77" s="431" t="s">
        <v>120</v>
      </c>
      <c r="C77" s="431"/>
      <c r="D77" s="431"/>
      <c r="E77" s="431"/>
      <c r="F77" s="431"/>
      <c r="G77" s="431"/>
      <c r="H77" s="431"/>
      <c r="I77" s="431"/>
      <c r="T77" s="4" t="s">
        <v>7</v>
      </c>
      <c r="U77" s="10"/>
      <c r="V77" s="11"/>
      <c r="W77" s="11"/>
      <c r="X77" s="11"/>
      <c r="Y77" s="11"/>
      <c r="Z77" s="11"/>
      <c r="AA77" s="11"/>
      <c r="AB77" s="11"/>
      <c r="AC77" s="11"/>
    </row>
    <row r="78" spans="2:29">
      <c r="B78" s="13" t="s">
        <v>74</v>
      </c>
      <c r="C78" s="14" t="s">
        <v>75</v>
      </c>
      <c r="D78" s="14" t="s">
        <v>76</v>
      </c>
      <c r="E78" s="14" t="s">
        <v>71</v>
      </c>
      <c r="F78" s="14" t="s">
        <v>41</v>
      </c>
      <c r="G78" s="14" t="s">
        <v>40</v>
      </c>
      <c r="H78" s="14" t="s">
        <v>77</v>
      </c>
      <c r="I78" s="8" t="s">
        <v>43</v>
      </c>
      <c r="T78" s="67" t="s">
        <v>79</v>
      </c>
      <c r="U78" s="68">
        <v>53093</v>
      </c>
      <c r="V78" s="68">
        <v>49161</v>
      </c>
      <c r="W78" s="131">
        <v>-0.16716862745098041</v>
      </c>
      <c r="X78" s="131">
        <v>-0.1838601500763663</v>
      </c>
      <c r="Y78" s="69">
        <v>0.83399999999999996</v>
      </c>
      <c r="Z78" s="69">
        <v>0.92594127286082906</v>
      </c>
      <c r="AA78" s="69">
        <v>7.4058727139170943E-2</v>
      </c>
      <c r="AB78" s="69">
        <v>0.6</v>
      </c>
      <c r="AC78" s="70">
        <v>0.94</v>
      </c>
    </row>
    <row r="79" spans="2:29">
      <c r="B79" s="4" t="s">
        <v>78</v>
      </c>
      <c r="C79" s="1"/>
      <c r="D79" s="1"/>
      <c r="E79" s="2">
        <v>0.85</v>
      </c>
      <c r="F79" s="2">
        <v>0.94</v>
      </c>
      <c r="G79" s="2">
        <v>0.06</v>
      </c>
      <c r="H79" s="2">
        <v>0.65</v>
      </c>
      <c r="I79" s="12">
        <v>0.95</v>
      </c>
    </row>
    <row r="80" spans="2:29">
      <c r="B80" s="4" t="s">
        <v>88</v>
      </c>
      <c r="C80" s="258">
        <v>14882</v>
      </c>
      <c r="D80" s="258">
        <v>13740</v>
      </c>
      <c r="E80" s="52">
        <v>0.75</v>
      </c>
      <c r="F80" s="52">
        <f>Table1161729[[#This Row],[Calls Handled]]/Table1161729[[#This Row],[Calls Presented]]</f>
        <v>0.9232630022846392</v>
      </c>
      <c r="G80" s="52">
        <f>1-Table1161729[[#This Row],[ANS]]</f>
        <v>7.67369977153608E-2</v>
      </c>
      <c r="H80" s="52">
        <v>0.34</v>
      </c>
      <c r="I80" s="57">
        <v>0.99</v>
      </c>
      <c r="K80" s="264"/>
    </row>
    <row r="81" spans="2:30">
      <c r="B81" s="4" t="s">
        <v>6</v>
      </c>
      <c r="C81" s="259">
        <v>13644</v>
      </c>
      <c r="D81" s="260">
        <v>11612</v>
      </c>
      <c r="E81" s="49">
        <v>0.71</v>
      </c>
      <c r="F81" s="52">
        <f>Table1161729[[#This Row],[Calls Handled]]/Table1161729[[#This Row],[Calls Presented]]</f>
        <v>0.85107006742890645</v>
      </c>
      <c r="G81" s="52">
        <f>1-Table1161729[[#This Row],[ANS]]</f>
        <v>0.14892993257109355</v>
      </c>
      <c r="H81" s="126">
        <v>0.64</v>
      </c>
      <c r="I81" s="40">
        <v>1</v>
      </c>
      <c r="K81" s="264"/>
      <c r="U81" s="431" t="s">
        <v>121</v>
      </c>
      <c r="V81" s="431"/>
      <c r="W81" s="431"/>
      <c r="X81" s="431"/>
      <c r="Y81" s="431"/>
      <c r="Z81" s="431"/>
      <c r="AA81" s="431"/>
      <c r="AB81" s="431"/>
      <c r="AC81" s="431"/>
      <c r="AD81" s="431"/>
    </row>
    <row r="82" spans="2:30">
      <c r="B82" s="4" t="s">
        <v>5</v>
      </c>
      <c r="C82" s="261">
        <v>8566</v>
      </c>
      <c r="D82" s="261">
        <v>8081</v>
      </c>
      <c r="E82" s="40">
        <v>0.87</v>
      </c>
      <c r="F82" s="57">
        <f>Table1161729[[#This Row],[Calls Handled]]/Table1161729[[#This Row],[Calls Presented]]</f>
        <v>0.94338080784496847</v>
      </c>
      <c r="G82" s="57">
        <f>1-Table1161729[[#This Row],[ANS]]</f>
        <v>5.6619192155031528E-2</v>
      </c>
      <c r="H82" s="126">
        <v>0.6</v>
      </c>
      <c r="I82" s="40">
        <v>1</v>
      </c>
      <c r="K82" s="264"/>
      <c r="U82" s="13" t="s">
        <v>74</v>
      </c>
      <c r="V82" s="14" t="s">
        <v>75</v>
      </c>
      <c r="W82" s="14" t="s">
        <v>76</v>
      </c>
      <c r="X82" s="14" t="s">
        <v>86</v>
      </c>
      <c r="Y82" s="14" t="s">
        <v>87</v>
      </c>
      <c r="Z82" s="14" t="s">
        <v>71</v>
      </c>
      <c r="AA82" s="14" t="s">
        <v>41</v>
      </c>
      <c r="AB82" s="14" t="s">
        <v>40</v>
      </c>
      <c r="AC82" s="14" t="s">
        <v>77</v>
      </c>
      <c r="AD82" s="8" t="s">
        <v>43</v>
      </c>
    </row>
    <row r="83" spans="2:30">
      <c r="B83" s="4" t="s">
        <v>102</v>
      </c>
      <c r="C83" s="258">
        <v>23412</v>
      </c>
      <c r="D83" s="258">
        <v>19677</v>
      </c>
      <c r="E83" s="49">
        <v>0.56999999999999995</v>
      </c>
      <c r="F83" s="52">
        <f>Table1161729[[#This Row],[Calls Handled]]/Table1161729[[#This Row],[Calls Presented]]</f>
        <v>0.84046642747309075</v>
      </c>
      <c r="G83" s="52">
        <f>1-Table1161729[[#This Row],[ANS]]</f>
        <v>0.15953357252690925</v>
      </c>
      <c r="H83" s="40">
        <v>0.74</v>
      </c>
      <c r="I83" s="107" t="s">
        <v>20</v>
      </c>
      <c r="K83" s="264"/>
      <c r="U83" s="4" t="s">
        <v>78</v>
      </c>
      <c r="V83" s="1"/>
      <c r="W83" s="1"/>
      <c r="X83" s="1"/>
      <c r="Y83" s="1"/>
      <c r="Z83" s="2">
        <v>0.86</v>
      </c>
      <c r="AA83" s="2">
        <v>0.94</v>
      </c>
      <c r="AB83" s="2">
        <v>0.06</v>
      </c>
      <c r="AC83" s="2">
        <v>0.65</v>
      </c>
      <c r="AD83" s="12">
        <v>0.95</v>
      </c>
    </row>
    <row r="84" spans="2:30">
      <c r="B84" s="4" t="s">
        <v>4</v>
      </c>
      <c r="C84" s="262">
        <v>9299</v>
      </c>
      <c r="D84" s="262">
        <v>7911</v>
      </c>
      <c r="E84" s="54">
        <v>0.65</v>
      </c>
      <c r="F84" s="52">
        <f>Table1161729[[#This Row],[Calls Handled]]/Table1161729[[#This Row],[Calls Presented]]</f>
        <v>0.85073663834820945</v>
      </c>
      <c r="G84" s="52">
        <f>1-Table1161729[[#This Row],[ANS]]</f>
        <v>0.14926336165179055</v>
      </c>
      <c r="H84" s="54">
        <v>0.56000000000000005</v>
      </c>
      <c r="I84" s="53">
        <v>1</v>
      </c>
      <c r="K84" s="264"/>
      <c r="U84" s="4" t="s">
        <v>88</v>
      </c>
      <c r="V84" s="56">
        <v>14092</v>
      </c>
      <c r="W84" s="56">
        <v>12929</v>
      </c>
      <c r="X84" s="127">
        <v>6.7575757575757581E-2</v>
      </c>
      <c r="Y84" s="127">
        <v>-2.0530303030303031E-2</v>
      </c>
      <c r="Z84" s="52">
        <v>0.76</v>
      </c>
      <c r="AA84" s="57">
        <v>0.91</v>
      </c>
      <c r="AB84" s="57">
        <v>0.09</v>
      </c>
      <c r="AC84" s="52">
        <v>0.46</v>
      </c>
      <c r="AD84" s="52">
        <v>0.79</v>
      </c>
    </row>
    <row r="85" spans="2:30">
      <c r="B85" s="4" t="s">
        <v>7</v>
      </c>
      <c r="C85" s="263">
        <v>2292</v>
      </c>
      <c r="D85" s="263">
        <v>2193</v>
      </c>
      <c r="E85" s="186">
        <v>0.95</v>
      </c>
      <c r="F85" s="57">
        <f>Table1161729[[#This Row],[Calls Handled]]/Table1161729[[#This Row],[Calls Presented]]</f>
        <v>0.95680628272251311</v>
      </c>
      <c r="G85" s="57">
        <f>1-Table1161729[[#This Row],[ANS]]</f>
        <v>4.3193717277486887E-2</v>
      </c>
      <c r="H85" s="185">
        <v>0.5</v>
      </c>
      <c r="I85" s="71" t="s">
        <v>20</v>
      </c>
      <c r="K85" s="264"/>
      <c r="U85" s="4" t="s">
        <v>6</v>
      </c>
      <c r="V85">
        <v>4820</v>
      </c>
      <c r="W85" s="1">
        <v>4628</v>
      </c>
      <c r="X85" s="127">
        <v>-2.6852412679184333E-2</v>
      </c>
      <c r="Y85" s="127">
        <v>-6.5616797900262466E-2</v>
      </c>
      <c r="Z85" s="40">
        <v>0.85</v>
      </c>
      <c r="AA85" s="57">
        <v>0.96</v>
      </c>
      <c r="AB85" s="57">
        <v>0.04</v>
      </c>
      <c r="AC85" s="41">
        <v>0.61</v>
      </c>
      <c r="AD85" s="40">
        <v>1</v>
      </c>
    </row>
    <row r="86" spans="2:30">
      <c r="B86" s="67" t="s">
        <v>79</v>
      </c>
      <c r="C86" s="68">
        <f>SUM(C80:C85)</f>
        <v>72095</v>
      </c>
      <c r="D86" s="68">
        <f>SUM(D80:D85)</f>
        <v>63214</v>
      </c>
      <c r="E86" s="116">
        <f>AVERAGEIF(E80:E85,"&lt;&gt;0")</f>
        <v>0.75</v>
      </c>
      <c r="F86" s="116">
        <f t="shared" ref="F86:I86" si="1">AVERAGEIF(F80:F85,"&lt;&gt;0")</f>
        <v>0.894287204350388</v>
      </c>
      <c r="G86" s="116">
        <f t="shared" si="1"/>
        <v>0.1057127956496121</v>
      </c>
      <c r="H86" s="116">
        <f t="shared" si="1"/>
        <v>0.56333333333333335</v>
      </c>
      <c r="I86" s="144">
        <f t="shared" si="1"/>
        <v>0.99750000000000005</v>
      </c>
      <c r="U86" s="4" t="s">
        <v>5</v>
      </c>
      <c r="V86" s="1">
        <v>9887</v>
      </c>
      <c r="W86" s="1">
        <v>9440</v>
      </c>
      <c r="X86" s="127">
        <v>0.20941896024464832</v>
      </c>
      <c r="Y86" s="127">
        <v>0.1547400611620795</v>
      </c>
      <c r="Z86" s="40">
        <v>0.9</v>
      </c>
      <c r="AA86" s="57">
        <v>0.96</v>
      </c>
      <c r="AB86" s="57">
        <v>0.04</v>
      </c>
      <c r="AC86" s="126">
        <v>0.56999999999999995</v>
      </c>
      <c r="AD86" s="40">
        <v>1</v>
      </c>
    </row>
    <row r="87" spans="2:30">
      <c r="U87" s="4" t="s">
        <v>102</v>
      </c>
      <c r="V87" s="56">
        <v>23555</v>
      </c>
      <c r="W87" s="56">
        <v>20220</v>
      </c>
      <c r="X87" s="127">
        <v>0.28701781226095507</v>
      </c>
      <c r="Y87" s="127">
        <v>0.10479728991367064</v>
      </c>
      <c r="Z87" s="49">
        <v>0.64</v>
      </c>
      <c r="AA87" s="57">
        <v>0.86</v>
      </c>
      <c r="AB87" s="57">
        <v>0.14000000000000001</v>
      </c>
      <c r="AC87" s="40">
        <v>0.84</v>
      </c>
      <c r="AD87" s="107" t="s">
        <v>20</v>
      </c>
    </row>
    <row r="88" spans="2:30">
      <c r="U88" s="4" t="s">
        <v>4</v>
      </c>
      <c r="V88" s="168" t="s">
        <v>20</v>
      </c>
      <c r="W88" s="168" t="s">
        <v>20</v>
      </c>
      <c r="X88" s="127" t="e">
        <v>#VALUE!</v>
      </c>
      <c r="Y88" s="127" t="e">
        <v>#VALUE!</v>
      </c>
      <c r="Z88" s="53" t="e">
        <v>#VALUE!</v>
      </c>
      <c r="AA88" s="57" t="e">
        <v>#VALUE!</v>
      </c>
      <c r="AB88" s="57" t="e">
        <v>#VALUE!</v>
      </c>
      <c r="AC88" s="169" t="s">
        <v>20</v>
      </c>
      <c r="AD88" s="53" t="e">
        <v>#VALUE!</v>
      </c>
    </row>
    <row r="89" spans="2:30">
      <c r="B89" s="431" t="s">
        <v>130</v>
      </c>
      <c r="C89" s="431"/>
      <c r="D89" s="431"/>
      <c r="E89" s="431"/>
      <c r="F89" s="431"/>
      <c r="G89" s="431"/>
      <c r="H89" s="431"/>
      <c r="I89" s="431"/>
      <c r="U89" s="4" t="s">
        <v>7</v>
      </c>
      <c r="V89" s="10"/>
      <c r="W89" s="11"/>
      <c r="X89" s="11"/>
      <c r="Y89" s="11"/>
      <c r="Z89" s="11"/>
      <c r="AA89" s="11"/>
      <c r="AB89" s="11"/>
      <c r="AC89" s="11"/>
      <c r="AD89" s="11"/>
    </row>
    <row r="90" spans="2:30">
      <c r="B90" s="13" t="s">
        <v>74</v>
      </c>
      <c r="C90" s="14" t="s">
        <v>75</v>
      </c>
      <c r="D90" s="14" t="s">
        <v>76</v>
      </c>
      <c r="E90" s="14" t="s">
        <v>71</v>
      </c>
      <c r="F90" s="14" t="s">
        <v>41</v>
      </c>
      <c r="G90" s="14" t="s">
        <v>40</v>
      </c>
      <c r="H90" s="14" t="s">
        <v>77</v>
      </c>
      <c r="I90" s="8" t="s">
        <v>43</v>
      </c>
      <c r="U90" s="67" t="s">
        <v>79</v>
      </c>
      <c r="V90" s="68">
        <v>52354</v>
      </c>
      <c r="W90" s="68">
        <v>47217</v>
      </c>
      <c r="X90" s="131">
        <v>6.4949858627774054E-2</v>
      </c>
      <c r="Y90" s="131">
        <v>-3.9543540611460301E-2</v>
      </c>
      <c r="Z90" s="69" t="e">
        <v>#VALUE!</v>
      </c>
      <c r="AA90" s="69">
        <v>0.90187951254918441</v>
      </c>
      <c r="AB90" s="69">
        <v>9.8120487450815586E-2</v>
      </c>
      <c r="AC90" s="69">
        <v>0.62</v>
      </c>
      <c r="AD90" s="70" t="e">
        <v>#VALUE!</v>
      </c>
    </row>
    <row r="91" spans="2:30">
      <c r="B91" s="4" t="s">
        <v>78</v>
      </c>
      <c r="C91" s="1"/>
      <c r="D91" s="1"/>
      <c r="E91" s="2">
        <v>0.85</v>
      </c>
      <c r="F91" s="2">
        <v>0.94</v>
      </c>
      <c r="G91" s="2">
        <v>0.06</v>
      </c>
      <c r="H91" s="2">
        <v>0.65</v>
      </c>
      <c r="I91" s="12">
        <v>0.95</v>
      </c>
    </row>
    <row r="92" spans="2:30">
      <c r="B92" s="4" t="s">
        <v>88</v>
      </c>
      <c r="C92" s="258">
        <v>14798</v>
      </c>
      <c r="D92" s="258">
        <v>13780</v>
      </c>
      <c r="E92" s="52">
        <v>0.8</v>
      </c>
      <c r="F92" s="52">
        <f>Table116172918[[#This Row],[Calls Handled]]/Table116172918[[#This Row],[Calls Presented]]</f>
        <v>0.93120691985403437</v>
      </c>
      <c r="G92" s="52">
        <f>1-Table116172918[[#This Row],[ANS]]</f>
        <v>6.8793080145965635E-2</v>
      </c>
      <c r="H92" s="52">
        <v>0.37</v>
      </c>
      <c r="I92" s="57">
        <v>0.99</v>
      </c>
    </row>
    <row r="93" spans="2:30">
      <c r="B93" s="4" t="s">
        <v>6</v>
      </c>
      <c r="C93" s="259">
        <v>16477</v>
      </c>
      <c r="D93" s="260">
        <v>11758</v>
      </c>
      <c r="E93" s="49">
        <v>0.41</v>
      </c>
      <c r="F93" s="52">
        <f>Table116172918[[#This Row],[Calls Handled]]/Table116172918[[#This Row],[Calls Presented]]</f>
        <v>0.71360077684044421</v>
      </c>
      <c r="G93" s="52">
        <f>1-Table116172918[[#This Row],[ANS]]</f>
        <v>0.28639922315955579</v>
      </c>
      <c r="H93" s="41">
        <v>0.68</v>
      </c>
      <c r="I93" s="40">
        <v>0.99</v>
      </c>
    </row>
    <row r="94" spans="2:30">
      <c r="B94" s="4" t="s">
        <v>5</v>
      </c>
      <c r="C94" s="261">
        <v>8371</v>
      </c>
      <c r="D94" s="261">
        <v>7461</v>
      </c>
      <c r="E94" s="40">
        <v>0.79</v>
      </c>
      <c r="F94" s="52">
        <f>Table116172918[[#This Row],[Calls Handled]]/Table116172918[[#This Row],[Calls Presented]]</f>
        <v>0.89129136303906342</v>
      </c>
      <c r="G94" s="52">
        <f>1-Table116172918[[#This Row],[ANS]]</f>
        <v>0.10870863696093658</v>
      </c>
      <c r="H94" s="126">
        <v>0.59</v>
      </c>
      <c r="I94" s="40">
        <v>1</v>
      </c>
    </row>
    <row r="95" spans="2:30">
      <c r="B95" s="4" t="s">
        <v>102</v>
      </c>
      <c r="C95" s="258">
        <v>24929</v>
      </c>
      <c r="D95" s="258">
        <v>21487</v>
      </c>
      <c r="E95" s="49">
        <v>0.64</v>
      </c>
      <c r="F95" s="52">
        <f>Table116172918[[#This Row],[Calls Handled]]/Table116172918[[#This Row],[Calls Presented]]</f>
        <v>0.86192787516546998</v>
      </c>
      <c r="G95" s="52">
        <f>1-Table116172918[[#This Row],[ANS]]</f>
        <v>0.13807212483453002</v>
      </c>
      <c r="H95" s="40">
        <v>0.72</v>
      </c>
      <c r="I95" s="107" t="s">
        <v>20</v>
      </c>
    </row>
    <row r="96" spans="2:30">
      <c r="B96" s="4" t="s">
        <v>4</v>
      </c>
      <c r="C96" s="262">
        <v>9052</v>
      </c>
      <c r="D96" s="262">
        <v>7692</v>
      </c>
      <c r="E96" s="54">
        <v>0.69</v>
      </c>
      <c r="F96" s="52">
        <f>Table116172918[[#This Row],[Calls Handled]]/Table116172918[[#This Row],[Calls Presented]]</f>
        <v>0.84975695978789223</v>
      </c>
      <c r="G96" s="52">
        <f>1-Table116172918[[#This Row],[ANS]]</f>
        <v>0.15024304021210777</v>
      </c>
      <c r="H96" s="54">
        <v>0.53</v>
      </c>
      <c r="I96" s="53">
        <v>1</v>
      </c>
    </row>
    <row r="97" spans="2:13">
      <c r="B97" s="4" t="s">
        <v>7</v>
      </c>
      <c r="C97" s="309"/>
      <c r="D97" s="309"/>
      <c r="E97" s="310"/>
      <c r="F97" s="311"/>
      <c r="G97" s="311"/>
      <c r="H97" s="310"/>
      <c r="I97" s="312" t="s">
        <v>20</v>
      </c>
    </row>
    <row r="98" spans="2:13">
      <c r="B98" s="67" t="s">
        <v>79</v>
      </c>
      <c r="C98" s="68">
        <f>SUM(C92:C97)</f>
        <v>73627</v>
      </c>
      <c r="D98" s="68">
        <f>SUM(D92:D97)</f>
        <v>62178</v>
      </c>
      <c r="E98" s="116">
        <f>AVERAGEIF(E92:E97,"&lt;&gt;0")</f>
        <v>0.66600000000000004</v>
      </c>
      <c r="F98" s="116">
        <f t="shared" ref="F98:I98" si="2">AVERAGEIF(F92:F97,"&lt;&gt;0")</f>
        <v>0.8495567789373808</v>
      </c>
      <c r="G98" s="116">
        <f t="shared" si="2"/>
        <v>0.15044322106261915</v>
      </c>
      <c r="H98" s="116">
        <f t="shared" si="2"/>
        <v>0.57800000000000007</v>
      </c>
      <c r="I98" s="144">
        <f t="shared" si="2"/>
        <v>0.995</v>
      </c>
    </row>
    <row r="101" spans="2:13">
      <c r="B101" s="432" t="s">
        <v>141</v>
      </c>
      <c r="C101" s="435"/>
      <c r="D101" s="435"/>
      <c r="E101" s="435"/>
      <c r="F101" s="435"/>
      <c r="G101" s="435"/>
      <c r="H101" s="435"/>
      <c r="I101" s="435"/>
      <c r="J101" s="435"/>
      <c r="K101" s="435"/>
      <c r="L101" s="435"/>
      <c r="M101" s="433"/>
    </row>
    <row r="102" spans="2:13">
      <c r="B102" s="13" t="s">
        <v>74</v>
      </c>
      <c r="C102" s="14" t="s">
        <v>75</v>
      </c>
      <c r="D102" s="14" t="s">
        <v>76</v>
      </c>
      <c r="E102" s="14" t="s">
        <v>71</v>
      </c>
      <c r="F102" s="14" t="s">
        <v>41</v>
      </c>
      <c r="G102" s="14" t="s">
        <v>40</v>
      </c>
      <c r="H102" s="14" t="s">
        <v>142</v>
      </c>
      <c r="I102" s="14" t="s">
        <v>143</v>
      </c>
      <c r="J102" s="14" t="s">
        <v>77</v>
      </c>
      <c r="K102" s="8" t="s">
        <v>144</v>
      </c>
      <c r="L102" s="8" t="s">
        <v>43</v>
      </c>
      <c r="M102" s="14" t="s">
        <v>146</v>
      </c>
    </row>
    <row r="103" spans="2:13">
      <c r="B103" s="4" t="s">
        <v>78</v>
      </c>
      <c r="C103" s="1"/>
      <c r="D103" s="1"/>
      <c r="E103" s="2">
        <v>0.85</v>
      </c>
      <c r="F103" s="2">
        <v>0.94</v>
      </c>
      <c r="G103" s="2">
        <v>0.06</v>
      </c>
      <c r="H103" s="327"/>
      <c r="I103" s="327"/>
      <c r="J103" s="2">
        <v>0.65</v>
      </c>
      <c r="K103" s="328"/>
      <c r="L103" s="12">
        <v>0.95</v>
      </c>
      <c r="M103" s="328"/>
    </row>
    <row r="104" spans="2:13">
      <c r="B104" s="4" t="s">
        <v>88</v>
      </c>
      <c r="C104" s="258">
        <v>13429</v>
      </c>
      <c r="D104" s="258">
        <v>11679</v>
      </c>
      <c r="E104" s="52">
        <v>0.72</v>
      </c>
      <c r="F104" s="52">
        <f>Table11617291835[[#This Row],[Calls Handled]]/Table11617291835[[#This Row],[Calls Presented]]</f>
        <v>0.86968501005287069</v>
      </c>
      <c r="G104" s="52">
        <f>1-Table11617291835[[#This Row],[ANS]]</f>
        <v>0.13031498994712931</v>
      </c>
      <c r="H104" s="57">
        <v>0.69</v>
      </c>
      <c r="I104" s="57">
        <v>0.13</v>
      </c>
      <c r="J104" s="57">
        <v>0.39</v>
      </c>
      <c r="K104" s="332">
        <v>0.51</v>
      </c>
      <c r="L104" s="57">
        <v>0.99</v>
      </c>
      <c r="M104" s="57">
        <v>0.81</v>
      </c>
    </row>
    <row r="105" spans="2:13">
      <c r="B105" s="4" t="s">
        <v>6</v>
      </c>
      <c r="C105" s="259">
        <v>14268</v>
      </c>
      <c r="D105" s="260">
        <v>11715</v>
      </c>
      <c r="E105" s="49">
        <v>0.63</v>
      </c>
      <c r="F105" s="52">
        <f>Table11617291835[[#This Row],[Calls Handled]]/Table11617291835[[#This Row],[Calls Presented]]</f>
        <v>0.82106812447434818</v>
      </c>
      <c r="G105" s="52">
        <f>1-Table11617291835[[#This Row],[ANS]]</f>
        <v>0.17893187552565182</v>
      </c>
      <c r="H105" s="40">
        <v>0.88</v>
      </c>
      <c r="I105" s="332">
        <v>0.04</v>
      </c>
      <c r="J105" s="41">
        <v>0.63</v>
      </c>
      <c r="K105" s="334">
        <v>0.62</v>
      </c>
      <c r="L105" s="40">
        <v>0.99</v>
      </c>
      <c r="M105" s="334">
        <v>1</v>
      </c>
    </row>
    <row r="106" spans="2:13">
      <c r="B106" s="4" t="s">
        <v>5</v>
      </c>
      <c r="C106" s="261">
        <v>7020</v>
      </c>
      <c r="D106" s="261">
        <v>6492</v>
      </c>
      <c r="E106" s="49">
        <v>0.84</v>
      </c>
      <c r="F106" s="52">
        <f>Table11617291835[[#This Row],[Calls Handled]]/Table11617291835[[#This Row],[Calls Presented]]</f>
        <v>0.92478632478632483</v>
      </c>
      <c r="G106" s="52">
        <f>1-Table11617291835[[#This Row],[ANS]]</f>
        <v>7.5213675213675169E-2</v>
      </c>
      <c r="H106" s="331">
        <v>0.9</v>
      </c>
      <c r="I106" s="332">
        <v>0.04</v>
      </c>
      <c r="J106" s="41">
        <v>0.52</v>
      </c>
      <c r="K106" s="334">
        <v>0.56000000000000005</v>
      </c>
      <c r="L106" s="40">
        <v>1</v>
      </c>
      <c r="M106" s="334">
        <v>1</v>
      </c>
    </row>
    <row r="107" spans="2:13">
      <c r="B107" s="4" t="s">
        <v>102</v>
      </c>
      <c r="C107" s="258">
        <v>22642</v>
      </c>
      <c r="D107" s="258">
        <v>20526</v>
      </c>
      <c r="E107" s="49">
        <v>0.74</v>
      </c>
      <c r="F107" s="52">
        <f>Table11617291835[[#This Row],[Calls Handled]]/Table11617291835[[#This Row],[Calls Presented]]</f>
        <v>0.90654535818390602</v>
      </c>
      <c r="G107" s="52">
        <f>1-Table11617291835[[#This Row],[ANS]]</f>
        <v>9.3454641816093975E-2</v>
      </c>
      <c r="H107" s="40">
        <v>0.72</v>
      </c>
      <c r="I107" s="57">
        <v>0.1</v>
      </c>
      <c r="J107" s="49">
        <v>0.67</v>
      </c>
      <c r="K107" s="326">
        <v>0.76</v>
      </c>
      <c r="L107" s="107" t="s">
        <v>20</v>
      </c>
      <c r="M107" s="330" t="s">
        <v>20</v>
      </c>
    </row>
    <row r="108" spans="2:13">
      <c r="B108" s="4" t="s">
        <v>4</v>
      </c>
      <c r="C108" s="262">
        <v>8442</v>
      </c>
      <c r="D108" s="262">
        <v>7065</v>
      </c>
      <c r="E108" s="54">
        <v>0.65</v>
      </c>
      <c r="F108" s="52">
        <f>Table11617291835[[#This Row],[Calls Handled]]/Table11617291835[[#This Row],[Calls Presented]]</f>
        <v>0.83688699360341157</v>
      </c>
      <c r="G108" s="52">
        <f>1-Table11617291835[[#This Row],[ANS]]</f>
        <v>0.16311300639658843</v>
      </c>
      <c r="H108" s="53">
        <v>0.78</v>
      </c>
      <c r="I108" s="333">
        <v>0.1</v>
      </c>
      <c r="J108" s="53">
        <v>0.49</v>
      </c>
      <c r="K108" s="333">
        <v>0.51</v>
      </c>
      <c r="L108" s="53">
        <v>1</v>
      </c>
      <c r="M108" s="333">
        <v>0.96</v>
      </c>
    </row>
    <row r="109" spans="2:13">
      <c r="B109" s="4" t="s">
        <v>7</v>
      </c>
      <c r="C109" s="323">
        <v>2290</v>
      </c>
      <c r="D109" s="323">
        <v>2038</v>
      </c>
      <c r="E109" s="324">
        <v>0.89</v>
      </c>
      <c r="F109" s="52">
        <f>Table11617291835[[#This Row],[Calls Handled]]/Table11617291835[[#This Row],[Calls Presented]]</f>
        <v>0.88995633187772927</v>
      </c>
      <c r="G109" s="52">
        <f>1-Table11617291835[[#This Row],[ANS]]</f>
        <v>0.11004366812227073</v>
      </c>
      <c r="H109" s="329" t="s">
        <v>145</v>
      </c>
      <c r="I109" s="314" t="s">
        <v>145</v>
      </c>
      <c r="J109" s="324">
        <v>0.32</v>
      </c>
      <c r="K109" s="329" t="s">
        <v>145</v>
      </c>
      <c r="L109" s="325" t="s">
        <v>20</v>
      </c>
      <c r="M109" s="329" t="s">
        <v>145</v>
      </c>
    </row>
    <row r="110" spans="2:13">
      <c r="B110" s="67" t="s">
        <v>79</v>
      </c>
      <c r="C110" s="68">
        <f>SUM(C104:C109)</f>
        <v>68091</v>
      </c>
      <c r="D110" s="68">
        <f>SUM(D104:D109)</f>
        <v>59515</v>
      </c>
      <c r="E110" s="116">
        <f>AVERAGEIF(E104:E109,"&lt;&gt;0")</f>
        <v>0.745</v>
      </c>
      <c r="F110" s="116">
        <f t="shared" ref="F110:L110" si="3">AVERAGEIF(F104:F109,"&lt;&gt;0")</f>
        <v>0.8748213571630985</v>
      </c>
      <c r="G110" s="116">
        <f t="shared" si="3"/>
        <v>0.12517864283690158</v>
      </c>
      <c r="H110" s="116"/>
      <c r="I110" s="116"/>
      <c r="J110" s="116">
        <f t="shared" si="3"/>
        <v>0.5033333333333333</v>
      </c>
      <c r="K110" s="116"/>
      <c r="L110" s="144">
        <f t="shared" si="3"/>
        <v>0.995</v>
      </c>
      <c r="M110" s="116"/>
    </row>
    <row r="113" spans="2:9">
      <c r="B113" s="431" t="s">
        <v>152</v>
      </c>
      <c r="C113" s="431"/>
      <c r="D113" s="431"/>
      <c r="E113" s="431"/>
      <c r="F113" s="431"/>
      <c r="G113" s="431"/>
      <c r="H113" s="431"/>
      <c r="I113" s="431"/>
    </row>
    <row r="114" spans="2:9">
      <c r="B114" s="13" t="s">
        <v>74</v>
      </c>
      <c r="C114" s="14" t="s">
        <v>75</v>
      </c>
      <c r="D114" s="14" t="s">
        <v>76</v>
      </c>
      <c r="E114" s="14" t="s">
        <v>71</v>
      </c>
      <c r="F114" s="14" t="s">
        <v>41</v>
      </c>
      <c r="G114" s="14" t="s">
        <v>40</v>
      </c>
      <c r="H114" s="14" t="s">
        <v>77</v>
      </c>
      <c r="I114" s="8" t="s">
        <v>43</v>
      </c>
    </row>
    <row r="115" spans="2:9">
      <c r="B115" s="4" t="s">
        <v>78</v>
      </c>
      <c r="C115" s="1"/>
      <c r="D115" s="1"/>
      <c r="E115" s="2">
        <v>0.85</v>
      </c>
      <c r="F115" s="2">
        <v>0.94</v>
      </c>
      <c r="G115" s="2">
        <v>0.06</v>
      </c>
      <c r="H115" s="2">
        <v>0.65</v>
      </c>
      <c r="I115" s="12">
        <v>0.95</v>
      </c>
    </row>
    <row r="116" spans="2:9">
      <c r="B116" s="4" t="s">
        <v>88</v>
      </c>
      <c r="C116" s="258">
        <v>13837</v>
      </c>
      <c r="D116" s="258">
        <v>12128</v>
      </c>
      <c r="E116" s="52">
        <v>0.74</v>
      </c>
      <c r="F116" s="52">
        <f>Table11617291843[[#This Row],[Calls Handled]]/Table11617291843[[#This Row],[Calls Presented]]</f>
        <v>0.87649056876490572</v>
      </c>
      <c r="G116" s="52">
        <f>1-Table11617291843[[#This Row],[ANS]]</f>
        <v>0.12350943123509428</v>
      </c>
      <c r="H116" s="353">
        <v>0.35</v>
      </c>
      <c r="I116" s="57">
        <v>1</v>
      </c>
    </row>
    <row r="117" spans="2:9">
      <c r="B117" s="4" t="s">
        <v>6</v>
      </c>
      <c r="C117" s="259">
        <v>15668</v>
      </c>
      <c r="D117" s="260">
        <v>12789</v>
      </c>
      <c r="E117" s="49">
        <v>0.57999999999999996</v>
      </c>
      <c r="F117" s="52">
        <f>Table11617291843[[#This Row],[Calls Handled]]/Table11617291843[[#This Row],[Calls Presented]]</f>
        <v>0.81624968087822314</v>
      </c>
      <c r="G117" s="52">
        <f>1-Table11617291843[[#This Row],[ANS]]</f>
        <v>0.18375031912177686</v>
      </c>
      <c r="H117" s="354">
        <v>0.56999999999999995</v>
      </c>
      <c r="I117" s="40">
        <v>0.99</v>
      </c>
    </row>
    <row r="118" spans="2:9">
      <c r="B118" s="4" t="s">
        <v>5</v>
      </c>
      <c r="C118" s="261">
        <v>7723</v>
      </c>
      <c r="D118" s="261">
        <v>7101</v>
      </c>
      <c r="E118" s="49">
        <v>0.84</v>
      </c>
      <c r="F118" s="52">
        <f>Table11617291843[[#This Row],[Calls Handled]]/Table11617291843[[#This Row],[Calls Presented]]</f>
        <v>0.9194613492166257</v>
      </c>
      <c r="G118" s="52">
        <f>1-Table11617291843[[#This Row],[ANS]]</f>
        <v>8.0538650783374299E-2</v>
      </c>
      <c r="H118" s="354">
        <v>0.57999999999999996</v>
      </c>
      <c r="I118" s="40">
        <v>1</v>
      </c>
    </row>
    <row r="119" spans="2:9">
      <c r="B119" s="4" t="s">
        <v>102</v>
      </c>
      <c r="C119" s="258">
        <v>23401</v>
      </c>
      <c r="D119" s="258">
        <v>17176</v>
      </c>
      <c r="E119" s="49">
        <v>0.44</v>
      </c>
      <c r="F119" s="52">
        <f>Table11617291843[[#This Row],[Calls Handled]]/Table11617291843[[#This Row],[Calls Presented]]</f>
        <v>0.73398572710567922</v>
      </c>
      <c r="G119" s="52">
        <f>1-Table11617291843[[#This Row],[ANS]]</f>
        <v>0.26601427289432078</v>
      </c>
      <c r="H119" s="355">
        <v>0.63</v>
      </c>
      <c r="I119" s="107" t="s">
        <v>20</v>
      </c>
    </row>
    <row r="120" spans="2:9">
      <c r="B120" s="4" t="s">
        <v>4</v>
      </c>
      <c r="C120" s="262">
        <v>9265</v>
      </c>
      <c r="D120" s="262">
        <v>7504</v>
      </c>
      <c r="E120" s="54">
        <v>0.59</v>
      </c>
      <c r="F120" s="52">
        <f>Table11617291843[[#This Row],[Calls Handled]]/Table11617291843[[#This Row],[Calls Presented]]</f>
        <v>0.80992984349703179</v>
      </c>
      <c r="G120" s="52">
        <f>1-Table11617291843[[#This Row],[ANS]]</f>
        <v>0.19007015650296821</v>
      </c>
      <c r="H120" s="356">
        <v>0.57999999999999996</v>
      </c>
      <c r="I120" s="53">
        <v>1</v>
      </c>
    </row>
    <row r="121" spans="2:9">
      <c r="B121" s="4" t="s">
        <v>7</v>
      </c>
      <c r="C121" s="323">
        <v>2698</v>
      </c>
      <c r="D121" s="323">
        <v>2395</v>
      </c>
      <c r="E121" s="324">
        <v>0.89</v>
      </c>
      <c r="F121" s="52">
        <f>Table11617291843[[#This Row],[Calls Handled]]/Table11617291843[[#This Row],[Calls Presented]]</f>
        <v>0.88769458858413641</v>
      </c>
      <c r="G121" s="52">
        <f>1-Table11617291843[[#This Row],[ANS]]</f>
        <v>0.11230541141586359</v>
      </c>
      <c r="H121" s="357">
        <v>0.38</v>
      </c>
      <c r="I121" s="325" t="s">
        <v>20</v>
      </c>
    </row>
    <row r="122" spans="2:9">
      <c r="B122" s="67" t="s">
        <v>79</v>
      </c>
      <c r="C122" s="68">
        <f>SUM(C116:C121)</f>
        <v>72592</v>
      </c>
      <c r="D122" s="68">
        <f>SUM(D116:D121)</f>
        <v>59093</v>
      </c>
      <c r="E122" s="116">
        <f>AVERAGEIF(E116:E121,"&lt;&gt;0")</f>
        <v>0.67999999999999983</v>
      </c>
      <c r="F122" s="116">
        <f t="shared" ref="F122:I122" si="4">AVERAGEIF(F116:F121,"&lt;&gt;0")</f>
        <v>0.84063529300776707</v>
      </c>
      <c r="G122" s="116">
        <f t="shared" si="4"/>
        <v>0.15936470699223301</v>
      </c>
      <c r="H122" s="358">
        <f t="shared" si="4"/>
        <v>0.51500000000000001</v>
      </c>
      <c r="I122" s="144">
        <f t="shared" si="4"/>
        <v>0.99750000000000005</v>
      </c>
    </row>
  </sheetData>
  <mergeCells count="13">
    <mergeCell ref="B113:I113"/>
    <mergeCell ref="T57:AC57"/>
    <mergeCell ref="C2:J2"/>
    <mergeCell ref="T2:AC2"/>
    <mergeCell ref="T33:AC33"/>
    <mergeCell ref="B45:K45"/>
    <mergeCell ref="C14:J14"/>
    <mergeCell ref="M2:R2"/>
    <mergeCell ref="B89:I89"/>
    <mergeCell ref="B77:I77"/>
    <mergeCell ref="U81:AD81"/>
    <mergeCell ref="T69:AC69"/>
    <mergeCell ref="B101:M101"/>
  </mergeCells>
  <phoneticPr fontId="8" type="noConversion"/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B10-C377-4258-B751-0C6B294D2198}">
  <sheetPr codeName="Sheet12"/>
  <dimension ref="B2:I11"/>
  <sheetViews>
    <sheetView workbookViewId="0">
      <selection activeCell="B2" sqref="B2:I11"/>
    </sheetView>
  </sheetViews>
  <sheetFormatPr defaultRowHeight="14.5"/>
  <sheetData>
    <row r="2" spans="2:9">
      <c r="B2" s="432" t="s">
        <v>140</v>
      </c>
      <c r="C2" s="435"/>
      <c r="D2" s="435"/>
      <c r="E2" s="435"/>
      <c r="F2" s="435"/>
      <c r="G2" s="435"/>
      <c r="H2" s="435"/>
      <c r="I2" s="433"/>
    </row>
    <row r="3" spans="2:9">
      <c r="B3" s="13" t="s">
        <v>74</v>
      </c>
      <c r="C3" s="14" t="s">
        <v>75</v>
      </c>
      <c r="D3" s="14" t="s">
        <v>76</v>
      </c>
      <c r="E3" s="14" t="s">
        <v>71</v>
      </c>
      <c r="F3" s="14" t="s">
        <v>41</v>
      </c>
      <c r="G3" s="14" t="s">
        <v>40</v>
      </c>
      <c r="H3" s="14" t="s">
        <v>77</v>
      </c>
      <c r="I3" s="8" t="s">
        <v>43</v>
      </c>
    </row>
    <row r="4" spans="2:9">
      <c r="B4" s="4" t="s">
        <v>78</v>
      </c>
      <c r="C4" s="1"/>
      <c r="D4" s="1"/>
      <c r="E4" s="2">
        <v>0.85</v>
      </c>
      <c r="F4" s="2">
        <v>0.94</v>
      </c>
      <c r="G4" s="2">
        <v>0.06</v>
      </c>
      <c r="H4" s="2">
        <v>0.65</v>
      </c>
      <c r="I4" s="12">
        <v>0.95</v>
      </c>
    </row>
    <row r="5" spans="2:9">
      <c r="B5" s="4" t="s">
        <v>2</v>
      </c>
      <c r="C5" s="1">
        <v>43109</v>
      </c>
      <c r="D5" s="1">
        <v>39199</v>
      </c>
      <c r="E5" s="52">
        <v>0.76</v>
      </c>
      <c r="F5" s="52">
        <f>Table11821263136[[#This Row],[Calls Handled]]/Table11821263136[[#This Row],[Calls Presented]]</f>
        <v>0.90929968220093249</v>
      </c>
      <c r="G5" s="52">
        <f>1-Table11821263136[[#This Row],[ANS]]</f>
        <v>9.0700317799067509E-2</v>
      </c>
      <c r="H5" s="57">
        <v>0.37</v>
      </c>
      <c r="I5" s="57">
        <v>0.99</v>
      </c>
    </row>
    <row r="6" spans="2:9">
      <c r="B6" s="4" t="s">
        <v>6</v>
      </c>
      <c r="C6" s="180">
        <v>44389</v>
      </c>
      <c r="D6" s="180">
        <v>35085</v>
      </c>
      <c r="E6" s="187">
        <v>0.59</v>
      </c>
      <c r="F6" s="52">
        <f>Table11821263136[[#This Row],[Calls Handled]]/Table11821263136[[#This Row],[Calls Presented]]</f>
        <v>0.79039852215639006</v>
      </c>
      <c r="G6" s="52">
        <f>1-Table11821263136[[#This Row],[ANS]]</f>
        <v>0.20960147784360994</v>
      </c>
      <c r="H6" s="182">
        <v>0.65</v>
      </c>
      <c r="I6" s="182">
        <v>0.99</v>
      </c>
    </row>
    <row r="7" spans="2:9">
      <c r="B7" s="4" t="s">
        <v>5</v>
      </c>
      <c r="C7" s="58">
        <v>23957</v>
      </c>
      <c r="D7" s="58">
        <v>22034</v>
      </c>
      <c r="E7" s="49">
        <v>0.83</v>
      </c>
      <c r="F7" s="52">
        <f>Table11821263136[[#This Row],[Calls Handled]]/Table11821263136[[#This Row],[Calls Presented]]</f>
        <v>0.91973118503986306</v>
      </c>
      <c r="G7" s="52">
        <f>1-Table11821263136[[#This Row],[ANS]]</f>
        <v>8.0268814960136936E-2</v>
      </c>
      <c r="H7" s="41">
        <v>0.56999999999999995</v>
      </c>
      <c r="I7" s="57">
        <v>1</v>
      </c>
    </row>
    <row r="8" spans="2:9">
      <c r="B8" s="4" t="s">
        <v>3</v>
      </c>
      <c r="C8" s="56">
        <v>70983</v>
      </c>
      <c r="D8" s="56">
        <v>61690</v>
      </c>
      <c r="E8" s="49">
        <v>0.65</v>
      </c>
      <c r="F8" s="52">
        <f>Table11821263136[[#This Row],[Calls Handled]]/Table11821263136[[#This Row],[Calls Presented]]</f>
        <v>0.86908132933237536</v>
      </c>
      <c r="G8" s="52">
        <f>1-Table11821263136[[#This Row],[ANS]]</f>
        <v>0.13091867066762464</v>
      </c>
      <c r="H8" s="126">
        <v>0.71</v>
      </c>
      <c r="I8" s="321" t="s">
        <v>20</v>
      </c>
    </row>
    <row r="9" spans="2:9">
      <c r="B9" s="4" t="s">
        <v>4</v>
      </c>
      <c r="C9" s="180">
        <v>26793</v>
      </c>
      <c r="D9" s="181">
        <v>22668</v>
      </c>
      <c r="E9" s="183">
        <v>0.66</v>
      </c>
      <c r="F9" s="52">
        <f>Table11821263136[[#This Row],[Calls Handled]]/Table11821263136[[#This Row],[Calls Presented]]</f>
        <v>0.8460418766095622</v>
      </c>
      <c r="G9" s="52">
        <f>1-Table11821263136[[#This Row],[ANS]]</f>
        <v>0.1539581233904378</v>
      </c>
      <c r="H9" s="184">
        <v>0.53</v>
      </c>
      <c r="I9" s="184">
        <v>1</v>
      </c>
    </row>
    <row r="10" spans="2:9">
      <c r="B10" s="4" t="s">
        <v>7</v>
      </c>
      <c r="C10" s="180">
        <v>7678</v>
      </c>
      <c r="D10" s="180">
        <v>7047</v>
      </c>
      <c r="E10" s="322">
        <v>0.92</v>
      </c>
      <c r="F10" s="52">
        <f>Table11821263136[[#This Row],[Calls Handled]]/Table11821263136[[#This Row],[Calls Presented]]</f>
        <v>0.9178171398801771</v>
      </c>
      <c r="G10" s="52">
        <f>1-Table11821263136[[#This Row],[ANS]]</f>
        <v>8.2182860119822898E-2</v>
      </c>
      <c r="H10" s="186">
        <v>0.51</v>
      </c>
      <c r="I10" s="182" t="s">
        <v>20</v>
      </c>
    </row>
    <row r="11" spans="2:9">
      <c r="B11" s="67" t="s">
        <v>79</v>
      </c>
      <c r="C11" s="68">
        <f>SUM(C5:C10)</f>
        <v>216909</v>
      </c>
      <c r="D11" s="68">
        <f>SUM(D5:D10)</f>
        <v>187723</v>
      </c>
      <c r="E11" s="116">
        <f>AVERAGEIF(E5:E10,"&lt;&gt;0")</f>
        <v>0.73499999999999999</v>
      </c>
      <c r="F11" s="116">
        <f>AVERAGEIF(F5:F10,"&lt;&gt;0")</f>
        <v>0.87539495586988336</v>
      </c>
      <c r="G11" s="116">
        <f>AVERAGEIF(G5:G10,"&lt;&gt;0")</f>
        <v>0.12460504413011662</v>
      </c>
      <c r="H11" s="116">
        <f>AVERAGEIF(H5:H10,"&lt;&gt;0")</f>
        <v>0.55666666666666664</v>
      </c>
      <c r="I11" s="144">
        <f>AVERAGEIF(I5:I10,"&lt;&gt;0")</f>
        <v>0.995</v>
      </c>
    </row>
  </sheetData>
  <mergeCells count="1">
    <mergeCell ref="B2:I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4035-1FC8-4F15-A050-BFD53B50152D}">
  <sheetPr codeName="Sheet5"/>
  <dimension ref="C3:J12"/>
  <sheetViews>
    <sheetView workbookViewId="0">
      <selection activeCell="C3" sqref="C3:J12"/>
    </sheetView>
  </sheetViews>
  <sheetFormatPr defaultRowHeight="14.5"/>
  <sheetData>
    <row r="3" spans="3:10">
      <c r="C3" s="432" t="s">
        <v>122</v>
      </c>
      <c r="D3" s="435"/>
      <c r="E3" s="435"/>
      <c r="F3" s="435"/>
      <c r="G3" s="435"/>
      <c r="H3" s="435"/>
      <c r="I3" s="435"/>
      <c r="J3" s="433"/>
    </row>
    <row r="4" spans="3:10">
      <c r="C4" s="13" t="s">
        <v>74</v>
      </c>
      <c r="D4" s="14" t="s">
        <v>75</v>
      </c>
      <c r="E4" s="14" t="s">
        <v>76</v>
      </c>
      <c r="F4" s="14" t="s">
        <v>71</v>
      </c>
      <c r="G4" s="14" t="s">
        <v>41</v>
      </c>
      <c r="H4" s="14" t="s">
        <v>40</v>
      </c>
      <c r="I4" s="14" t="s">
        <v>77</v>
      </c>
      <c r="J4" s="8" t="s">
        <v>43</v>
      </c>
    </row>
    <row r="5" spans="3:10">
      <c r="C5" s="4" t="s">
        <v>78</v>
      </c>
      <c r="D5" s="1"/>
      <c r="E5" s="1"/>
      <c r="F5" s="2">
        <v>0.85</v>
      </c>
      <c r="G5" s="2">
        <v>0.94</v>
      </c>
      <c r="H5" s="2">
        <v>0.06</v>
      </c>
      <c r="I5" s="2">
        <v>0.65</v>
      </c>
      <c r="J5" s="12">
        <v>0.95</v>
      </c>
    </row>
    <row r="6" spans="3:10">
      <c r="C6" s="4" t="s">
        <v>2</v>
      </c>
      <c r="D6" s="1"/>
      <c r="E6" s="1"/>
      <c r="F6" s="57"/>
      <c r="G6" s="52" t="e">
        <f>Table118212631[[#This Row],[Calls Handled]]/Table118212631[[#This Row],[Calls Presented]]</f>
        <v>#DIV/0!</v>
      </c>
      <c r="H6" s="52" t="e">
        <f>1-Table118212631[[#This Row],[ANS]]</f>
        <v>#DIV/0!</v>
      </c>
      <c r="I6" s="52"/>
      <c r="J6" s="57"/>
    </row>
    <row r="7" spans="3:10">
      <c r="C7" s="4" t="s">
        <v>6</v>
      </c>
      <c r="D7" s="180"/>
      <c r="E7" s="180"/>
      <c r="F7" s="187"/>
      <c r="G7" s="52" t="e">
        <f>Table118212631[[#This Row],[Calls Handled]]/Table118212631[[#This Row],[Calls Presented]]</f>
        <v>#DIV/0!</v>
      </c>
      <c r="H7" s="52" t="e">
        <f>1-Table118212631[[#This Row],[ANS]]</f>
        <v>#DIV/0!</v>
      </c>
      <c r="I7" s="187"/>
      <c r="J7" s="182"/>
    </row>
    <row r="8" spans="3:10">
      <c r="C8" s="4" t="s">
        <v>5</v>
      </c>
      <c r="D8" s="58"/>
      <c r="E8" s="58"/>
      <c r="F8" s="40"/>
      <c r="G8" s="57" t="e">
        <f>Table118212631[[#This Row],[Calls Handled]]/Table118212631[[#This Row],[Calls Presented]]</f>
        <v>#DIV/0!</v>
      </c>
      <c r="H8" s="57" t="e">
        <f>1-Table118212631[[#This Row],[ANS]]</f>
        <v>#DIV/0!</v>
      </c>
      <c r="I8" s="126"/>
      <c r="J8" s="57"/>
    </row>
    <row r="9" spans="3:10">
      <c r="C9" s="4" t="s">
        <v>3</v>
      </c>
      <c r="D9" s="56"/>
      <c r="E9" s="56"/>
      <c r="F9" s="49"/>
      <c r="G9" s="52" t="e">
        <f>Table118212631[[#This Row],[Calls Handled]]/Table118212631[[#This Row],[Calls Presented]]</f>
        <v>#DIV/0!</v>
      </c>
      <c r="H9" s="52" t="e">
        <f>1-Table118212631[[#This Row],[ANS]]</f>
        <v>#DIV/0!</v>
      </c>
      <c r="I9" s="41"/>
      <c r="J9" s="107"/>
    </row>
    <row r="10" spans="3:10">
      <c r="C10" s="4" t="s">
        <v>4</v>
      </c>
      <c r="D10" s="180"/>
      <c r="E10" s="181"/>
      <c r="F10" s="183"/>
      <c r="G10" s="52" t="e">
        <f>Table118212631[[#This Row],[Calls Handled]]/Table118212631[[#This Row],[Calls Presented]]</f>
        <v>#DIV/0!</v>
      </c>
      <c r="H10" s="52" t="e">
        <f>1-Table118212631[[#This Row],[ANS]]</f>
        <v>#DIV/0!</v>
      </c>
      <c r="I10" s="183"/>
      <c r="J10" s="184"/>
    </row>
    <row r="11" spans="3:10">
      <c r="C11" s="4" t="s">
        <v>7</v>
      </c>
      <c r="D11" s="180"/>
      <c r="E11" s="180"/>
      <c r="F11" s="185"/>
      <c r="G11" s="52" t="e">
        <f>Table118212631[[#This Row],[Calls Handled]]/Table118212631[[#This Row],[Calls Presented]]</f>
        <v>#DIV/0!</v>
      </c>
      <c r="H11" s="52" t="e">
        <f>1-Table118212631[[#This Row],[ANS]]</f>
        <v>#DIV/0!</v>
      </c>
      <c r="I11" s="185"/>
      <c r="J11" s="191"/>
    </row>
    <row r="12" spans="3:10">
      <c r="C12" s="67" t="s">
        <v>79</v>
      </c>
      <c r="D12" s="68">
        <f>SUM(D6:D11)</f>
        <v>0</v>
      </c>
      <c r="E12" s="68">
        <f>SUM(E6:E11)</f>
        <v>0</v>
      </c>
      <c r="F12" s="116" t="e">
        <f>AVERAGEIF(F6:F11,"&lt;&gt;0")</f>
        <v>#DIV/0!</v>
      </c>
      <c r="G12" s="116" t="e">
        <f>AVERAGEIF(G6:G11,"&lt;&gt;0")</f>
        <v>#DIV/0!</v>
      </c>
      <c r="H12" s="116" t="e">
        <f>AVERAGEIF(H6:H11,"&lt;&gt;0")</f>
        <v>#DIV/0!</v>
      </c>
      <c r="I12" s="116" t="e">
        <f>AVERAGEIF(I6:I11,"&lt;&gt;0")</f>
        <v>#DIV/0!</v>
      </c>
      <c r="J12" s="144" t="e">
        <f>AVERAGEIF(J6:J11,"&lt;&gt;0")</f>
        <v>#DIV/0!</v>
      </c>
    </row>
  </sheetData>
  <mergeCells count="1">
    <mergeCell ref="C3:J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754fae-d523-4761-9a50-9f412c24001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9B6ECA80D4546BC922360F49E02D1" ma:contentTypeVersion="17" ma:contentTypeDescription="Create a new document." ma:contentTypeScope="" ma:versionID="cd65318450d34decd855b11df4f28a05">
  <xsd:schema xmlns:xsd="http://www.w3.org/2001/XMLSchema" xmlns:xs="http://www.w3.org/2001/XMLSchema" xmlns:p="http://schemas.microsoft.com/office/2006/metadata/properties" xmlns:ns1="http://schemas.microsoft.com/sharepoint/v3" xmlns:ns3="57896ae6-1ae1-4be6-8420-a0683873ede9" xmlns:ns4="05754fae-d523-4761-9a50-9f412c24001d" targetNamespace="http://schemas.microsoft.com/office/2006/metadata/properties" ma:root="true" ma:fieldsID="49b0bc63aca4a8b6c1e88bfc11f5a766" ns1:_="" ns3:_="" ns4:_="">
    <xsd:import namespace="http://schemas.microsoft.com/sharepoint/v3"/>
    <xsd:import namespace="57896ae6-1ae1-4be6-8420-a0683873ede9"/>
    <xsd:import namespace="05754fae-d523-4761-9a50-9f412c2400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ae6-1ae1-4be6-8420-a0683873ed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54fae-d523-4761-9a50-9f412c240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6D382-14CD-45E6-8B46-B8EFDAB50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1CDDB6-9572-48EE-B5EB-1D9595661E6F}">
  <ds:schemaRefs>
    <ds:schemaRef ds:uri="http://schemas.openxmlformats.org/package/2006/metadata/core-properties"/>
    <ds:schemaRef ds:uri="http://schemas.microsoft.com/sharepoint/v3"/>
    <ds:schemaRef ds:uri="05754fae-d523-4761-9a50-9f412c24001d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57896ae6-1ae1-4be6-8420-a0683873ede9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B8212F1-1CBC-4F53-BF10-2E3F34E79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7896ae6-1ae1-4be6-8420-a0683873ede9"/>
    <ds:schemaRef ds:uri="05754fae-d523-4761-9a50-9f412c240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94</vt:i4>
      </vt:variant>
    </vt:vector>
  </HeadingPairs>
  <TitlesOfParts>
    <vt:vector size="106" baseType="lpstr">
      <vt:lpstr>Live Chat KPIs - Weekly</vt:lpstr>
      <vt:lpstr>Live Chat KPIs - Monthly</vt:lpstr>
      <vt:lpstr>Jamaica</vt:lpstr>
      <vt:lpstr>Trinidad and Tobago</vt:lpstr>
      <vt:lpstr>Belize</vt:lpstr>
      <vt:lpstr>Barbados</vt:lpstr>
      <vt:lpstr>OECS</vt:lpstr>
      <vt:lpstr>Guyana</vt:lpstr>
      <vt:lpstr>Weekly_Regional</vt:lpstr>
      <vt:lpstr>Monthly_Regional</vt:lpstr>
      <vt:lpstr>Q1_Regional</vt:lpstr>
      <vt:lpstr>Annual_Regional</vt:lpstr>
      <vt:lpstr>'Live Chat KPIs - Monthly'!ABR_BAR</vt:lpstr>
      <vt:lpstr>ABR_BAR</vt:lpstr>
      <vt:lpstr>'Live Chat KPIs - Monthly'!ABR_GUY</vt:lpstr>
      <vt:lpstr>ABR_GUY</vt:lpstr>
      <vt:lpstr>'Live Chat KPIs - Monthly'!ABR_JAM</vt:lpstr>
      <vt:lpstr>ABR_JAM</vt:lpstr>
      <vt:lpstr>'Live Chat KPIs - Monthly'!ABR_OECS</vt:lpstr>
      <vt:lpstr>ABR_OECS</vt:lpstr>
      <vt:lpstr>'Live Chat KPIs - Monthly'!ABR_TT</vt:lpstr>
      <vt:lpstr>ABR_TT</vt:lpstr>
      <vt:lpstr>ATT_BAR</vt:lpstr>
      <vt:lpstr>ATT_GUY</vt:lpstr>
      <vt:lpstr>ATT_JAM</vt:lpstr>
      <vt:lpstr>ATT_OECS</vt:lpstr>
      <vt:lpstr>ATT_TT</vt:lpstr>
      <vt:lpstr>'Live Chat KPIs - Monthly'!AU_BAR</vt:lpstr>
      <vt:lpstr>AU_BAR</vt:lpstr>
      <vt:lpstr>'Live Chat KPIs - Monthly'!AU_GUY</vt:lpstr>
      <vt:lpstr>AU_GUY</vt:lpstr>
      <vt:lpstr>'Live Chat KPIs - Monthly'!AU_JAM</vt:lpstr>
      <vt:lpstr>AU_JAM</vt:lpstr>
      <vt:lpstr>'Live Chat KPIs - Monthly'!AU_OECS</vt:lpstr>
      <vt:lpstr>AU_OECS</vt:lpstr>
      <vt:lpstr>'Live Chat KPIs - Monthly'!AU_TT</vt:lpstr>
      <vt:lpstr>AU_TT</vt:lpstr>
      <vt:lpstr>'Live Chat KPIs - Monthly'!calls_ans_BAR</vt:lpstr>
      <vt:lpstr>calls_ans_BAR</vt:lpstr>
      <vt:lpstr>'Live Chat KPIs - Monthly'!calls_ans_GUY</vt:lpstr>
      <vt:lpstr>calls_ans_GUY</vt:lpstr>
      <vt:lpstr>'Live Chat KPIs - Monthly'!calls_ans_JAM</vt:lpstr>
      <vt:lpstr>calls_ans_JAM</vt:lpstr>
      <vt:lpstr>'Live Chat KPIs - Monthly'!calls_ans_OECS</vt:lpstr>
      <vt:lpstr>calls_ans_OECS</vt:lpstr>
      <vt:lpstr>'Live Chat KPIs - Monthly'!calls_ans_TT</vt:lpstr>
      <vt:lpstr>calls_ans_TT</vt:lpstr>
      <vt:lpstr>'Live Chat KPIs - Monthly'!calls_off_BAR</vt:lpstr>
      <vt:lpstr>calls_off_BAR</vt:lpstr>
      <vt:lpstr>'Live Chat KPIs - Monthly'!calls_off_GUY</vt:lpstr>
      <vt:lpstr>calls_off_GUY</vt:lpstr>
      <vt:lpstr>'Live Chat KPIs - Monthly'!calls_off_JAM</vt:lpstr>
      <vt:lpstr>calls_off_JAM</vt:lpstr>
      <vt:lpstr>'Live Chat KPIs - Monthly'!calls_off_OECS</vt:lpstr>
      <vt:lpstr>calls_off_OECS</vt:lpstr>
      <vt:lpstr>'Live Chat KPIs - Monthly'!calls_off_TT</vt:lpstr>
      <vt:lpstr>calls_off_TT</vt:lpstr>
      <vt:lpstr>my_data</vt:lpstr>
      <vt:lpstr>'Live Chat KPIs - Monthly'!percent_WoW_ans_BAR</vt:lpstr>
      <vt:lpstr>percent_WoW_ans_BAR</vt:lpstr>
      <vt:lpstr>'Live Chat KPIs - Monthly'!percent_WoW_ans_GUY</vt:lpstr>
      <vt:lpstr>percent_WoW_ans_GUY</vt:lpstr>
      <vt:lpstr>'Live Chat KPIs - Monthly'!percent_WoW_ans_JAM</vt:lpstr>
      <vt:lpstr>percent_WoW_ans_JAM</vt:lpstr>
      <vt:lpstr>'Live Chat KPIs - Monthly'!percent_WoW_ans_OECS</vt:lpstr>
      <vt:lpstr>percent_WoW_ans_OECS</vt:lpstr>
      <vt:lpstr>'Live Chat KPIs - Monthly'!percent_WoW_ans_TT</vt:lpstr>
      <vt:lpstr>percent_WoW_ans_TT</vt:lpstr>
      <vt:lpstr>'Live Chat KPIs - Monthly'!percent_WoW_off_BAR</vt:lpstr>
      <vt:lpstr>percent_WoW_off_BAR</vt:lpstr>
      <vt:lpstr>'Live Chat KPIs - Monthly'!percent_WoW_off_GUY</vt:lpstr>
      <vt:lpstr>percent_WoW_off_GUY</vt:lpstr>
      <vt:lpstr>'Live Chat KPIs - Monthly'!percent_WoW_off_JAM</vt:lpstr>
      <vt:lpstr>percent_WoW_off_JAM</vt:lpstr>
      <vt:lpstr>'Live Chat KPIs - Monthly'!percent_WoW_off_OECS</vt:lpstr>
      <vt:lpstr>percent_WoW_off_OECS</vt:lpstr>
      <vt:lpstr>'Live Chat KPIs - Monthly'!percent_WoW_off_TT</vt:lpstr>
      <vt:lpstr>percent_WoW_off_TT</vt:lpstr>
      <vt:lpstr>'Live Chat KPIs - Monthly'!period_BAR</vt:lpstr>
      <vt:lpstr>period_BAR</vt:lpstr>
      <vt:lpstr>'Live Chat KPIs - Monthly'!period_BAR_WFM</vt:lpstr>
      <vt:lpstr>period_BAR_WFM</vt:lpstr>
      <vt:lpstr>'Live Chat KPIs - Monthly'!period_GUY</vt:lpstr>
      <vt:lpstr>period_GUY</vt:lpstr>
      <vt:lpstr>'Live Chat KPIs - Monthly'!period_GUY_WF</vt:lpstr>
      <vt:lpstr>period_GUY_WF</vt:lpstr>
      <vt:lpstr>'Live Chat KPIs - Monthly'!period_JAM</vt:lpstr>
      <vt:lpstr>period_JAM</vt:lpstr>
      <vt:lpstr>'Live Chat KPIs - Monthly'!period_JAM_WFM</vt:lpstr>
      <vt:lpstr>period_JAM_WFM</vt:lpstr>
      <vt:lpstr>'Live Chat KPIs - Monthly'!period_OECS</vt:lpstr>
      <vt:lpstr>period_OECS</vt:lpstr>
      <vt:lpstr>'Live Chat KPIs - Monthly'!period_TT</vt:lpstr>
      <vt:lpstr>period_TT</vt:lpstr>
      <vt:lpstr>'Live Chat KPIs - Monthly'!period_TT_WFM</vt:lpstr>
      <vt:lpstr>period_TT_WFM</vt:lpstr>
      <vt:lpstr>'Live Chat KPIs - Monthly'!SL_BAR</vt:lpstr>
      <vt:lpstr>SL_BAR</vt:lpstr>
      <vt:lpstr>'Live Chat KPIs - Monthly'!SL_GUY</vt:lpstr>
      <vt:lpstr>SL_GUY</vt:lpstr>
      <vt:lpstr>'Live Chat KPIs - Monthly'!SL_JAM</vt:lpstr>
      <vt:lpstr>SL_JAM</vt:lpstr>
      <vt:lpstr>'Live Chat KPIs - Monthly'!SL_OECS</vt:lpstr>
      <vt:lpstr>SL_OECS</vt:lpstr>
      <vt:lpstr>'Live Chat KPIs - Monthly'!SL_TT</vt:lpstr>
      <vt:lpstr>SL_TT</vt:lpstr>
    </vt:vector>
  </TitlesOfParts>
  <Manager/>
  <Company>Unicomer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Shaw</dc:creator>
  <cp:keywords/>
  <dc:description/>
  <cp:lastModifiedBy>Roy Shaw</cp:lastModifiedBy>
  <cp:revision/>
  <dcterms:created xsi:type="dcterms:W3CDTF">2021-11-19T18:50:18Z</dcterms:created>
  <dcterms:modified xsi:type="dcterms:W3CDTF">2024-08-15T14:38:01Z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0x01010036B9B6ECA80D4546BC922360F49E02D1</vt:lpwstr>
  </property>
</Properties>
</file>